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4.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ull Proxy Map 2021" sheetId="1" r:id="rId4"/>
    <sheet state="visible" name="FLUCW Proxy Map 2021" sheetId="2" r:id="rId5"/>
    <sheet state="visible" name="Source of Studies" sheetId="3" r:id="rId6"/>
    <sheet state="visible" name="Type of Environmnetal Archieve" sheetId="4" r:id="rId7"/>
    <sheet state="visible" name="Temporal Coverage" sheetId="5" r:id="rId8"/>
    <sheet state="visible" name="Sheet1" sheetId="6" r:id="rId9"/>
    <sheet state="visible" name="Sheet9" sheetId="7" r:id="rId10"/>
    <sheet state="visible" name="Sheet8" sheetId="8" r:id="rId11"/>
    <sheet state="visible" name="Proxy Interpretation" sheetId="9" r:id="rId12"/>
    <sheet state="visible" name="Eco_DEM_Data" sheetId="10" r:id="rId13"/>
    <sheet state="visible" name="World Pop Data" sheetId="11" r:id="rId14"/>
  </sheets>
  <definedNames>
    <definedName hidden="1" localSheetId="0" name="_xlnm._FilterDatabase">'Full Proxy Map 2021'!$A$1:$BA$649</definedName>
    <definedName hidden="1" localSheetId="1" name="_xlnm._FilterDatabase">'FLUCW Proxy Map 2021'!$A$1:$BA$543</definedName>
    <definedName hidden="1" localSheetId="2" name="_xlnm._FilterDatabase">'Source of Studies'!$A$1:$E$34</definedName>
    <definedName hidden="1" localSheetId="6" name="_xlnm._FilterDatabase">Sheet9!$C$1:$C$643</definedName>
    <definedName hidden="1" localSheetId="5" name="Z_6878C689_F947_4444_994C_56A70B40FF81_.wvu.FilterData">Sheet1!$A$1:$BJ$643</definedName>
    <definedName hidden="1" localSheetId="5" name="Z_A3F522EF_1DFD_42F5_BAFD_055748B1AB39_.wvu.FilterData">Sheet1!$A$1:$BJ$1029</definedName>
  </definedNames>
  <calcPr/>
  <customWorkbookViews>
    <customWorkbookView activeSheetId="0" maximized="1" tabRatio="600" windowHeight="0" windowWidth="0" guid="{6878C689-F947-4444-994C-56A70B40FF81}" name="Filter 2"/>
    <customWorkbookView activeSheetId="0" maximized="1" tabRatio="600" windowHeight="0" windowWidth="0" guid="{A3F522EF-1DFD-42F5-BAFD-055748B1AB39}" name="Filter 1"/>
  </customWorkbookViews>
</workbook>
</file>

<file path=xl/sharedStrings.xml><?xml version="1.0" encoding="utf-8"?>
<sst xmlns="http://schemas.openxmlformats.org/spreadsheetml/2006/main" count="62843" uniqueCount="2382">
  <si>
    <t>Paper ID</t>
  </si>
  <si>
    <t>Reference Type</t>
  </si>
  <si>
    <t>Publication Year</t>
  </si>
  <si>
    <t>Author</t>
  </si>
  <si>
    <t>Title</t>
  </si>
  <si>
    <t>Journal / Secondary Title</t>
  </si>
  <si>
    <t>DOI</t>
  </si>
  <si>
    <t>Abstract</t>
  </si>
  <si>
    <t>Volume</t>
  </si>
  <si>
    <t>Issue</t>
  </si>
  <si>
    <t>Pages</t>
  </si>
  <si>
    <t>Multiple Studies? (LocatioNos/Proxies)</t>
  </si>
  <si>
    <t>Study ID</t>
  </si>
  <si>
    <t>Language</t>
  </si>
  <si>
    <t>Country</t>
  </si>
  <si>
    <t>Name_of_Site</t>
  </si>
  <si>
    <t>LatDD</t>
  </si>
  <si>
    <t>LonDD</t>
  </si>
  <si>
    <t>Type_of_Ar</t>
  </si>
  <si>
    <t>Proxy</t>
  </si>
  <si>
    <t>Proxy interpretation</t>
  </si>
  <si>
    <t>Cross Cutting Lens</t>
  </si>
  <si>
    <t>Preparation of sample method</t>
  </si>
  <si>
    <t>Unit of Proxy</t>
  </si>
  <si>
    <t>Evidence of Agriculture</t>
  </si>
  <si>
    <t>Stratigraphic</t>
  </si>
  <si>
    <t>Radiocarbon</t>
  </si>
  <si>
    <t>OSL</t>
  </si>
  <si>
    <t>Pb210</t>
  </si>
  <si>
    <t>Cs137</t>
  </si>
  <si>
    <t>U_Th</t>
  </si>
  <si>
    <t>Dendrochro</t>
  </si>
  <si>
    <t>Tephra</t>
  </si>
  <si>
    <t>Material_Dated</t>
  </si>
  <si>
    <t>Oldest Date (C.E)</t>
  </si>
  <si>
    <t>Newest Date (C.E)</t>
  </si>
  <si>
    <t>Top and bottom of sequence dated?</t>
  </si>
  <si>
    <t>Is the record continuous?</t>
  </si>
  <si>
    <t>Calibration data set</t>
  </si>
  <si>
    <t>Hard Water Error?</t>
  </si>
  <si>
    <t>Other Chronology Notes</t>
  </si>
  <si>
    <t>Depositional archive plotted against depth or time?</t>
  </si>
  <si>
    <t>Raw data available</t>
  </si>
  <si>
    <t>Average Annual Rainfall (mm)</t>
  </si>
  <si>
    <t>Wettest Month (mm)</t>
  </si>
  <si>
    <t>Wettest Quarter (mm)</t>
  </si>
  <si>
    <t>Dryest Month (mm)</t>
  </si>
  <si>
    <t>Driest Quarter (mm)</t>
  </si>
  <si>
    <t>Coefficient of Variance</t>
  </si>
  <si>
    <t>DEM 30m</t>
  </si>
  <si>
    <t>ECO_NAME</t>
  </si>
  <si>
    <t>BIOME_NAME</t>
  </si>
  <si>
    <t>Rue2002_161</t>
  </si>
  <si>
    <t>Journal Article</t>
  </si>
  <si>
    <t>Rue, D.; Webster, D.; Traverse, A.</t>
  </si>
  <si>
    <t>Late Holocene fire and agriculture in the Copan Valley, Honduras</t>
  </si>
  <si>
    <t>Ancient Mesoamerica</t>
  </si>
  <si>
    <t>10.1017/S095653610213210X</t>
  </si>
  <si>
    <t>Pollen and charcoal analysis of a 5.3-m sediment core from Aguada Petapilla, a peat bog, provides evidence of late Holocene vegetation and fire history in the Copan Valley, Honduras. Low concentration and preservation problems characterized the pollen flora, but there are taxa present indicative of major agricultural trends, including Zea mays. Microscopic charcoal fragments are well represented and record continued burning in the region since the lowest level of the core (5700 B.P. [3750 B.C.l). Presence of Zea indicates that maize farming was initiated by as early as 2300 B.C. Three peaks in charcoal-fragment frequencies occur in periods centered approximately at 900 B.C., 400 B.C., and A.D. 600. Fires in this relatively dry region of the southern Maya Lowlands (whose mean annual rainfall is about 1,400 mm) could have resulted from natural forest fires or human agricultural clearing at any time in the Holocene. This contrasts with wetter areas of tropical Central and South America (mean annual rainfall of about 2,500-4,000 mm) where significant climatic drying is required to ignite primary tropical forest.</t>
  </si>
  <si>
    <t>267-272</t>
  </si>
  <si>
    <t>Yes</t>
  </si>
  <si>
    <t>Rue2002_161.i</t>
  </si>
  <si>
    <t>English</t>
  </si>
  <si>
    <t>Honduras</t>
  </si>
  <si>
    <t>Aguada Petapilla</t>
  </si>
  <si>
    <t>Peat Sediment Core</t>
  </si>
  <si>
    <t>Pollen</t>
  </si>
  <si>
    <t>Vegetation;Agriculture</t>
  </si>
  <si>
    <t>Forests;Land Use Change</t>
  </si>
  <si>
    <t>HCI, HF, ZnCI-2, Glycerin</t>
  </si>
  <si>
    <t>%</t>
  </si>
  <si>
    <t>Agricultural Taxa;Decrease in Arboreal Taxa</t>
  </si>
  <si>
    <t>Not Reported</t>
  </si>
  <si>
    <t>Bottom</t>
  </si>
  <si>
    <t>Stuiver and Reimer 1993</t>
  </si>
  <si>
    <t>Depth</t>
  </si>
  <si>
    <t>No</t>
  </si>
  <si>
    <t>Central American pine-oak forests</t>
  </si>
  <si>
    <t>Tropical &amp; Subtropical Coniferous Forests</t>
  </si>
  <si>
    <t>Rue2002_161.ii</t>
  </si>
  <si>
    <t>Charcoal (Microscopic)</t>
  </si>
  <si>
    <t>Fire;Agriculture</t>
  </si>
  <si>
    <t>From Pollen Prep</t>
  </si>
  <si>
    <t>No. of</t>
  </si>
  <si>
    <t>Burning</t>
  </si>
  <si>
    <t>Smyth2017_173</t>
  </si>
  <si>
    <t>Smyth, M. P.; Dunning, N. P.; Weaver, E. M.; van Beynen, P.; Zapata, D. O.</t>
  </si>
  <si>
    <t>The perfect storm: climate change and ancient Maya response in the Puuc Hills region of Yucatan</t>
  </si>
  <si>
    <t>Antiquity</t>
  </si>
  <si>
    <t>10.15184/aqy.2016.266</t>
  </si>
  <si>
    <t>Climatic fluctuation is often cited as a major factor in the collapse of Maya civilisation during the Terminal Classic Period (e.g. Luzzadder-Beach et al. 2016). Evidence of how people dealt or failed to deal with it has only recently become a more widespread focus for archaeologists. Investigations at Xcoch in the Puuc Hills show the various ways in which resident populations sought to manage water stores when faced with a climate prone to drought and other meteorological extremes. The study also presents results from the analysis of nearby speleothem laminae, which indicate that severe episodes of flooding and droughts may have contributed to a collapse in the population around AD 850. Copyright © 2017 Antiquity Publications Ltd.</t>
  </si>
  <si>
    <t>490-509</t>
  </si>
  <si>
    <t>Mexico</t>
  </si>
  <si>
    <t>La Vaca Perdida</t>
  </si>
  <si>
    <t>Speleothem</t>
  </si>
  <si>
    <t>δ18O</t>
  </si>
  <si>
    <t>Climate;Precipitation</t>
  </si>
  <si>
    <t>Water</t>
  </si>
  <si>
    <t>Smyth et al. (2011, in press).</t>
  </si>
  <si>
    <t>VPDB ‰</t>
  </si>
  <si>
    <t>Neither</t>
  </si>
  <si>
    <t>Not Applicable</t>
  </si>
  <si>
    <t>Time</t>
  </si>
  <si>
    <t>Yucatán dry forests</t>
  </si>
  <si>
    <t>Tropical &amp; Subtropical Dry Broadleaf Forests</t>
  </si>
  <si>
    <t>Horn2001_86</t>
  </si>
  <si>
    <t>Horn, S. P.; Kennedy, L. M.</t>
  </si>
  <si>
    <t>Pollen evidence of maize cultivation 2700 B.P. at La Selva Biological Station, Costa Rica</t>
  </si>
  <si>
    <t>Biotropica</t>
  </si>
  <si>
    <t>https://doi.org/10.1646/0006-3606(2001)033[0191:PEOMCB]2.0.CO;2</t>
  </si>
  <si>
    <t>Unraveling long-term forest history and its possible links to modern patterns and processes may be particularly important at well established research stations that are sources of large numbers of publications in tropical ecology. This paper discusses additional evidence of the long-term human history of La Selva Biological Station in Costa Rica based on pollen evidence of maize cultivation much earlier than previously indicated.</t>
  </si>
  <si>
    <t>191-196</t>
  </si>
  <si>
    <t>Costa Rica</t>
  </si>
  <si>
    <t>La Selva Biological Station</t>
  </si>
  <si>
    <t>Swamp Sediment Core</t>
  </si>
  <si>
    <t>Agriculture</t>
  </si>
  <si>
    <t>Land Use Change</t>
  </si>
  <si>
    <t>HF, HCl, KOH, Acetolysis, Silicone Oil</t>
  </si>
  <si>
    <t>Agricultural Taxa</t>
  </si>
  <si>
    <t>Pearson &amp; Stuiver 1993</t>
  </si>
  <si>
    <t>Isthmian-Atlantic moist forests</t>
  </si>
  <si>
    <t>Tropical &amp; Subtropical Moist Broadleaf Forests</t>
  </si>
  <si>
    <t>Acosta2018_1</t>
  </si>
  <si>
    <t>Acosta, G.; Beramendi, L. E.; Gonzalez, G.; Rivera, I.; Eudave, I.; Hernandez, E.; Sanchez, S.; Morales, P.; Cienfuegos, E.; Otero, F.</t>
  </si>
  <si>
    <t>Climate change and peopling of the Neotropics during the Pleistocene-Holocene transition</t>
  </si>
  <si>
    <t>Boletin de la Sociedad Geologica Mexicana</t>
  </si>
  <si>
    <t>10.18268/BSGM2018v70n1a1</t>
  </si>
  <si>
    <t>Santa Marta cave, Chiapas, is a unique archaeological site with high-resolution chronological control and continuous human occupation since 12500 cal BP. In this work we report a correlation between human activity and climate conditions inferred from sedimentological, palynological, archaeozoological and stable isotopic analyses with the aim of assessing the late Pleistocene and early Holocene environmental conditions faced by the first settlers in tropical America. Results suggest that the late Pleistocene and early Holocene periods of abrupt climatic change (ACC), the Younger Dryas and the 8.2 ka event, are recorded in the rock shelter, and coincide with the two main periods of human occupation. The data suggest that these ACC periods were both cold and moist. Human activity had a limited impact at the local or regional level, over a changing environment during the Pleistocene-Holocene transition, though there is some evidence for the introduction of exotic species.</t>
  </si>
  <si>
    <t>1-19</t>
  </si>
  <si>
    <t>Acosta2018_1.ii</t>
  </si>
  <si>
    <t>Santa Marta</t>
  </si>
  <si>
    <t>Cave Sediments</t>
  </si>
  <si>
    <t>INTCAL13</t>
  </si>
  <si>
    <t>Petén-Veracruz moist forests</t>
  </si>
  <si>
    <t>Acosta2018_1.iii</t>
  </si>
  <si>
    <t>δ13C</t>
  </si>
  <si>
    <t>Acosta2018_1.iv</t>
  </si>
  <si>
    <t>Temperature;Vegetation</t>
  </si>
  <si>
    <t>Forests</t>
  </si>
  <si>
    <t>Temoltzin-Loranca2018_180</t>
  </si>
  <si>
    <t>Temoltzin-Loranca, Y.; Isabel Velez, M.; Moreno, E.; Escobar, J.; Velez, M. I.; Moreno, E.; Escobar, J.</t>
  </si>
  <si>
    <t>Late Holocene environmental change in Lake Boquete and its watershed: human or natural causes?</t>
  </si>
  <si>
    <t>10.18268/BSGM2018v70n1a7</t>
  </si>
  <si>
    <t>A paleolimnological and environmental reconstruction of the volcanic Lake Boquete, in the northern highlands of Panama, was produced based on diatom, sediment, and charcoal analyses. The main aim of this study is to contribute to the understanding of the long-term anthropogenic effect in Lake Boquete and its watershed, a unique space (Gran Chiriquí region) where human occupation and nature have interacted since ~7000 yr BP (years Before Present). Our results indicate two main periods of environmental change. In the first period, from ~2840 to 1740 cal yr BP (calibrated years Before Present), the lake was under the influence of high-energy flow regimes and high erosion rates. Water pH was gradually changing from neutral to alkaline. There's evidence of fires with four main events, some appear to be natural as indicated by the proxies, while others seem to be associated with anthropic causes most likely related to intense periods of cultivation; a particularly intense fire event is identified at ~2607 cal yr BP. We infer that during this period the lake and its watershed were under intense human impact. In the second period, from ~1740 to 197 cal yr BP, the lake was under a steady low-energy flow regime, submerged vegetation was more abundant, and pH became more acidic, fire events were less frequent. We infer that these conditions were the result of land abandonment due to human migration to the lowlands. Notwithstanding intense and frequent dry climate spells during the second period, Lake Boquete water levels were not affected, and thus, this record suggest that the main cause of environmental and limnological change in Lake Boquete and its watershed has been anthropogenic activities. © 2018, Instituto de Geologã-a, Universidad Nacional Autãnoma de Mã ©xico.</t>
  </si>
  <si>
    <t>121-131</t>
  </si>
  <si>
    <t>Temoltzin-Loranca2018_180.i</t>
  </si>
  <si>
    <t>Panama</t>
  </si>
  <si>
    <t>Boquete</t>
  </si>
  <si>
    <t>Lake Sediment Core</t>
  </si>
  <si>
    <t>Diatoms</t>
  </si>
  <si>
    <t>Water Level</t>
  </si>
  <si>
    <t>Zrax®</t>
  </si>
  <si>
    <t>Bulk sediments</t>
  </si>
  <si>
    <t>Top and Bottom</t>
  </si>
  <si>
    <t>Talamancan montane forests</t>
  </si>
  <si>
    <t>Temoltzin-Loranca2018_180.ii</t>
  </si>
  <si>
    <t>Fire</t>
  </si>
  <si>
    <t>Clark (1988)</t>
  </si>
  <si>
    <t>mm-2;cm-3</t>
  </si>
  <si>
    <t>Franco-Gaviria2020_62</t>
  </si>
  <si>
    <t>Franco-Gaviria, F.; Correa-Metrio, A.; Nunez-Useche, F.; Zawisza, E.; Caballero, M.; Prado, B.; Wojewodka, M.; Olivares, G.; Núñez-Useche, F.; Zawisza, E.; Caballero, M.; Prado, B.; Wojewódka, M.; Olivares, G.</t>
  </si>
  <si>
    <t>Millennial-to-centennial scale lake system development in the mountains of tropical Mexico</t>
  </si>
  <si>
    <t>Boreas</t>
  </si>
  <si>
    <t>10.1111/bor.12430</t>
  </si>
  <si>
    <t>Rapid degradation of freshwater ecosystems threatens water supply for human populations and natural landscapes. At diverse time scales, this process has been clearly associated with climatic and anthropogenic forcings. The question remains, however, how tropical lakes have responded to these two sources of variability. We present a multiproxy record from Lake San Lorenzo, Lagunas de Montebello National Park, tropical Mexico, spanning the last 3400 years. We used multi-elemental concentrations, and Cladocera and pollen assemblages along the record to reconstruct regional and local environmental variability, aiming to infer the factors and processes involved in the evolution of the lacustrine system. A principal component analysis on the pooled biological and geochemical evidence allowed the inference of the main changes in lake level and productivity. At millennial scales, the development of the lake system has been closely associated with regional moisture availability, with wetter (drier) time intervals associated with high (low) lake stands. According to Ti concentrations, from 3400 to 1000 cal. a BP, regional conditions followed a trend towards drier conditions, with littoral cladoceran assemblages suggesting high lake productivity. The extreme regional droughts reportedly associated with the cultural collapse of the Maya civilization manifested in our study area through both high lake productivity and the lowest lake levels of the record. Through the last 800 years, the regional moisture availability has increased, with the water body becoming deeper and larger. Overall, our record offers evidence of a highly variable system strongly coupled with regional climates, but also very sensitive to local disturbances associated with human occupation. Lake San Lorenzo has been highly resilient to external pressures and has previously recovered from conditions probably alike those associated with the ongoing modern deterioration process. Nevertheless, such recovery involves a complex network of interactions amongst natural and human factors.</t>
  </si>
  <si>
    <t>363-374</t>
  </si>
  <si>
    <t>Franco-Gaviria2020_62.i</t>
  </si>
  <si>
    <t>Guatemala</t>
  </si>
  <si>
    <t>San Lorenzo</t>
  </si>
  <si>
    <t>Geochemistry</t>
  </si>
  <si>
    <t>Catchment Erosion;Precipitation</t>
  </si>
  <si>
    <t>Forests;Land Use Change;Water</t>
  </si>
  <si>
    <t>ppm;%</t>
  </si>
  <si>
    <t>Catchment Erosion</t>
  </si>
  <si>
    <t>Charcoal, Plant remains</t>
  </si>
  <si>
    <t>Franco-Gaviria2020_62.ii</t>
  </si>
  <si>
    <t>Cladocera</t>
  </si>
  <si>
    <t xml:space="preserve"> Productivity;Water Level</t>
  </si>
  <si>
    <t>Frey 1986; Szeroczynska  &amp; Sarmaja-Korjonen 2007</t>
  </si>
  <si>
    <t>Jacob1996_95</t>
  </si>
  <si>
    <t>Jacob, J. S.; Hallmark, C. T.</t>
  </si>
  <si>
    <t>Holocene stratigraphy of Cobweb Swamp, a Maya wetland in northern Belize</t>
  </si>
  <si>
    <t>Bulletin of the Geological Society of America</t>
  </si>
  <si>
    <t>10.1130/0016-7606(1996)108&lt;0883:HSOCSA&gt;2.3.CO;2</t>
  </si>
  <si>
    <t>We investigated the soils and sediments of Cobweb Swamp, adjacent to the archaeological site of Colha in northern Belize, to adumbrate landscape evolution and the impact of the ancient Maya on a tropical palustrine wetland. The Cobweb section exposes a complex and dynamically evolving landscape, with a rich interplay between natural and human forces. The Cobweb depression probably formed as a karstic doline or polje in interbedded limestone and marl of late Tertiary or Pleistocene age. During the latest Pleistocene, a terrestrial marsh covered most of the depression. Slope wash and colluviation from adjacent slopes impacted the depression during the early Holocene, possibly in response to a drier and cooler climate reported to have occurred in the region during this time. After ca. 5600 B.P., the Cobweb depression was affected by relatively rapidly rising sea levels in the area, and a brackish lagoon filled the basin. By 4800 B.P., a peat filled in the lagoon, probably because precipitation of a marl in the lagoon coupled with decreasing rates of sea-level rise enabled emergent vegetation to encroach the shallowing waters. Humans first began to affect the landscape when this peat was at the surface. Massive deforestation, resulting in increased runoff and rising water levels, is the most likely explanation for a fresh-water lagoon that again inundated the Cobweb depression between 3400 and 500 B.P. The Maya Clay was deposited on the edge of this lagoon as the result of upland erosion, almost as soon as deforestation began, but the bulk of the deposit was coincident with the sudden collapse of the Classic Maya civilization ca. 1000 B.P., suggesting that significant environmental degradation was associated with the demise of the Classic Maya. Peat began to fill the Cobweb lagoon sometime before 500 B.P., probably the result of shallower water levels from decreasing runoff resulting from reforestation after abandonment by the Maya.</t>
  </si>
  <si>
    <t>883-891</t>
  </si>
  <si>
    <t>Jacob1996_95.i</t>
  </si>
  <si>
    <t>Belize</t>
  </si>
  <si>
    <t>Cobweb Swamp</t>
  </si>
  <si>
    <t>Inorganic Carbon</t>
  </si>
  <si>
    <t>Climate;Land Use Change</t>
  </si>
  <si>
    <t>NR, LOI</t>
  </si>
  <si>
    <t>Stuiver and Reimer 1987</t>
  </si>
  <si>
    <t>Jacob1996_95.ii</t>
  </si>
  <si>
    <t>Organic Matter</t>
  </si>
  <si>
    <t>JaeGeun2002_96</t>
  </si>
  <si>
    <t>JaeGeun, K.; Rejmankova, E.; Kim, J. G.; Rejmnkov</t>
  </si>
  <si>
    <t>Recent history of sediment deposition in marl- and sand-based marshes of Belize, Central America</t>
  </si>
  <si>
    <t>Catena</t>
  </si>
  <si>
    <t>10.1016/S0341-8162(02)00031-0</t>
  </si>
  <si>
    <t>There are two contrasting types of wetlands in Belize: marl- and sand-based marshes. We measured accumulation rates of sediment in six cores from marl- and sand-based marshes of northern Belize and compared biogeochemical characteristics to assess recent wetland history ( ∼ 1850 to present). Sediment depth increments were analysed for bulk density, LOI, nutrients (C, N, P, S, Ca, Mg, K and Na) and snail shell density and species diversity. Cores were dated using 210Pb and a constant rate of supply model. Unsupported 210Pb inventories of the cores ranged from 6.16 to 8.92 pCi cm-2. Marl-based marshes showed the maximum peak of 210Pb activity from 4 to 10 cm below the sediment surface. 210Pb peaks corresponded with the bottom of a marl layer containing chlorophyll a and we suggest that this relationship reflects the high growth and decomposition rates of cyanobacterial mat. Inorganic carbon, Ca, Mg, K, Na, S and Pb contents and accumulation rates were much greater in the marl-based marshes than in the sand-based marshes. Average dry mass accumulation rates in the six marshes ranged from 113 to 572 g m-2 year-1 over the past 100 years. Average linear sedimentation rates during the last 100 years in the two types were not significantly different (0.93 and 1.08 mm year -1, respectively). Increased sediment accumulation by human activities such as soil washout from adjacent roads was recorded in a sand-based marsh near roads. Sediment cores in the marl-based marshes display changes of marsh vegetation, apparently caused by water level changes. The vegetation change occurred at the end of the 1800s and the beginning of 1900s and is represented by a band of dark peat in otherwise marl-dominated sediments. Overall, the sediment cores show that conditions were relatively undisturbed by human activities in the recent past. \textcopyright 2002 Elsevier Science B.V. All rights reserved.</t>
  </si>
  <si>
    <t>267-291</t>
  </si>
  <si>
    <t>JaeGeun2002_96.vii</t>
  </si>
  <si>
    <t>Chan Chen</t>
  </si>
  <si>
    <t>Molluscs</t>
  </si>
  <si>
    <t>Salinity;Water Level</t>
  </si>
  <si>
    <t>250um sieve, dried at 105 ◦C</t>
  </si>
  <si>
    <t>JaeGeun2002_96.viii</t>
  </si>
  <si>
    <t>Buena Vista</t>
  </si>
  <si>
    <t>JaeGeun2002_96.ix</t>
  </si>
  <si>
    <t>Doubloon</t>
  </si>
  <si>
    <t>JaeGeun2002_96.x</t>
  </si>
  <si>
    <t>Big Snale</t>
  </si>
  <si>
    <t>JaeGeun2002_96.xi</t>
  </si>
  <si>
    <t>ONH11</t>
  </si>
  <si>
    <t>JaeGeun2002_96.xii</t>
  </si>
  <si>
    <t>ONH</t>
  </si>
  <si>
    <t>Anchukaitis2015_12</t>
  </si>
  <si>
    <t>Anchukaitis, K. J.; Taylor, M. J.; Leland, C.; Pons, D.; Martin-Fernandez, J.; Castellanos, E.</t>
  </si>
  <si>
    <t>Tree-ring reconstructed dry season rainfall in Guatemala</t>
  </si>
  <si>
    <t>Climate Dynamics</t>
  </si>
  <si>
    <t>https://doi.org/10.1007/s00382-014-2407-y</t>
  </si>
  <si>
    <t>Drought in Guatemala has negative consequences for agriculture and potable water supplies, particularly in regions of the country with highly seasonal rainfall. General circulation models suggest that a decrease in both winter and summer rainfall over Central America is likely and imminent as a consequence of anthropogenic influences on the climate system. However, precipitation observations over the last several decades are equivocal. Here, we use an Abies guatemalensis tree-ring chronology from the Sierra de los Cuchumatanes to estimate January through March rainfall since the late seventeenth century. Our reconstruction shows that recent winter-spring rainfall from the region is not yet exceptional in the context of the last several centuries, has a significant yet variable decadal component, is associated with large-scale modes of ocean-atmosphere variability, and reveals evidence of past multiyear droughts.</t>
  </si>
  <si>
    <t>1537-1546</t>
  </si>
  <si>
    <t>Sierra de los Cuchumatanes</t>
  </si>
  <si>
    <t>Dendro</t>
  </si>
  <si>
    <t>Variance</t>
  </si>
  <si>
    <t>Hodell2007_78</t>
  </si>
  <si>
    <t>Hodell, D. A.; Brenner, M.; Curtis, J. H.</t>
  </si>
  <si>
    <t>Climate and cultural history of the Northeastern Yucatan Peninsula, Quintana Roo, Mexico</t>
  </si>
  <si>
    <t>Climatic Change</t>
  </si>
  <si>
    <t>10.1007/s10584-006-9177-4</t>
  </si>
  <si>
    <t>We inferred the Holocene paleoclimate history of the northeastern Yucatan Peninsula, Mexico, by studying stratigraphic variations in stable isotopes ($\delta$18O and $\delta$13C) and lithologic properties (organic matter and carbonate content) in sediment cores taken in 6.3 and 16.2 m of water from Lake Punta Laguna. We present a simple model to explain the lithologic and isotopic variations, and discuss the inferred paleoclimate history in terms of its relation to ancient Maya cultural development. We find evidence for lower lake level and drier climate at about the same time as each major discontinuity in Maya cultural history: Preclassic Abandonment (150-250 A.D.), Maya Hiatus (534 to 593 A.D.), Terminal Classic Collapse (750-1050 A.D.), and Postclassic Abandonment (mid-fifteenth century). Although these broad temporal correlations suggest climate played a role in Maya cultural evolution, chronological uncertainties preclude a detailed analysis of climate changes and archaeologically documented cultural transformations. \textcopyright 2007 Springer Science+Business Media, Inc.</t>
  </si>
  <si>
    <t>215-240</t>
  </si>
  <si>
    <t>Hodell2007_78.i</t>
  </si>
  <si>
    <t>Punta Laguna</t>
  </si>
  <si>
    <t>Coulometric titration, LOI</t>
  </si>
  <si>
    <t>Charcoal, Wood, Seeds</t>
  </si>
  <si>
    <t>INTCAL04</t>
  </si>
  <si>
    <t>Yucatán moist forests</t>
  </si>
  <si>
    <t>Hodell2007_78.ii</t>
  </si>
  <si>
    <t>Hodell2007_78.iii</t>
  </si>
  <si>
    <t>50 ◦C, H2O2, H3PO4</t>
  </si>
  <si>
    <t>Hodell2007_78.iv</t>
  </si>
  <si>
    <t>Hodell2007_78.v</t>
  </si>
  <si>
    <t>Hodell2007_78.vi</t>
  </si>
  <si>
    <t>Hodell2007_78.vii</t>
  </si>
  <si>
    <t>Hodell2007_78.viii</t>
  </si>
  <si>
    <t>Medina-Elizalde2010_124</t>
  </si>
  <si>
    <t>Medina-Elizalde, M.; Burns, S. J.; Lea, D. W.; Asmerom, Y.; von Gunten, L.; Polyak, V.; Vuille, M.; Karmalkar, A.</t>
  </si>
  <si>
    <t>High resolution stalagmite climate record from the YucatÔö£├¡n Peninsula spanning the Maya terminal classic period</t>
  </si>
  <si>
    <t>Earth and Planetary Science Letters</t>
  </si>
  <si>
    <t>10.1016/j.epsl.2010.08.016</t>
  </si>
  <si>
    <t>The decline of the Classic Maya civilization was complex and geographically variable, and occurred over a \~ 150-year interval, known as the Terminal Classic Period (TCP, C.E. 800-950). Paleoclimate studies based on lake sediments from the Yucat \' a n Peninsula lowlands suggested that drought prevailed during the TCP and was likely an important factor in the disintegration of the Classic Maya civilization. The lacustrine evidence for decades of severe drought in the Yucat \' a n Peninsula, however, does not readily explain the long 150-year socio-political decline of the Classic Maya civilization. Here we present a new, absolute-dated, high-resolution stalagmite $\delta$18O record from the northwest Yucat \' a n Peninsula that provides a much more detailed picture of climate variability during the last 1500years. Direct calibration between stalagmite $\delta$18O and rainfall amount offers the first quantitative estimation of rainfall variability during the Terminal Classic Period. Our results show that eight severe droughts, lasting from 3 to 18years, occurred during major depopulation events of Classic Maya city-states. During these droughts, rainfall was reduced by 52 \% to 36 \% . The number and short duration of the dry intervals help explain why the TCP collapse of the Mayan civilization occurred over 150years. \textcopyright 2010.</t>
  </si>
  <si>
    <t>255-262</t>
  </si>
  <si>
    <t>Tzabnah</t>
  </si>
  <si>
    <t>‰</t>
  </si>
  <si>
    <t>Stansell2020_176</t>
  </si>
  <si>
    <t>Stansell, N. D.; Steinman, B. A.; Lachniet, M. S.; Feller, J.; Harvey, W.; Fernandez, A.; Shea, C. J.; Price, B.; Coenen, J.; Boes, M.; Perdziola, S.</t>
  </si>
  <si>
    <t>A lake sediment stable isotope record of late-middle to late Holocene hydroclimate variability in the western Guatemala highlands</t>
  </si>
  <si>
    <t>10.1016/j.epsl.2020.116327</t>
  </si>
  <si>
    <t>Long-term perspectives on past hydroclimate variability provide context for evaluating the potential future impacts of changes in Northern Hemisphere temperatures and oceanic-atmospheric circulation on the timing and distribution of precipitation in Central America. Here we use the isotopic composition of fine-grained (&amp;lt; 63 μm), endogenic CaCO3 (δ18Ocalcite and δ13Ccalcite) from Lake Kail, located in the western highlands of Guatemala, to infer multi-decadal to multi-centennial-scale variability in the balance between precipitation and evaporation (P/E) over the last ∼6000 years. The sediment age model is based on 210Pb and 41 14C ages, with chronological uncertainty estimated using Bayesian methods. A model that couples lake hydrology and isotope mass balance is applied to characterize the isotopic responses of lake water and calcite to changes in drought-controlling climate variables such as precipitation, temperature and relative humidity. The δ18Ocalcite variations indicate intermediate-to-dry P/E conditions during the late-middle Holocene from ∼6000 to ∼4100 cal yr BP. There was then a shift to drier conditions at the start of the late Holocene until ∼3050 cal yr BP, followed by a trend to wetter conditions until ∼1500 cal yr BP. The most recent ∼1500 years is characterized by high and relatively stable P/E, with particularly wet intervals from ∼1500 to 1170 cal yr BP and from 470 to 260 cal yr BP. Comparisons of the Lake Kail δ18Ocalcite record with Central American/circum-Caribbean proxy datasets spanning the late-middle and late Holocene indicate northern tropical hydroclimate changes were highly variable across space and time and were likely driven by regional oceanic-atmospheric responses with a secondary influence by insolation forcing. © 2020 Elsevier B.V.</t>
  </si>
  <si>
    <t>Stansell2020_176.i</t>
  </si>
  <si>
    <t>Cenote Kail</t>
  </si>
  <si>
    <t>H2O2</t>
  </si>
  <si>
    <t>VPDB %</t>
  </si>
  <si>
    <t>Charcoal, leaf</t>
  </si>
  <si>
    <t>Bush1992_23</t>
  </si>
  <si>
    <t>Generic</t>
  </si>
  <si>
    <t>Bush, M. B.; Piperno, D. R.; Colinvaux, P. A.; de Oliveira, P. E.; Krissek, L. A.; Miller, M. C.; Rowe, W. E.</t>
  </si>
  <si>
    <t>A 14 300-year paleoecological profile of a lowland tropical lake in Panama</t>
  </si>
  <si>
    <t>Late Pleistocene floras at Lake La Yeguada (altitude 650 m), Panama, as revealed by pollen analysis, phytoliths, diatoms, sediment chemistry, pigment analysis and clay mineralogy, had a high relative abundance of montane forest elements existing some 900 m below their present range. This suggests a climatic cooling of about 5 degrees below present. This descent of montane forest taxa onto lowland hilltops denied the ground to postulated lowland rain forest refugia. The late Pleistocene was not uniformly cool and was interrupted by brief phases of near present-day warming. The onset of the Holocene was abrupt, taking less than 100 yr, and was almost coincidental with the start of human forest disturbance.</t>
  </si>
  <si>
    <t>251-275</t>
  </si>
  <si>
    <t>Bush1992_23.iii</t>
  </si>
  <si>
    <t>Lago La Yeguada</t>
  </si>
  <si>
    <t>Stratagraphic Description</t>
  </si>
  <si>
    <t>Sedimentation</t>
  </si>
  <si>
    <t>None</t>
  </si>
  <si>
    <t>Stratigraphic description</t>
  </si>
  <si>
    <t>Units</t>
  </si>
  <si>
    <t>Logarithmic Time</t>
  </si>
  <si>
    <t>Isthmian-Pacific moist forests</t>
  </si>
  <si>
    <t>Stansell2020_176.ii</t>
  </si>
  <si>
    <t>Stansell2020_176.iii</t>
  </si>
  <si>
    <t>1000 ◦C, LOI</t>
  </si>
  <si>
    <t>Stansell2020_176.iv</t>
  </si>
  <si>
    <t>550 ◦C, LOI</t>
  </si>
  <si>
    <t>Ecological Monographs</t>
  </si>
  <si>
    <t>10.2307/2937095</t>
  </si>
  <si>
    <t>Bush1992_23.i</t>
  </si>
  <si>
    <t>HNO3, Hydrax Mount</t>
  </si>
  <si>
    <t>10.2307/2937096</t>
  </si>
  <si>
    <t>Bush1992_23.ii</t>
  </si>
  <si>
    <t>Phytoliths</t>
  </si>
  <si>
    <t>Vegetation;Water Level</t>
  </si>
  <si>
    <t>Na2CO3, HNO3</t>
  </si>
  <si>
    <t>Agricultural Taxa;Decrease in Arboreal Taxa;Burning</t>
  </si>
  <si>
    <t>10.2307/2937097</t>
  </si>
  <si>
    <t>Bush1992_23.iv</t>
  </si>
  <si>
    <t>Land Use Change;Water</t>
  </si>
  <si>
    <t>Horn1993_85</t>
  </si>
  <si>
    <t>Horn, S. P.</t>
  </si>
  <si>
    <t>Postglacial Vegetation and Fire History in the Chirripó Páramo of Costa Rica</t>
  </si>
  <si>
    <t>Quaternary Research</t>
  </si>
  <si>
    <t>10.1006/qres.1993.1061</t>
  </si>
  <si>
    <t>Pollen and charcoal analysis of a 5.6-m sediment core from Lago de las Morrenas (9°29′N, 83°29′W; 3480 m) provides evidence of postglacial vegetation and fire history in the highlands of the Cordillera de Talamanca, Costa Rica. The site is presently surrounded by treeless páramo vegetation and apparently has been so since deglaciation about 10,000 yr B.P. Pollen spectra suggest no pronounced changes in vegetation since ice retreat. Fires set by people or lightning have burned the páramo repeatedly, with fire activity probably highest during the late Holocene, but these fires have not carved páramo from forest. Pollen percentages for Gramineae and other páramo taxa decline upward, whereas percentages for certain subalpine, lower montane, and lowland forest taxa increase slightly; these changes may reflect the impact of prehistoric human activity or slight upslope migrations of forest taxa owing to climatic warming. There is no clear evidence of higher timberlines during the mid-Holocene. © 1993 by Academic Press, Inc.</t>
  </si>
  <si>
    <t>107-116</t>
  </si>
  <si>
    <t>Horn1993_85.ii</t>
  </si>
  <si>
    <t>Lago de las Morrenas</t>
  </si>
  <si>
    <t>Horn1993_85.iii</t>
  </si>
  <si>
    <t>Deglaciation</t>
  </si>
  <si>
    <t>Horn1993_85.iv</t>
  </si>
  <si>
    <t>10.2307/2937098</t>
  </si>
  <si>
    <t>Bush1992_23.v</t>
  </si>
  <si>
    <t>Climate;Vegetation;Agriculture</t>
  </si>
  <si>
    <t>NaOH, Acetolysis</t>
  </si>
  <si>
    <t>Weedy/Disturbance Taxa</t>
  </si>
  <si>
    <t>10.2307/2937099</t>
  </si>
  <si>
    <t>Bush1992_23.vi</t>
  </si>
  <si>
    <t>From Pollen &amp; Phytolith Prep</t>
  </si>
  <si>
    <t>10.2307/2937100</t>
  </si>
  <si>
    <t xml:space="preserve">Charcoal (Macroscopic) </t>
  </si>
  <si>
    <t>Caballero2020_24</t>
  </si>
  <si>
    <t>Caballero, M.; Mora, L.; Muñoz, E.; Escolero, O.; Bonifaz, R.; Ruiz, C.; Prado, B.; Munoz, E.; Escolero, O.; Bonifaz, R.; Ruiz, C.; Prado, B.</t>
  </si>
  <si>
    <t>Anthropogenic influence on the sediment chemistry and diatom assemblages of Balamtetik Lake, Chiapas, Mexico</t>
  </si>
  <si>
    <t>Environmental Science and Pollution Research</t>
  </si>
  <si>
    <t>10.1007/s11356-019-04581-9</t>
  </si>
  <si>
    <t>Balamtetik is the receiving body of the Rio Grande de Comitán and is located just at the outskirts of the Montebello National Park, Chiapas, México. Multi-elemental, infrared spectra, 137Cs, 210Pb, and diatom analyses in a 75-cm sediment core were used to reconstruct the recent disturbance history of the lake. The sequence chronology, based mostly on 137Cs profiles, allowed to infer high sedimentation rates in Balamtetik (~ 7 mm/year) and a nearly cyclic series of disturbance events that can be related to anthropogenic causes such as deforestation and increased development of agriculture and urban areas at local and regional scale. These disturbance events show high local and regional erosion (high Ca, TIC, and Ti), soil organic matter (IR spectra), eutrophication (high P and diatoms), and anoxic bottom water conditions (low Mn) and can be dated to the early 1950s, the late 1950s, and from the 1980s until the 2000s. The entrance of wastewaters is related with an increase in salinity inferred by the diatom record and the organic matter type. The first two disturbance events are related to changes in land use during the agrarian reform that started during the 1940s; the last event is related with the increase in local population and the introduction of intensive agriculture. This last phase of disturbance corresponds with the reports of fish mortality events around 2003; however, high lake turbidity and anoxic bottom waters seem to have been established since the 1980s. The record from Lake Balamtetik also shows that during the intermediate periods, there was a recovery of the lake and its catchment; however, the future trends might be different, as the increase in the speed of organic matter and nutrients arrival to the lake reduces its resilience. © 2019, Springer-Verlag GmbH Germany, part of Springer Nature.</t>
  </si>
  <si>
    <t>15935-15943</t>
  </si>
  <si>
    <t>Caballero2020_24.i</t>
  </si>
  <si>
    <t>Balamtetik Lake</t>
  </si>
  <si>
    <t>Catchment Erosion;Trophic Status</t>
  </si>
  <si>
    <t>Perkin Elmer 2400 analyzer</t>
  </si>
  <si>
    <t>Chiapas montane forests</t>
  </si>
  <si>
    <t>Caballero2020_24.ii</t>
  </si>
  <si>
    <t>Trophic Status; Salinity</t>
  </si>
  <si>
    <t>H2O2, Naphrax</t>
  </si>
  <si>
    <t>Harvey2019_71</t>
  </si>
  <si>
    <t>Harvey, W. J.; Nogue, S.; Stansell, N.; Petrokofsky, G.; Steinman, B.; Willis, K. J.</t>
  </si>
  <si>
    <t>The Legacy of Pre-Columbian Fire on the Pine-Oak Forests of Upland Guatemala</t>
  </si>
  <si>
    <t>FRONTIERS IN FORESTS AND GLOBAL CHANGE</t>
  </si>
  <si>
    <t>10.3389/ffgc.2019.00034</t>
  </si>
  <si>
    <t>Mountain tropical forests of the Southern Maya Area (Pacific Chiapas and Guatemala, El Salvador, and Northern Honduras) predominantly comprise pine and oak formations, which form intricate mosaics and complex successional interactions following large-scale fire. These forests have been transformed by the peoples of the Maya civilization through practices of horticulture, agriculture, and architectural developments over thousands of years. Anthropogenic impacts and the extent of early human interaction with these upland forests is currently poorly understood. In this study we identify: (i) the natural baseline vegetation of the region; (ii) when human impact and agrarian practices began in the Maya uplands; and (iii) what impacts the Maya had on forest structure, composition, and successional regeneration. Past vegetation, anthropogenic use of fire, and faunal abundance were reconstructed using proxy analysis of fossil pollen, macroscopic charcoal, microscopic charcoal, and dung fungal spores (Sporormiella). Three phases of forest succession were identified from 4000B.C.E. to 1522CE that broadly overlap with the well-defined archaeological periods of (i) the Archaic (10,000-2000B.C.E.); (ii) Pre-Classic (2000B.C.E.-100C.E.); (iii) Terminal Pre-Classic (100-250C.E.); (iv) Classic (250-950C.E.); and (v) Post-Classic (950-1522C.E.). These results also include the earliest evidence for agriculture within the Southern Maya Area through presence of peppers (Capsicum) from 3850B.C.E. and the rise of maize cultivation (Zea mays) from 970B.C.E. Persistent high intensity burning driven by agricultural practices and lime production during the Late-Pre-Classic (400-100B.C.E.) to Classic Period resulted in a compositional change of forest structure c.150B.C.E. from oak (Quercus) dominated forests to pine (Pinus) dominated forests. The legacy of Pre-Columbian anthropogenically driven fire in these mountain tropical forests demonstrates the resilience and thresholds for fire driven succession. These findings are particularly relevant for addressing current land use and management strategies involving agriculture, fire, and forest management in the mountain tropical forests of the Southern Maya Area.</t>
  </si>
  <si>
    <t>Harvey2019_71.i</t>
  </si>
  <si>
    <t>HF, HCl, KOH, Acetolysis, Silicone Oil (OxLEL Protocol)</t>
  </si>
  <si>
    <t>Agricultural Taxa;Weedy/Disturbance Taxa;Decrease in Arboreal Taxa</t>
  </si>
  <si>
    <t>Charcoal &amp; Terrestrial Leaf</t>
  </si>
  <si>
    <t>Harvey2019_71.ii</t>
  </si>
  <si>
    <t>On Pollen Prep Slide (Clark 1982)</t>
  </si>
  <si>
    <t>mm2cm2yr-1</t>
  </si>
  <si>
    <t>Harvey2019_71.iii</t>
  </si>
  <si>
    <t>Harvey2019_71.iv</t>
  </si>
  <si>
    <t>Sporormiella</t>
  </si>
  <si>
    <t>Herbivorous animals</t>
  </si>
  <si>
    <t>OxLEL Protocol - HF, Silicone Oil</t>
  </si>
  <si>
    <t>cm-2 yr-1</t>
  </si>
  <si>
    <t>Piperno1991_145</t>
  </si>
  <si>
    <t>Piperno, D. R.; Bush, M. B.; Colinvuax, P. A.</t>
  </si>
  <si>
    <t>Paleoecological perspectives on human adaptation in central Panama. II the Holocene</t>
  </si>
  <si>
    <t>Geoarchaeology</t>
  </si>
  <si>
    <t>10.1002/gea.3340060302</t>
  </si>
  <si>
    <t>A 17.5 m sedimentary core from Lake La Yeguada, central Panama provides the first complete Holocene sequence for the Pacific watershed of Lower Central America. Phytolith, pollen, and charcoal records document a long lowland history of foraging and food production. Human modification of tropical forests can be described as systematic during the early Holocene and was possibly associated with small‐scale (garden?) horticulture involving native tubers. The incorporation of seed crops like maize and development of slash and burn techiques for larger‐scale field systems is indicated by the increase of secondary forest taxa and removal of primary trees between 7000 and 4000 years ago. After this time, agricultural intensification in an essentially deforested landscape proceeded to the point where, by the time of Christ, agricultural abandonment of the lake watershed may have occurred as a result of loss of soil fertility. Events such as this in the interfluve forests may have, in part, precipitated the coalescence of population and settlement around the river valleys and the emergence of sedentary village life. Copyright \textcopyright 1991 Wiley Periodicals, Inc., A Wiley Company</t>
  </si>
  <si>
    <t>227-250</t>
  </si>
  <si>
    <t>Piperno1991_145.i</t>
  </si>
  <si>
    <t>HF, HCI, Acetolysis</t>
  </si>
  <si>
    <t>Piperno1991_145.ii</t>
  </si>
  <si>
    <t>Aliquot Method</t>
  </si>
  <si>
    <t>Piperno1991_145.iii</t>
  </si>
  <si>
    <t>Piperno1991_145.iv</t>
  </si>
  <si>
    <t>Velez2011_188</t>
  </si>
  <si>
    <t>Velez, M. I.; Curtis, J. H.; Brenner, M.; Escobar, J.; Leyden, B. W.; de Hatch, M. P.; Popenoe de Hatch, M.</t>
  </si>
  <si>
    <t>Environmental and Cultural Changes in Highland Guatemala Inferred from Lake Amatitlan Sediments</t>
  </si>
  <si>
    <t>10.1002/gea.20352</t>
  </si>
  <si>
    <t>We inferred the late Holocene environmental history of the Guatemala highlands from multiple lines of evidence in a sediment core from Lake Amatitlán. Inferred environmental changes are generally synchronous with archaeologically documented highland Maya cultural shifts. Population increases in the Middle Preclassic, Early Classic, and Late Postclassic are associated with deforestation and soil erosion. Land abandonment in the Late Preclassic, Late Classic, and Early Postclassic is associated with evidence for reforestation and soil stabilization. Diatoms indicate relatively lower lake level and greater trophic status at times of reduced human impact, from ca. 250 B.C. to A.D. 125 and from ca. A.D. 875 to 1375. Decreased water levels were probably due to drier climate, to reforestation, or both. Lake eutrophication was caused by reduced water volume combined with a legacy of long-term agricultural activity. Our data contribute to the understanding of relations among ancient Maya culture, climate, and environment. © 2011 Wiley Periodicals, Inc.</t>
  </si>
  <si>
    <t>346-364</t>
  </si>
  <si>
    <t>Velez2011_188.i</t>
  </si>
  <si>
    <t>Lago Amatitlan</t>
  </si>
  <si>
    <t>Whitehead, 1981</t>
  </si>
  <si>
    <t>Velez2011_188.ii</t>
  </si>
  <si>
    <t>Conductivity;Trophic Status;Water Level</t>
  </si>
  <si>
    <t>Increase in Eutrophic Conditions</t>
  </si>
  <si>
    <t>Velez2011_188.iii</t>
  </si>
  <si>
    <t>Magnetic Susceptibility</t>
  </si>
  <si>
    <t>Catchment Erosion;Volcanic Eruptions</t>
  </si>
  <si>
    <t>Geotek Multisensor core logger</t>
  </si>
  <si>
    <t>Velez2011_188.iv</t>
  </si>
  <si>
    <t>Carlo Erba NA 1500 C/N/S analyzer, LOI</t>
  </si>
  <si>
    <t>Velez2011_188.v</t>
  </si>
  <si>
    <t>δ15N</t>
  </si>
  <si>
    <t>Carlo Erba NA 1500 C/N/S analyzer</t>
  </si>
  <si>
    <t>Luzzadder-Beach2017_120</t>
  </si>
  <si>
    <t>Luzzadder-Beach, S.; Beach, T.; Garrison, T.; Houston, S.; Doyle, J.; Romn, E.; Bozarth, S.; Terry, R.; Krause, S.; Flood, J.</t>
  </si>
  <si>
    <t>Paleoecology and Geoarchaeology at El Palmar and the El Zotz Region, Guatemala</t>
  </si>
  <si>
    <t>10.1002/gea.21587</t>
  </si>
  <si>
    <t>A new paleoecology record from the El Palmar Cival adds to the emerging geoarchaeological record of El Zotz, Guatemala. El Palmar's 3 m stratigraphic record began in the Archaic period before 1500 B.C. at or just before initial Maya impacts. From the lowest level, Late Archaic organic deposition, with evidence for diverse tropical forest and a steady water table, transitioned to Early Preclassic clay deposition, decreased forest taxa, three known food taxa, and more economic species. Clay deposition continued through the Preclassic, with occasional organic and high charcoal deposition, increasing maize, and other possible economic pollen. Classic El Palmar saw a new land use type with continued disturbance evidence but diverse and greater forest cover. Human impacts continued, leaving high amounts of disturbance taxa, charcoal, and the highest maize pollen level, concomitant with lower deposition rates, $\delta$13C evidence of increased, diverse tropical forest taxa and organic sediments. El Zotz Aguada's Early Classic to Postclassic sediment record overlaps this, with maize and squash pollen evidence changing to Classic period copal tree pollen dominance. Both records indicate the maximum quantity of C4 taxa derived organic matter was about 40 \% , leaving at least half from C3 taxa such as tropical forest species. Copyright \textcopyright 2016 Wiley Periodicals, Inc.</t>
  </si>
  <si>
    <t>90-106</t>
  </si>
  <si>
    <t>Luzzadder-Beach2017_120.i</t>
  </si>
  <si>
    <t>El Zotz Aguada</t>
  </si>
  <si>
    <t>Soil Sediment Core</t>
  </si>
  <si>
    <t>Charred Material</t>
  </si>
  <si>
    <t>INTCAL98</t>
  </si>
  <si>
    <t>Luzzadder-Beach2017_120.ii</t>
  </si>
  <si>
    <t>El Diablo Aguada</t>
  </si>
  <si>
    <t>Luzzadder-Beach2017_120.iii</t>
  </si>
  <si>
    <t>Palmar Revine</t>
  </si>
  <si>
    <t>Luzzadder-Beach2017_120.iv</t>
  </si>
  <si>
    <t>El Palmar</t>
  </si>
  <si>
    <t>Luzzadder-Beach2017_120.v</t>
  </si>
  <si>
    <t>Peat and Charred Material</t>
  </si>
  <si>
    <t>Luzzadder-Beach2017_120.vi</t>
  </si>
  <si>
    <t>Finnigan Delta Plus isotope-ratio mass spectrometer along with a Costech elemental analyzer</t>
  </si>
  <si>
    <t>Increase in C4 Taxa</t>
  </si>
  <si>
    <t>Luzzadder-Beach2017_120.vii</t>
  </si>
  <si>
    <t>Luzzadder-Beach2017_120.viii</t>
  </si>
  <si>
    <t>Luzzadder-Beach2017_120.ix</t>
  </si>
  <si>
    <t>Luzzadder-Beach2017_120.x</t>
  </si>
  <si>
    <t>Luzzadder-Beach2017_120.xvi</t>
  </si>
  <si>
    <t>Luzzadder-Beach2017_120.xvii</t>
  </si>
  <si>
    <t>Northrop1996_135</t>
  </si>
  <si>
    <t>Northrop, L. A.; Horn, S. P.</t>
  </si>
  <si>
    <t>PreColumbian agriculture and forest disturbance in Costa Rica: palaeoecological evidence from two lowland rainforest lakes</t>
  </si>
  <si>
    <t>Lake-sediment cores from Laguna Bonilla and Laguna Bonillita provide evidence of prehistoric human impacts on lowland rain forests in Costa Rica. The longer Bonillita sediment record documents permanent settlement of the lake shores by 2560 BP, \~ 600 years earlier than previously inferred from the archaeological record. Zea pollen and charcoal fragments in cores from both lakes indicate a subsistence strategy that included maize cultivation and some use of fire. A marked decline in Myrsine pollen percentages \~ 1300 BP suggests local eradication of this woody plant, likely as a result of land clearance and/or the use of Myrsine for construction.</t>
  </si>
  <si>
    <t>289-299</t>
  </si>
  <si>
    <t>Northrop1996_135.iv</t>
  </si>
  <si>
    <t>Bonillita</t>
  </si>
  <si>
    <t>Bulk sediment and wood</t>
  </si>
  <si>
    <t>Northrop1996_135.v</t>
  </si>
  <si>
    <t>Bonilla</t>
  </si>
  <si>
    <t>Bulk sediment, organic matter</t>
  </si>
  <si>
    <t>Luzzadder-Beach2017_120.xviii</t>
  </si>
  <si>
    <t>Luzzadder-Beach2017_120.xix</t>
  </si>
  <si>
    <t>Luzzadder-Beach2017_120.xx</t>
  </si>
  <si>
    <t>Luzzadder-Beach2017_120.xxi</t>
  </si>
  <si>
    <t>Luzzadder-Beach2017_120.xxii</t>
  </si>
  <si>
    <t>Luzzadder-Beach2017_120.xxiii</t>
  </si>
  <si>
    <t>Frappier2013_63</t>
  </si>
  <si>
    <t>Frappier, A. B.</t>
  </si>
  <si>
    <t>Masking of interannual climate proxy signals by residual tropical cyclone rainwater: Evidence and challenges for low‐latitude speleothem paleoclimatology.</t>
  </si>
  <si>
    <t>Geochemistry, Geophysics, Geosystems</t>
  </si>
  <si>
    <t>10.1002/ggge.20218</t>
  </si>
  <si>
    <t>The anomalously low oxygen isotope ratio ($\delta$18O values) of tropical cyclone rainfall can transfer proxy information about past tropical cyclone activity to stalagmite oxygen isotope records. Isotopically distinct stormwater reaches the growing crystal surface as a coherent slug, or after attenuation by mixing with isotopically normal vadose groundwaters. A high-resolution micromilled stalagmite stable isotope record from Belize shows that residual tropical cyclone water from Hurricane Mitch masked the oxygen isotope record of a major El Ni \~ n o event. On decadal time scales, measured $\delta$18O values are affected by changes in local tropical cyclone frequency. Despite the tropical cyclone masking effect, the structure of the missing El Ni \~ n o event is preserved in the ATM-7 carbon isotope ratios ($\delta$13C values). In tropical cyclone-prone regions, the fidelity of stalagmite oxygen isotope proxy data to recording background climate signals is modulated by temporal variations in local tropical cyclone rainfall, and the sensitivity of individual stalagmites to tropical cyclone masking varies with hydrology. Speleothem $\delta$13C values, unaffected by tropical cyclones, can preserve the underlying structure of climatic variability. For low-latitude speleothems with C-O isotope covariance, intervals in which the $\delta$18O values are significantly lower than $\delta$13C values predict may indicate periods when local tropical cyclone masking of isotope-derived precipitation records is enhanced by greater infiltration of tropical cyclone rain. The temporal structure in stalagmite C-O isotope covariance has paleoenvironmental meaning that may be revealed by exploring factors associated with independent behavior in each isotope ratio, respectively. Tropical cyclone masking presents new challenges to paleoclimatology and a source of hypotheses for paleotempestology. \textcopyright 2013. American Geophysical Union. All Rights Reserved.</t>
  </si>
  <si>
    <t>3632-3647</t>
  </si>
  <si>
    <t>Frappier2013_63.i</t>
  </si>
  <si>
    <t>Actun Tunichil Muknal</t>
  </si>
  <si>
    <t>Climate;Precipitation;Tropical Cyclones</t>
  </si>
  <si>
    <t>Belizian pine savannas</t>
  </si>
  <si>
    <t>Tropical &amp; Subtropical Grasslands, Savannas &amp; Shrublands</t>
  </si>
  <si>
    <t>Whitmore1996_196</t>
  </si>
  <si>
    <t>Whitmore, T. J.; Brenner, M.; Curtis, J. H.; Dahlin, B. H.; Leyden, B. W.</t>
  </si>
  <si>
    <t>Holocene climatic and human influences on lakes of the Yucatan Peninsula, Mexico: an interdisciplinary, palaeolimnological approach</t>
  </si>
  <si>
    <t>The effects of Holocene climate change and human influence on 3 lakes of the Yucatan Peninsula, Mexico, (representing a gradient of increasing modern precipitation and density of former Maya settlement) were studied. At Lake Coba, an 880 cm sediment core yielded a complete record of lacustrine sedimentation that began when the lake first filled \~ 8000 BP as groundwater level rose. Lake Coba was initially shallow and saline. Coba (highest precipitation) showed more episodic water-level changes than Lake San Jose Chulchaca or Lake Sayaucil. High lake level and fresh water were evident at 440 cm ( \~ 2600 BP), followed by a decline in water levels and an increase in total ionic salinity to the present time. In a 613 cm core from Sayaucil (intermediate precipitation) total salinity was high between 600 and 400 cm ( \~ 3050 and 2000 BP), followed by higher water levels. Salinity was high in the lower portion of a 110 cm San Jose Chulchaca core (beginning \~ 1860 BP), followed by freshening of water to the present time. Maximal human disturbance at Lake Coba occurred during a deep-water event at 440 cm, followed by a decline in human influence and trophic state to the present time. Trophic state and linear sedimentation rates in Sayaucil increased above 400 cm (after \~ 2000 BP). Limnological disturbance may have preceded the period of maximal human occupation because initial land clearance and consequent soil erosion probably affected water quality substantially. San Jose Chulchaca lacks archaeological evidence of human occupation in the drainage, and shows gradual changes in trophic state. Some 14C dates and chronologies may be artificially old as a consequence of hard-water-lake error. Trophic state changes in the lakes were consistent with patterns of human settlement and population change. Late-Holocene water-level fluctuations were most pronounced in Lake Coba in eastern Yucatan where lake level is lower than during much of the past. Lake level was constant in Sayaucil in the central peninsula, whereas lake level increased gradually over time in San Jose Chulchaca in the arid western portion of the peninsula.</t>
  </si>
  <si>
    <t>273-287</t>
  </si>
  <si>
    <t>Whitmore1996_196.ii</t>
  </si>
  <si>
    <t>Coba</t>
  </si>
  <si>
    <t>Productivity</t>
  </si>
  <si>
    <t>UIC/Coulometrics Model 5011 coulometer</t>
  </si>
  <si>
    <t>SMOW ‰</t>
  </si>
  <si>
    <t>Mud</t>
  </si>
  <si>
    <t>Frappier2013_63.ii</t>
  </si>
  <si>
    <t>Douglas2014_44</t>
  </si>
  <si>
    <t>Douglas, P. M. J.; Pagani, M.; Eglinton, T. I.; Brenner, M.; Hodell, D. A.; Curtis, J. H.; Ma, K. F.; Breckenridge, A.</t>
  </si>
  <si>
    <t>Pre-aged plant waxes in tropical lake sediments and their influence on the chronology of molecular paleoclimate proxy records</t>
  </si>
  <si>
    <t>Geochimica et Cosmochimica Acta</t>
  </si>
  <si>
    <t>https://doi.org/10.1016/j.gca.2014.06.030</t>
  </si>
  <si>
    <t>Sedimentary records of plant-wax hydrogen ( delta Dwax) and carbon ( delta 13Cwax) stable isotopes are increasingly applied to infer past climate change. Compound-specific radiocarbon analyses, however, indicate that long time lags can occur between the synthesis of plant waxes and their subsequent deposition in marginal marine sediments. The influence of these time lags on interpretations of plant-wax stable isotope records is presently unconstrained, and it is unclear whether such time lags also affect lacustrine sediments. We present compound-specific radiocarbon (14Cwax) data for n-alkanoic acid plant waxes (n-C26 to n-C32) from: (1) a sediment core from Lake Chichancanab, Yucatan Peninsula, Mexico, (2) soils in the Lake Chichancanab catchment, and (3) surface sediments from three other lakes in southeastern Mexico and northern Guatemala. 14Cwax ages in the surface sediments are consistently older than modern, and may be negatively correlated with mean annual precipitation and positively correlated with lake catchment area. 14Cwax ages in soils surrounding Lake Chichancanab increase with soil depth, consistent with deep, subsoil horizons being the primary source of lacustrine aged plant waxes, which are likely delivered to lake sediments through subsurface transport. Plant waxes in the Lake Chichancanab core are 350-1200 years older than corresponding ages of bulk sediment deposition, determined by 14C dates on terrestrial plant macrofossils in the core. A delta Dwax time series is in closer agreement with other regional proxy hydroclimate records when a plant-wax 14C age model is applied, as opposed to the macrofossil-based core chronology. Inverse modeling of plant-wax age distribution parameters suggests that plant waxes in the Lake Chichancanab sediment core derive predominantly from millennial-age soil carbon pools that exhibit relatively little age variance ( \textless 200 years). Our findings demonstrate that high-temporal-resolution climate records inferred from stable isotope measures on plant waxes in lacustrine sediments may suffer from possible chronologic distortions as a consequence of long residence times of plant waxes in soils. They also underscore the importance of direct radiocarbon dating of these organic molecules.</t>
  </si>
  <si>
    <t>Douglas2014_44.i</t>
  </si>
  <si>
    <t>Lago Chichancanab</t>
  </si>
  <si>
    <t>Aquatic Vegetation</t>
  </si>
  <si>
    <t xml:space="preserve"> 1 M KOH</t>
  </si>
  <si>
    <t>Leaf waxes</t>
  </si>
  <si>
    <t>N/A</t>
  </si>
  <si>
    <t>Age reversals recorded</t>
  </si>
  <si>
    <t>https://doi.org/10.1016/j.gca.2014.06.031</t>
  </si>
  <si>
    <t>Douglas2014_44.ii</t>
  </si>
  <si>
    <t>dDwax</t>
  </si>
  <si>
    <t>Lases-Hernandez2020_208</t>
  </si>
  <si>
    <t>Lases-Hernández, F; Medina-Elizalde, M.; Benoit Frappier, A</t>
  </si>
  <si>
    <t>Drip water δ18O variability in the northeastern Yucatán Peninsula, Mexico: Implications for tropical cyclone detection and rainfall reconstruction from speleothems</t>
  </si>
  <si>
    <t>https://doi.org/10.1016/j.gca.2020.07.008</t>
  </si>
  <si>
    <t>This study examines the oxygen isotopic composition (δ18O values) of drip water, rainfall, and groundwater in the Río Secreto cave system, located in the Yucatán Peninsula, Mexico. The main motivation of this study was to determine the implications of drip water hydrology for the reconstruction of rainfall, droughts and tropical cyclone activity from stalagmite δ18O records. Monitoring of environmental and isotopic conditions was conducted for two years, from June 2017 to April 2019. This study provides the first instrumental evidence of an “amount effect” on interannual timescales in the Yucatán Peninsula. Observed bi-weekly to interannual variability in drip water δ18O values can be explained for individual drips by different integrations of rainfall amount in the time domain. Drip sites in two chambers (Stations A and B) integrate 4–15 months of rainfall accumulation. In a third chamber (Station LF) one drip site reflects the annual rainfall isotopic cycle with a positive offset and another, the largest rainfall events. During epikarst infiltration, the integration of rainfall amount by drip water source reservoirs determines the degree to which they “dilute” a tropical cyclone (TC) isotopic signature. TCs can be detected particularly when: (1) the water volume of the reservoir is low, such as during a persistent meteorological drought, and; (2) TCs have a sufficiently distinct isotopic signal relative to that of the reservoir prior to the event. TC isotopic signals can be masked or attenuated when drip water samples integrate more than a week and if significant rainfall events proceed the TC. In Río Secreto cave, reconstructing precipitation amount and detecting the TC isotopic signatures from stalagmite δ18O records is possible. Our analysis shows that stalagmite δ18O records are more likely to underestimate the magnitude of annual-scale droughts following normal hydroclimate conditions and more likely to record TCs during multiyear droughts than during normal or wet periods. Drip water monitoring results suggest that available stalagmite δ18O records from the Maya lowlands might be underestimating the intensity of paleo-drought events, such as the Terminal Classic droughts associated with the disintegration of the Maya civilization. This study complements the results from Lases-Hernandez et al. (2019) comparing two different sampling protocols of drip water collection. This study shows that a discrete sampling protocol is expected to approximate the amount-weighted isotopic composition of a drip, as long as it is conducted at a temporal resolution higher than the rainfall integration time by the drip reservoir. We highlight the importance of conducting multiyear monitoring of drip water and rainfall in order to interpret stalagmite δ18O as a paleoclimate proxy. © 2020 Elsevier Ltd</t>
  </si>
  <si>
    <t>237-256</t>
  </si>
  <si>
    <t>Rio Secreto Cave</t>
  </si>
  <si>
    <t>HNO3 Rinse &amp; Dry</t>
  </si>
  <si>
    <t>VSMOW ‰</t>
  </si>
  <si>
    <t>Absolute Measurement</t>
  </si>
  <si>
    <t>Lachniet2005_111</t>
  </si>
  <si>
    <t>Lachniet, M. S.; Asmerom, Y.; Burns, S. J.; Patterson, W. P.; Polyak, V. J.; Seltzer, G. O.; Hillaire-Marcel, C.; Ghaleb, B.; Genty, D.; Lachniet, M. S.; Asmerom, Y.; Burns, S. J.; Patterson, W. P.; Polyak, V. J.; Seltzer, G. O.</t>
  </si>
  <si>
    <t>Tropical response to the 8200 yr B.P cold event? Speleothem isotopes indicate a weakened early Holocene monsoon in Costa Rica</t>
  </si>
  <si>
    <t>Geology</t>
  </si>
  <si>
    <t>10.1130/0091-7613-33.1.e81</t>
  </si>
  <si>
    <t>A d18O monsoon rainfall proxy record from a U-Th–dated Costa Rican stalagmite (8840–4920 yr B.P.) documents an early Holocene dry period correlative with the highlatitude 8200 yr B.P. cold event. High d18O values between ca. 8300 and 8000 yr B.P. demonstrate reduced rainfall and a weaker monsoon in Central America. A relatively wetter and more stable monsoon was established ca. 7600 yr B.P. The early Holocene dry event suggests a tropical-extratropical teleconnection to the 8200 yr B.P. cold event and a possible association of isthmian rainfall anomalies with high-latitude climate changes. The likely source of such a tropical anomaly is a decrease in Atlantic thermohaline circulation and atmospheric perturbations associated with drainage of proglacial lakes and freshwater discharge into the North Atlantic. A weaker monsoon at 8200 yr B.P. may be linked to wetland contraction and a decrease in methane observed in Greenland ice cores.</t>
  </si>
  <si>
    <t>e80-e81</t>
  </si>
  <si>
    <t>Lachniet2005_111.i</t>
  </si>
  <si>
    <t>Venado Cave</t>
  </si>
  <si>
    <t xml:space="preserve"> H3PO4</t>
  </si>
  <si>
    <t>Lachniet2005_111.ii</t>
  </si>
  <si>
    <t>Frappier2007_65</t>
  </si>
  <si>
    <t>Frappier, A. B.; Sahagian, D.; Carpenter, S. J.; Gonzlez, L. A.; Frappier, B. R.</t>
  </si>
  <si>
    <t>Stalagmite stable isotope record of recent tropic cyclone events</t>
  </si>
  <si>
    <t>10.1130/G23145A.1</t>
  </si>
  <si>
    <t>We present a 23 yr stalagmite record[ (1977-2000) of oxygen isotope variation, associated with 11 tropical cyclones (TCs), from Actun Tunichil Muknal cave in central Belize. High-resolution microsampling yielded a record of monthly to weekly temporal resolution that contains abrupt decreases (negative excursions) in calcite $\delta$18O values that correspond with recent TC rain events nearby. A logistic discriminant model reliably identified TC proxy signals using the measurable parameters $\delta$18O and $\delta$13C values, and single point changes in $\delta$18O value. The logistic model correctly identified 80 \% of excursions as TC events and incorrectly classified only 1 of nearly 1200 nonstorm sampling points. In addition to enabling high-resolution TC frequency reconstruction, this geologic proxy also provides information about the intensity of individual TCs. A multiple regression predicted TC intensity (R2=0.465, p=0.034) using sampling frequency and excursion amplitude. Consistent with previous low-resolution studies, we found that the decadal average $\delta$18O value was lower during the 1990s when several TO produced rainfall in the area, but higher during the 1980s when only one TC struck. Longer, accurately dated, high-resolution speleothem stable isotope records may be a useful new tool for paleotempestology, to clarify associations between highly variable TC activity and the dynamic range of Quaternary climate. \textcopyright 2007 Geological Society of America.</t>
  </si>
  <si>
    <t>111-114</t>
  </si>
  <si>
    <t>Frappier2007_65.i</t>
  </si>
  <si>
    <t>Finnigan-MAT 252 gas isotope ratio mass spectrometer</t>
  </si>
  <si>
    <t>Frappier2007_65.ii</t>
  </si>
  <si>
    <t>Mueller2010_132</t>
  </si>
  <si>
    <t>Mueller, A. D.; Islebe, G. A.; Anselmetti, F. S.; Ariztegui, D.; Brenner, M.; Hodell, D. A.; Hajdas, I.; Hamann, Y.; Haug, G. H.; Kennett, D. J.</t>
  </si>
  <si>
    <t>Recovery of the forest ecosystem in the tropical lowlands of northen Guatemala after disintergration of Clasic Maya polities</t>
  </si>
  <si>
    <t>10.1130/G30797.1</t>
  </si>
  <si>
    <t>We employed paleolimnological methods to investigate tropical forest recovery and soil stabilization that followed abandonment of agricultural systems associated with disintegration of Classic Maya polities ca. A.D. 800-1000. We used lithological, geochemical, magnetic, and palynological data from sediment cores of Lake Pet \' e n Itz \' a in the Maya Lowlands of northern Guatemala. Sediment core chronology was developed using radiocarbon dates on terrestrial wood and charcoal fragments. Our results indicate that in the absence of large human populations and extensive farming activities, Pet \' e n forests recovered under humid climate conditions within a span of 80-260 yr. Soil stabilization postdates pollen evidence of forest regrowth stratigraphically, and required between 120 and 280 yr. We conclude that the tropical forest ecosystem in the watershed of Lake Pet \' e n Itz \' a had been reestablished by the early Postclassic Period (A.D. 1000-1200). \textcopyright 2010 Geological Society of America.</t>
  </si>
  <si>
    <t>523-526</t>
  </si>
  <si>
    <t>Mueller2010_132.ii</t>
  </si>
  <si>
    <t>Lago Peten Itza</t>
  </si>
  <si>
    <t>Climate;Precipitation;Vegetation;Agriculture</t>
  </si>
  <si>
    <t>Terestrial wood and charcoal</t>
  </si>
  <si>
    <t>Stansell2013_175</t>
  </si>
  <si>
    <t>Stansell, N. D.; Steinman, B. A.; Abbott, M. B.; Rubinov, M.; Roman-Lacayo, M.</t>
  </si>
  <si>
    <t>Lacustrine stable isotope record of precipitation changes in Nicaragua during the Little Ice Age and Medieval Climate Anomaly</t>
  </si>
  <si>
    <t>10.1130/G33736.1</t>
  </si>
  <si>
    <t>Discerning the influences of the El Ni \~ n o Southern Oscillation (ENSO) and the North Atlantic Oscillation (NAO) on drought variability in the tropics during the Medieval Climate Anomaly (MCA) and Little Ice Age (LIA) will help to improve our understanding of climate system responses to internal and external forcing. Sediments from Lago El Gancho, Nicaragua, provide an \~ 1400 yr record of water balance (precipitation and evaporation) changes from a region that is sensitive to teleconnected Pacific and Atlantic ocean-atmosphere dynamics. Oxygen isotope values of ostracod carapaces ($\delta$18Oostracod) are consistently low in El Gancho sediments between ca. A.D. 950 and 1250, indicating that wetter conditions prevailed during the MCA, a period of La Ni \~ n a-like mean state conditions in the tropical Pacific, and a positive mean state of the NAO. The \~ 150 yr period between the MCA and LIA was marked by an abrupt shift to persistently drier conditions at a time of highly variable Pacific sea-surface temperatures, and a transition toward a more negative NAO phase. In sediment from ca. A.D. 1450 to the present, $\delta$18Oostracod values increase, suggesting that drier conditions persisted through most of the LIA, a time of a relatively negative NAO phase and El Ni \~ n o-like mean state conditions in the tropical Pacific. The long-term precipitation trends inferred from the El Gancho data are not entirely consistent with modern associations between precipitation in the circum-Caribbean region and the NAO, suggesting that present-day hydroclimatic shifts resulting from variability in synoptic climate patterns are dissimilar to changes resulting from teleconnected ocean-atmosphere dynamics that operated during the MCA and LIA. \textcopyright 2012 Geological Society of America.</t>
  </si>
  <si>
    <t>151-154</t>
  </si>
  <si>
    <t>Nicaragua</t>
  </si>
  <si>
    <t>El Gancho</t>
  </si>
  <si>
    <t>Charcoal</t>
  </si>
  <si>
    <t>INTCAL09</t>
  </si>
  <si>
    <t>Central American dry forests</t>
  </si>
  <si>
    <t>Krause2019_108</t>
  </si>
  <si>
    <t>Krause, S.; Beach, T.; Luzzadder, B.; Cook, D.; Islebe, G.; Palacios-Fest, M. R.; Eshleman, S.; Doyle, C.; Guderjan, T. H.; Luzzadder-Beach, S.; Cook, D.; Islebe, G.; Palacios-Fest, M. R.; Eshleman, S.; Doyle, C.; Guderjan, T. H.</t>
  </si>
  <si>
    <t>Wetland geomorphology and paleoecology near Akab Muclil, Rio Bravo floodplain of the Belize coastal plain</t>
  </si>
  <si>
    <t>Geomorphology</t>
  </si>
  <si>
    <t>http://dx.doi.org/10.1016/j.geomorph.2018.10.015</t>
  </si>
  <si>
    <t>To understand wetland geomorphology and paleoecology, we collected a 2.6 m sediment core from a flooded swamp adjacent to the Maya archaeological site of Akab Muclil in the Maya Lowlands of northwestern Belize. The site of Akab Muclil has a known occupation that persisted from Early Maya Classic (1700-1350 BP) through the Terminal Maya Classic (1180-1050 BP) and into the Postclassic (1050-450 BP) and lies near a vast network of ancient Maya canal and field systems. We analyzed this core using a combination of paleoecological and geochemical techniques to determine the history of land use and natural change over time within this wetland. Accelerator Mass Spectrometry dating, pollen, charcoal analysis, micropaleontology, geochemical analysis, and magnetic susceptibility provide a suite of methods from which we interpret the geomorphic and ecological history of this wetland system. Four AMS dates from the length of the core provide us with an age model that runs from 1675 cal BP through the Maya Classic onward to the present. At the base of this system, soil composition and chemistry provide evidence that the system changed from a seasonally wet terrestrial soil to a perennially wet swamp, as the basal Mollisol soil lies buried by peats and calcareous sediments. This shift to a perennial wetland could be related to ancient Maya water management or a natural geomorphic change, though we suspect the former because of nearby ancient Maya large-scale geomorphic and hydrological manipulation in the form of intensive canalization and agriculture. Evidence of ancient Maya uses and impacts, including sedimentation, Zea mays pollen, and high charcoal counts occur from the lowest levels of the sequence through the Classic and into the Postclassic period. Above this level, the strata change to stable peats, laminated deposits of light gray/dark gray gypsum, authigenic carbonate, and layers of fibrist peat, with little evidence of human impact until recent increases in charcoal and phosphorous. This study, compared with other regional studies, indicates a later transition from terrestrial to wetland, later human impacts in the Postclassic, and a geomorphic impact record closely tied to the history of the adjacent site rather than broader land use trends.</t>
  </si>
  <si>
    <t>146-159</t>
  </si>
  <si>
    <t>Krause2019_108.i</t>
  </si>
  <si>
    <t>Akab Muclil</t>
  </si>
  <si>
    <t>Swamp Sediments</t>
  </si>
  <si>
    <t>Krause2019_108.ii</t>
  </si>
  <si>
    <t>Krause2019_108.iii</t>
  </si>
  <si>
    <t>Krause2019_108.iv</t>
  </si>
  <si>
    <t>Krause2019_108.v</t>
  </si>
  <si>
    <t>Catchment Erosion;Land Use Change</t>
  </si>
  <si>
    <t>Olympus BTX profile XRF on Helium mode</t>
  </si>
  <si>
    <t>Krause2019_108.vi</t>
  </si>
  <si>
    <t>Oldfield et al. 1999</t>
  </si>
  <si>
    <t>k</t>
  </si>
  <si>
    <t>Krause2019_108.vii</t>
  </si>
  <si>
    <t>Vegetation;Argiculture</t>
  </si>
  <si>
    <t>HCL</t>
  </si>
  <si>
    <t>Frappier2014_64</t>
  </si>
  <si>
    <t>Frappier, A. B.; Pyburn, J.; Pinkey-Drobnis, A. D.; Wang, X.; Corbett, D. R.; Dahlin, B. H.</t>
  </si>
  <si>
    <t>Two millennia of tropical cyclone-induced mud layers in a northern Yucatan stalagmite: Multiple overlapping climatic hazards during the Maya Terminal Classic "megadroughts"</t>
  </si>
  <si>
    <t>Geophysical Research Letters</t>
  </si>
  <si>
    <t>10.1002/2014GL059882</t>
  </si>
  <si>
    <t>An annually laminated stalagmite from the northern Yucat \' a n Peninsula contains mud layers from 256 cave flooding events over 2240 years. This new conservative proxy for paleotempestology recorded cave flooding events with a recurrence interval of 8.3 years during the twentieth century, with the greatest frequency during the twentieth century and the least frequent during the seventeenth century. Tropical cyclone (TC) events are unlikely to flood the cave during drought when the water table is depressed. Applying TC masking to the Chaac paleorainfall reconstruction suggests that the severity of the Maya megadroughts was underestimated. Without a high-resolution radiometric geochronology of individual local TC events, speleothem isotope records cannot resolve whether the Terminal Classic Period in the northern Maya Lowlands was punctuated by several brief drought breaks with normal TCs, or whether the region was very dry and peppered by unusually severe and frequent hurricane seasons. \textcopyright 2014. American Geophysical Union. All Rights Reserved.</t>
  </si>
  <si>
    <t>5148-5157</t>
  </si>
  <si>
    <t>Cenote Chaltun Ha</t>
  </si>
  <si>
    <t>Flooding;Tropical Cyclones</t>
  </si>
  <si>
    <t>Medina-Elizalde2016_125</t>
  </si>
  <si>
    <t>Medina-Elizalde, M.; Burns, S. J.; Polanco-Martnez, J. M.; Beach, T.; Lases-Hernndez, F.; Shen, C. C.; Wang, H. C.</t>
  </si>
  <si>
    <t>High-resolution speleothem record of precipitation from the Yucatan Peninsula spanning the Maya Preclassic Period</t>
  </si>
  <si>
    <t>Global and Planetary Change</t>
  </si>
  <si>
    <t>10.1016/j.gloplacha.2015.10.003</t>
  </si>
  <si>
    <t>We produced a new high-resolution absolute U-Th dated stalagmite oxygen isotope record ($\delta$18O) from R \' i o Secreto, Playa del Carmen, Yucatan Peninsula (YP). This new 1434-year stalagmite record (named Itzamna after the Maya god of creation) spans the time interval between BCE 1037 and CE 397 with an average resolution of 8 ± 2 years. It provides a novel view of climate evolution over the Preclassic and early Classic periods in Maya history. To understand the controls of regional precipitation $\delta$18O on seasonal time scales, we characterized the amount effect between precipitation amount (P) and precipitation $\delta$18O ($\delta$P). We found that precipitation $\delta$18O in the Yucatan Peninsula is controlled by the amount effect on seasonal scales ($\delta$P/$\delta$P = -0.0137 ± 0.0031‰ per mm, r = 0.9), as suspected but never before demonstrated. Cave drip $\delta$18O is consistent with the annual amount-weighted $\delta$18O composition of precipitation. Multiple lines of evidence suggest that stalagmite $\delta$18O reflects isotopic equilibrium conditions and thus stalagmite $\delta$18O changes are interpreted to reflect precipitation amount. We determined quantitative precipitation changes from the stalagmite $\delta$18O record following previous methods (Medina-Elizalde and Rohling, 2012). The stalagmite precipitation record suggests twelve periods of anomalous precipitation reductions ranging between about 30 and 70 \% below mean conditions at the time and with durations from 6 years to 31 years. Between BCE 520 and 166, the speleothem precipitation record suggests that the YP experienced an interval of high precipitation labeled the Late Preclassic Humid Period (LPHP) with precipitation maxima of up to +86 ± 20 \% . Preclassic Maya cultural expansion in El Mirador Basin, located in northern Guatemala, took place while the peninsula transitioned from the LPHP to an interval with below average precipitation. We find that the Preclassic abandonment of major centers in the Mirador Basin and others around the Maya Lowlands was synchronous with two unprecedented multi-decadal events of severe precipitation reduction with magnitudes of -55 ± 13 \% and -49 ± 12 and centered at CE 186 and 234, respectively. We also find evidence that centennial scale precipitation variability in the YP during the Preclassic Period may have been associated with shifts in rainfall fluxes from Atlantic tropical cyclones. \textcopyright 2015 Elsevier B.V.</t>
  </si>
  <si>
    <t>93-102</t>
  </si>
  <si>
    <t>Laberinto del Fauno</t>
  </si>
  <si>
    <t>On-line carbonate preparation system linked to a Finnigan Delta Plus XL ratio mass spectrometer.</t>
  </si>
  <si>
    <t>Leyden1998_119</t>
  </si>
  <si>
    <t>Leyden, B. W.; Brenner, M.; Dahlin, B. H.</t>
  </si>
  <si>
    <t>Cultural and Climatic History of Cobá, a Lowland Maya City in Quintana Roo, Mexico</t>
  </si>
  <si>
    <t>10.1006/qres.1997.1941</t>
  </si>
  <si>
    <t>Lake Coba, within the archaeological site of Coba, provides evidence bearing on lowland Maya development, Palynological and geochemical data record multidecadal precipitation cycles from a 8.80-m, &gt;8370-yr lake-sediment sequence terminating on bedrock. Late Classic sedimentation rates are rapid, but an anthropogenically derived colluvium layer is lacking, Initial vegetation was medium semi-deciduous and swamp forest. Forest clearance began 1650 B.C. (Early Preclassic) and maize first occurred at 850 B.C. (Middle Preclassic). Lakeside milpas existed until A.D. 720 (Late Classic) and then were moved from the city center as urbanization intensified and Lake Coba was diked as a reservoir. Coba was at most briefly vacated during the Classic Collapse and was abandoned after A.D. 1240, although some habitation persisted. The paleoecological record matches the archaeological history for Coba, but pervasive disturbance muted the climatic signal, as the Late Classic drought is barely evident. The question whether economic trees were maintained within the city is unresolved, Maize cultivation allowed the Maya to develop a complex society and support a large population, but dependence on maize was ultimately doomed by variable rainfall. Precipitation in extreme years was insufficient to support crops, while native vegetation was not directly affected by drought that devastated Maya agriculture, (C) 1998 University of Washington.</t>
  </si>
  <si>
    <t>111-122</t>
  </si>
  <si>
    <t>Leyden1998_119.ii</t>
  </si>
  <si>
    <t>Bioturbation</t>
  </si>
  <si>
    <t>UIC/Coulometrics Model 5011 coulometer in conjunction with a System 140 preparation line that employed 1 N HClO4 to evolve CO2 from carbonates., LOI</t>
  </si>
  <si>
    <t>mg g-1</t>
  </si>
  <si>
    <t>Depth|Time</t>
  </si>
  <si>
    <t>Leyden1998_119.iii</t>
  </si>
  <si>
    <t>550 ◦C, 1 N HCl</t>
  </si>
  <si>
    <t>Leyden1998_119.iv</t>
  </si>
  <si>
    <t>Wahl2007_191</t>
  </si>
  <si>
    <t>Wahl, D.; Byrne, R.; Schreiner, T.; Hansen, R.</t>
  </si>
  <si>
    <t>Palaeolimnological evidence of late-Holocene settlement and abandonment in the Mirador Basin, Peten, Guatemala</t>
  </si>
  <si>
    <t>Holocene</t>
  </si>
  <si>
    <t>10.1177/0959683607080522</t>
  </si>
  <si>
    <t>Pollen, loss on ignition and magnetic susceptibility analyses provide a high-resolution palaeoenvironmental record from Lago Puerto Arturo, Peten, Guatemala. The presence of Zea pollen -2650 BC provides a latest date for the arrival of maize agriculture to the region. The following 3600 years are marked by significant opening of the forest and episodic pulses of erosion. During the early Preclassic, around 1450 BC, all proxies indicate an abrupt increase in human activity, coincident with archaeological evidence of early settlement. Three discrete periods of decreased human activity are indicated by cessations of landscape disturbance. Such decreased human activity likely reflects periodic local population decline. These events coincide with times of cultural transition in the Maya lowlands and correspond to the terminal phases of the middle Preclassic, late Preclassic and late Classic periods. There is no evidence for human activity in the area following the late Classic abandonment. \textcopyright 2007 SAGE Publications.</t>
  </si>
  <si>
    <t>813-820</t>
  </si>
  <si>
    <t>Wahl2007_191.i</t>
  </si>
  <si>
    <t>Lago Puerto Arturo</t>
  </si>
  <si>
    <t>Faegri and Iverson, 1989</t>
  </si>
  <si>
    <t>Charcoal, insect fragments, wood, terrestrial and emergent aquatic plants</t>
  </si>
  <si>
    <t>Clement2001_29</t>
  </si>
  <si>
    <t>Clement, R. M.; Horn, S. P.</t>
  </si>
  <si>
    <t>Pre-Columbian land-use history in Costa Rica: a 3000-year record of forest clearance, agriculture and fires from Laguna Zoncho</t>
  </si>
  <si>
    <t>We analysed pollen and charcoal in a lake-sediment core from Laguna Zoncho, a small mid-elevation lake in southernmost Costa Rica. The record provides evidence of 3000 years of human occupation, forest clearance, agriculture and fires in the area. Laguna Zoncho is located 2 km from the Las Cruces Biological Station, and results are relevant to understanding the likely extent of prehistoric disturbance within the premontane rain forests of this biological reserve. Pollen grains of Zea mays in the basal sediments of the Zoncho core constitute the oldest botanical evidence of maize cultivation in southern Costa Rica. The presence of maize pollen in almost every sample analysed indicates nearly continuous occupation of the lake basin for 3000 years. Charcoal abundances and percentages of pollen grains and spores of forest and disturbance taxa fluctuate strongly downcore, reflecting variable intensities of past human impact. Forest clearance and burning by indigenous people were most marked between 3240 and 460 calibrated year BP. Sediments deposited subsequently indicate forest regeneration and few, if any, fires. However, indigenous cultivation of maize continued on a small scale until European settlement in the twentieth century.</t>
  </si>
  <si>
    <t>419-426</t>
  </si>
  <si>
    <t>Clement2001_29.i</t>
  </si>
  <si>
    <t>Laguna Zoncho</t>
  </si>
  <si>
    <t>Clement2001_29.ii</t>
  </si>
  <si>
    <t>Charcoal (Undefined)</t>
  </si>
  <si>
    <t>cm2</t>
  </si>
  <si>
    <t>Clement2001_29.iii</t>
  </si>
  <si>
    <t>Clement2001_29.iv</t>
  </si>
  <si>
    <t>Wahl2007_191.ii</t>
  </si>
  <si>
    <t>Wahl2007_191.iii</t>
  </si>
  <si>
    <t>Wahl2007_191.iv</t>
  </si>
  <si>
    <t>Bartington Magnetic Sensor MS2C coil</t>
  </si>
  <si>
    <t>Díaz2017_40</t>
  </si>
  <si>
    <t>Díaz, K. A.; Pérez, L.; Correa-Metrio, A.; Franco-Gaviria, J. F.; Echeverría, P.; Curtis, J.; Brenner, M.</t>
  </si>
  <si>
    <t>Holocene environmental history of tropical, mid-altitude Lake Ocotalito, México, inferred from ostracodes and non-biological indicators</t>
  </si>
  <si>
    <t>10.1177/0959683616687384</t>
  </si>
  <si>
    <t>This paleolimnological study used ostracodes assemblages, element concentrations, organic and inorganic carbon content, organic C:N ratios, and stable isotope values in valves of the ostracodes Cytheridella ilosvayi as paleoindicators and is the first such investigation from a mid-elevation site in southern México. We provide a ~7600-year (9540–1970 BP) environmental history from karst Lake Ocotalito (920 m a.s.l.), which lies in the Lacandon Forest of Chiapas, México. A 5.4-m sediment core was retrieved from a water depth of 23 m. The main factor that shaped ostracodes species assemblages throughout the Holocene was lake level. A total of six species were identified, and the benthic Cytheridella ilosvayi was dominant. Less abundant species included nektobenthic taxa Cypridopsis okeechobei, Heterocypris putei, and Potamocypris sp. and benthic species Darwinula stevensoni and Pseudocandona sp. Wet conditions, high lake levels (&amp;gt;15 m), and low ostracodes abundances characterized the period between ~9540 and ~7820 BP. From ~7750 to 6460 BP, indicators point to stable conditions and intermediate lake levels (~15 m). Greatest ostracodes abundance and diversity occurred from ~6200 to ~4030 BP, during which mainly drier conditions were inferred, interrupted by short, humid periods. Lower abundances and low Sr and δ18O values characterized the period from ~3810 to ~1970 BP and indicate higher lake levels, that is, wetter conditions. Throughout this period, however, a slight trend toward drier conditions was observed. Comparison with paleolimnological studies in other karst lakes from the region suggests mid-altitude aquatic ecosystems may be more sensitive to climate fluctuations than lakes in the lowlands. For instance, stable isotope records from the Lake Ocotalito core display greater ranges. This, however, may simply reflect inter-lake differences in sensitivity, controlled by lake-specific hydrologic factors. The record from Lake Ocotalito fills an important gap in our knowledge of past biotic diversity, paleoclimate, and paleoenvironmental conditions in the northern Neotropics. © 2017, © The Author(s) 2017.</t>
  </si>
  <si>
    <t>1308-1317</t>
  </si>
  <si>
    <t>Lake Ocotalito</t>
  </si>
  <si>
    <t>Ostracodea</t>
  </si>
  <si>
    <t>Climate;Precipitation;Water Level</t>
  </si>
  <si>
    <t>Johanson2019_98</t>
  </si>
  <si>
    <t>Johanson, E. N.; Horn, S. P.; Lane, C. S.</t>
  </si>
  <si>
    <t>Pre-Columbian agriculture, fire, and Spanish contact: A 4200-year record from Laguna Los Mangos, Costa Rica</t>
  </si>
  <si>
    <t>10.1177/0959683619862032</t>
  </si>
  <si>
    <t>We present a lake-sediment record of pre-Columbian agriculture and fire history from the lowlands of southern Pacific Costa Rica that captures the arrival of maize agriculture at ca. 3360 cal yr BP in the Diquis subregion of the Gran Chiriqui archeological region. Our 4200-year record from Laguna Los Mangos begins 1000 to 2000 years earlier than other lake records from the region and provides the first microfossil and geochemical evidence of vegetation and fire prior to the establishment of maize agriculture. This early portion of the record shows evidence of fire events associated with land clearance or field preparation and maintenance for subsistence activities. Alternatively, these were wildfires ignited unintentionally by people or naturally by lightning or volcanism. Evidence of early maize by ca. 3200 cal yr BP was found at Laguna Zoncho in the southeastern section of the Diquis subregion. Our discovery of early maize agriculture at ca. 3360 cal yr</t>
  </si>
  <si>
    <t>1743-1757</t>
  </si>
  <si>
    <t>Johanson2019_98.iii</t>
  </si>
  <si>
    <t>Laguna Los Mangos</t>
  </si>
  <si>
    <t>HF, HCl, KOH, acetolysis, safranin stain, silicone oil</t>
  </si>
  <si>
    <t>Agricultural Taxa;Weedy/Disturbance Taxa</t>
  </si>
  <si>
    <t>Charcoal, Wood, Leaf</t>
  </si>
  <si>
    <t>Costa Rican seasonal moist forests</t>
  </si>
  <si>
    <t>Johnston2001_100</t>
  </si>
  <si>
    <t>Johnston, K. J.; Breckenridge, A. J.; Hansen, B. C.</t>
  </si>
  <si>
    <t>Paleoecological evidence of an early postclassic occupation in the southwestern Maya lowlands: Laguna Las Pozas, Guatemala</t>
  </si>
  <si>
    <t>Latin American Antiquity</t>
  </si>
  <si>
    <t>10.2307/972053</t>
  </si>
  <si>
    <t>Magnetic, palynological, and paleoecological data indicate that in the</t>
  </si>
  <si>
    <t>149-166</t>
  </si>
  <si>
    <t>Johnston2001_100.i</t>
  </si>
  <si>
    <t>Laguana las Pozas</t>
  </si>
  <si>
    <t>UIC model 501 1 CO2 coulometer, LOI</t>
  </si>
  <si>
    <t>Plant macrofossils, carbonized leaf</t>
  </si>
  <si>
    <t>Johanson2019_98.iv</t>
  </si>
  <si>
    <t>(Clark, 1982)</t>
  </si>
  <si>
    <t>mm-2 cm-2 yr-1</t>
  </si>
  <si>
    <t>Johanson2019_98.vi</t>
  </si>
  <si>
    <t>Costech 4010 elemental analyzer</t>
  </si>
  <si>
    <t>Johanson2019_98.vii</t>
  </si>
  <si>
    <t>Olympus BTX Profiler XRF</t>
  </si>
  <si>
    <t>Johnston2001_100.v</t>
  </si>
  <si>
    <t>Adomat2017_5</t>
  </si>
  <si>
    <t>Adomat, F.; Gischler, E.</t>
  </si>
  <si>
    <t>Assessing the suitability of Holocene environments along the central Belize coast, Central America, for the reconstruction of hurricane records</t>
  </si>
  <si>
    <t>International Journal of Earth Sciences</t>
  </si>
  <si>
    <t>10.1007/s00531-016-1319-y</t>
  </si>
  <si>
    <t>Since the Belize coast was repeatedly affected by hurricanes and the paleohurricane record for this region is poor, sediment cores from coastal lagoon environments along the central Belize coast have been examined in order to identify storm deposits. The paleohurricane record presented in this study spans the past 8000 years and exhibits three periods with increased evidences of hurricane strikes occurring at 6000–4900, 4200–3600 and 2200–1500 cal yr BP. Two earlier events around 7100 and 7900 cal yr BP and more recent events around 180 cal yr BP and during modern times have been detected. Sand layers, redeposited corals and lagoon shell concentrations have been used as proxies for storm deposition. Additionally, hiatuses and reversed ages may indicate storm influence. While sand layers and corals represent overwash deposits, the lagoon shell concentrations, which mainly comprise the bivalve Anomalocardia cuneimeris and cerithid gastropods, have been deposited due to changes in lagoon salinity during and after storm landfalls. Comparison with other studies reveals similarities with one record from Belize, but hardly any matches with other published records. The potential for paleotempestology reconstructions of the barrier–lagoon complexes along the central Belize coast differs depending on geomorphology, and deposition of washovers in the lagoon basins is limited, probably due to the interplay of biological, geological and geomorphological processes. \textcopyright 2016, Springer-Verlag Berlin Heidelberg.</t>
  </si>
  <si>
    <t>283-309</t>
  </si>
  <si>
    <t>Adomat2017_5.i</t>
  </si>
  <si>
    <t>Manatee Lagoon</t>
  </si>
  <si>
    <t>Tropical Cyclones</t>
  </si>
  <si>
    <t>Organic matter, Bivalve shell</t>
  </si>
  <si>
    <t>Mesoamerican Gulf-Caribbean mangroves</t>
  </si>
  <si>
    <t>Mangroves</t>
  </si>
  <si>
    <t>Adomat2017_5.ii</t>
  </si>
  <si>
    <t>Adomat2017_5.iii</t>
  </si>
  <si>
    <t>Adomat2017_5.iv</t>
  </si>
  <si>
    <t>Bivalve shell</t>
  </si>
  <si>
    <t>Adomat2017_5.v</t>
  </si>
  <si>
    <t>JaeGeun2002_96.i</t>
  </si>
  <si>
    <t>Carlo-Erba series 5000 CHN-S analyzer., LOI</t>
  </si>
  <si>
    <t>JaeGeun2002_96.ii</t>
  </si>
  <si>
    <t>JaeGeun2002_96.iii</t>
  </si>
  <si>
    <t>JaeGeun2002_96.iv</t>
  </si>
  <si>
    <t>JaeGeun2002_96.v</t>
  </si>
  <si>
    <t>JaeGeun2002_96.vi</t>
  </si>
  <si>
    <t>Adomat2017_5.vi</t>
  </si>
  <si>
    <t>Mullins River Beach</t>
  </si>
  <si>
    <t>Beach Sediment Core</t>
  </si>
  <si>
    <t>Organic matter</t>
  </si>
  <si>
    <t>Adomat2017_5.vii</t>
  </si>
  <si>
    <t>Adomat2017_5.viii</t>
  </si>
  <si>
    <t>Adomat2017_5.ix</t>
  </si>
  <si>
    <t>Adomat2017_5.x</t>
  </si>
  <si>
    <t>Colson Point Lagoon</t>
  </si>
  <si>
    <t>Adomat2017_5.xi</t>
  </si>
  <si>
    <t>JaeGeun2002_96.xiii</t>
  </si>
  <si>
    <t>Inductively Coupled Plasma spectroscopy</t>
  </si>
  <si>
    <t>g m2 yr1</t>
  </si>
  <si>
    <t>JaeGeun2002_96.xiv</t>
  </si>
  <si>
    <t>JaeGeun2002_96.xv</t>
  </si>
  <si>
    <t>JaeGeun2002_96.xvi</t>
  </si>
  <si>
    <t>JaeGeun2002_96.xvii</t>
  </si>
  <si>
    <t>JaeGeun2002_96.xviii</t>
  </si>
  <si>
    <t>Adomat2017_5.xii</t>
  </si>
  <si>
    <t>Adomat2017_5.xiii</t>
  </si>
  <si>
    <t>Organic matter, Bivalve shell, coral</t>
  </si>
  <si>
    <t>Adomat2017_5.xiv</t>
  </si>
  <si>
    <t>Adomat2017_5.xv</t>
  </si>
  <si>
    <t>Adomat2017_5.xvi</t>
  </si>
  <si>
    <t>Commerce Bight Lagoon</t>
  </si>
  <si>
    <t>Adomat2017_5.xvii</t>
  </si>
  <si>
    <t>Organic matter, peat, coral</t>
  </si>
  <si>
    <t>Adomat2017_5.xviii</t>
  </si>
  <si>
    <t>Adomat2017_5.xix</t>
  </si>
  <si>
    <t>Adomat2017_5.xx</t>
  </si>
  <si>
    <t>Coral</t>
  </si>
  <si>
    <t>Adomat2017_5.xxi</t>
  </si>
  <si>
    <t>Sapodilla</t>
  </si>
  <si>
    <t>Adomat2017_5.xxii</t>
  </si>
  <si>
    <t>Peat</t>
  </si>
  <si>
    <t>Adomat2017_5.xxiii</t>
  </si>
  <si>
    <t>Bivalve shell, peat</t>
  </si>
  <si>
    <t>Adomat2017_5.xxiv</t>
  </si>
  <si>
    <t>Adomat2017_5.xxv</t>
  </si>
  <si>
    <t>Adomat2017_5.xxvi</t>
  </si>
  <si>
    <t>Fleury2014_60</t>
  </si>
  <si>
    <t>Fleury, S.; Malaizé, B.; Giraudeau, J.; Galop, D.; Bout-Roumazeilles, V.; Martinez, P.; Charlier, K.; Carbonel, P.; Arnauld, M. C.</t>
  </si>
  <si>
    <t>Impacts of Mayan land use on Laguna Tuspan watershed (Peten, Guatemala) as seen through clay and ostracode analysis</t>
  </si>
  <si>
    <t>Journal of Archaeological Science</t>
  </si>
  <si>
    <t>10.1016/j.jas.2014.05.032</t>
  </si>
  <si>
    <t>Most of the cities built by the Mayas in the Petén area, in the Central Yucatán Peninsula, were abandoned 1200 to 1000 years ago. The phenomenon is sometimes un-appropriately called "the collapse of the Maya civilization". Its main causes are still debated, ranging from climatic according to the occurrence of severe or modest droughts, to societal in the form of environmental mismanagement of the environment. In both processes, it is inferred that stress triggered the formation in many Petén lake sediments of erosional clay deposits, known as 'Maya clays'.This work presents a high resolution, multi-proxy study of 'Maya clays' in lacustrine sediments from Laguna Tuspán, near the archaeological site of La Joyanca. Micropaleontological (ostracodes), mineralogical (clay minerals) and geochemical (bulk elemental composition and stable isotopes in organic carbon) records reveal three different phases of soil erosion throughout the last 5300 years. The oldest phase from 5281 to 2998calyrBP (i.e. 3331 - 1048 BC) is characterized by successive natural and moderate soil erosion deposits which follow climatic variations recorded in the American tropical belt. The time interval between 2998 and 1281calyrBP (i.e. 1048 BC and AD 661) contains four distinct erosional layers which, according to clay mineralogy, are indicative of both increased erosion of the regolith and strong soil loss. The most recent, also the most massive, deposit of Maya clay ends around 1281calyrBP (AD 661), that is some 200 years before the so-called 'Maya collapse' in the Petén area. Recent archeological fieldwork studies indicate that a population mobility took place into the city of La Joyanca from its hinterland by the early Late Classic Period (ca. AD 600), that is, at the end or just after this erosion episode, and well before the occurrence of the Terminal Classic-Postclassic (AD 800-1250) drastic climatic changes. Shifts in environmental management by the local society and timing of urbanization may explain environmental changes better than droughts per se. © 2014 Elsevier Ltd.</t>
  </si>
  <si>
    <t>372-382</t>
  </si>
  <si>
    <t>Fleury2014_60.i</t>
  </si>
  <si>
    <t>Laguna Tusp</t>
  </si>
  <si>
    <t>Climate;Water Level;Land Use Change</t>
  </si>
  <si>
    <t>Fleury2014_60.ii</t>
  </si>
  <si>
    <t>Climate</t>
  </si>
  <si>
    <t>LECO C-S analyzer</t>
  </si>
  <si>
    <t>Fleury2014_60.iii</t>
  </si>
  <si>
    <t>Fleury2014_60.iv</t>
  </si>
  <si>
    <t>Climate;Water Level</t>
  </si>
  <si>
    <t>PDB ‰</t>
  </si>
  <si>
    <t>Dull2004_46</t>
  </si>
  <si>
    <t>Dull, R. A.</t>
  </si>
  <si>
    <t>A Holocene record of Neotropical savanna dynamics from El Salvador</t>
  </si>
  <si>
    <t>Journal of Paleolimnology</t>
  </si>
  <si>
    <t>10.1023/B:JOPL.0000042906.46791.9c</t>
  </si>
  <si>
    <t>The historical ecology of the Ahuachapan savanna is reconstructed from a 4.83-m sediment core from Laguna Llano del Espino, Ahuachapan, western El Salvador. Stable carbon isotopes ($\delta$ 13C), pollen, and charred grass cuticles indicate Holocene grassland dominance from at least ca. 3300 cal yr B.P. to the present. The role of people in the creation and maintenance of Central American savannas is considered in light of the paleoecological record. The data suggest that pre-Columbian inhabitants of western El Salvador suppressed shrub and tree encroachment via frequent burning from ca. 2500 to 500 cal yr. B.P. A substantial increase in woody taxa (Mimosoideae, Urticales) and a decrease in biomass burning are evident in the pollen and charcoal records beginning around the time of the first European contact (ca 500 cal yr B.P.). Evidence for frequent burning and grassland dominance before the arrival of the Europeans, followed by shrub and tree encroachment amid a near absence of fire after contact, suggests that the openness of the Ahuachapan savanna was maintained by the pre-Columbian inhabitants of the Rio Paz Valley throughout the late Holocene.</t>
  </si>
  <si>
    <t>219-231</t>
  </si>
  <si>
    <t>Dull2004_46.iv</t>
  </si>
  <si>
    <t>El Salvador</t>
  </si>
  <si>
    <t>Laguna del Espino</t>
  </si>
  <si>
    <t>Bartington MS2C</t>
  </si>
  <si>
    <t>Bulk lake sediments/paleosol</t>
  </si>
  <si>
    <t>Dull2004_46.v</t>
  </si>
  <si>
    <t>Dull2004_46.vi</t>
  </si>
  <si>
    <t>Jacob1995_94</t>
  </si>
  <si>
    <t>Jacob, J. S.</t>
  </si>
  <si>
    <t>Ancient maya wetland agricultural fields in cobweb swamp, belize: Construction, chronology, and function</t>
  </si>
  <si>
    <t>Journal of Field Archaeology</t>
  </si>
  <si>
    <t>10.1179/009346995791547877</t>
  </si>
  <si>
    <t>A series of channel/island features at the archaeological site of Colha on the margins of Cobweb Swamp in northern Belize were determined to be relics of ancient wetland agricultural fields. Conformation of the stratigraphy in both mounded and nonmounded areas, as examined in pits and trenches, revealed definite human modification of the buried Cobweb Paleosol. Radiocarbon assays of sediment and charcoal suggest the Maya dug ditches in the Cobweb surface by at least a.c. 600 and possibly much earlier, in the Late Preclassic or Middle Preclassic, probably in an attempt to manage water levels and enable crop production on the fertile swamp-margin soils. The wetland fields were buried by the Maya Clay, apparently the result of erosion of the adjacent upland soils. The Maya Clay probably began to accumulate on the swamp margin as soon as the Maya began cropping the adjacent uplands, but the bulk of it was deposited after about a.c. 850. The Maya may have continued to crop the fertile wetland fields even after massive deposition of the Maya Clay. \textcopyright 1995 Maney Publishing.</t>
  </si>
  <si>
    <t>175-190</t>
  </si>
  <si>
    <t>Sediment, Charcoal, Wood, Bulk Soil Carbon</t>
  </si>
  <si>
    <t>Dull2004_47</t>
  </si>
  <si>
    <t>An 8000-year record of vegetation, climate, and human disturbance from the Sierra de Apaneca, El Salvador</t>
  </si>
  <si>
    <t>An \~ 8000-cal-yr stratigraphic record of vegetation change from the Sierra de Apaneca, El Salvador, documents a mid-Holocene warm phase, followed by late Holocene cooling. Pollen evidence reveals that during the mid-Holocene ( \~ 8000-5500 cal yr B.P.) lowland tropical plant taxa were growing at elevations \~ 200-250 m higher than at present, suggesting conditions about 1.0 degrees C warmer than those prevailing today. Cloud forest genera (Liquidambar, Juglans, Alnus, Ulmus) were also more abundant in the mid-Holocene, indicating greater cloud cover during the dry season. A gradual cooling and drying trend began by \~ 5500 cal yr B.P., culminating in the modern forest composition by \~ 3500 cal yr B.P. A rise in pollen from weedy plant taxa associated with agriculture occurred \~ 5000 cal yr B.P., and pollen from Zea first appeared in the record at \~ 4440 cal yr B.P. Human impacts on local vegetation remained high throughout the late Holocene, but decreased abruptly following the Tierra Blanca Joven (TBJ) eruption of Volcan Ilopango at \~ 1520 cal yr B.P. The past 1500 years are marked by higher lake levels and periodic depositions of exogenous inorganic sediments, perhaps indicating increased climatic variability.</t>
  </si>
  <si>
    <t>159-167</t>
  </si>
  <si>
    <t>Dull2004_47.i</t>
  </si>
  <si>
    <t>Laguna Verde</t>
  </si>
  <si>
    <t>Dicot leaf, sedge leaf, woody plant fragments</t>
  </si>
  <si>
    <t>Central American montane forests</t>
  </si>
  <si>
    <t>Dull2004_47.ii</t>
  </si>
  <si>
    <t>Lachniet2004_112</t>
  </si>
  <si>
    <t>Lachniet, M. S.; Burns, S. J.; Piperno, D. R.; Asmerom, Y.; Polyak, V. J.; Moy, C. M.; Christenson, K.</t>
  </si>
  <si>
    <t xml:space="preserve"> A 1500‐year El Niño/Southern Oscillation and rainfall history for the isthmus of Panama from speleothem calcite</t>
  </si>
  <si>
    <t>JOURNAL OF GEOPHYSICAL RESEARCH-ATMOSPHERES</t>
  </si>
  <si>
    <t>10.1029/2004JD004694 10.1029/2003PA000982; Bradley, R.S., Hughes, M.K., Diaz, H.F., Climate in medieval time (2003) Science, 302, pp. 404-405; Burns, S.J., Fleitmann, D., Mudelsee, M., Neff, U., Matter, A., Mangini, A., A 780-year annually resolved record of Indian Ocean monsoon precipitation from a speleothem from south Oman (2002) J. Geophys. Res., 107 (D20), p. 4434. , doi:10.1029/2001JD001281; Cobb, K.M., Charles, C.D., Cheng, H., Edwards, R.L., El Niño/Southern Oscillation and tropical Pacific climate during the last millennium (2003) Nature, 424, pp. 271-276; Cooke, R., Archeological research in central and eastern Panama: A review of some problems (1984) The Archaeology of Lower Central America, pp. 263-302. , edited by F. W. Lange and D. Z. Stone, Univ. of N. M. Press, Albuquerque; Curtis, J.H., Hodell, D.A., Brenner, M., Climate variability on the Yucatan Peninsula (Mexico) during the past 3500 years, and implications for Maya cultural evolution (1996) Quat. Res., 46, pp. 37-47; Enfield, D.B., Alfaro, E.J., The dependence of Caribbean rainfall on the interaction of the tropical Atlantic and Pacific oceans (1999) J. Clim., 12, pp. 2093-2103; Estoque, M.A., Luque, J., Chandeck-Monteza, M.Y., García, J., Effects of El Niño on Panama rainfall (1985) Geofis. Int., 24, pp. 355-381; Fleitmann, D., Burns, S.J., Mudelsee, M., Neff, U., Kramers, J., Mangini, A., Matter, A., Holocene forcing of the Indian monsoon recorded in a stalagmite from Southern Oman (2003) Science, 300, pp. 1737-1739; Frappier, A., Sahagian, D., González, L.A., Carpenter, S.J., El Niño events recorded by stalagmite carbon isotopes (2002) Science, 298, p. 565; Giannini, A., Kushnir, Y., Cane, M.A., Interannual variability of Caribbean rainfall, ENSO, and the Atlantic Ocean (2000) J. Clim., 13, pp. 297-311; Gonfiantini, R., Roche, M.-A., Olivry, J.-C., Fontes, J.-C., Zuppi, G.M., The altitude effect on the isotopic composition of tropical rains (2001) Chem. Geol., 181, pp. 147-167; Hastenrath, S., On modes of tropical circulation and climate anomalies (1978) J. Atmos. Sci., 35, pp. 2222-2231; Hastenrath, S., Interannual variability and annual cycle: Mechanisms of circulation and climate in the tropical Atlantic sector (1984) Mon. Weather Rev., 112, pp. 1097-1107; Haug, G.H., Hughen, K.A., Sigman, D.M., Peterson, L.C., Röhl, U., Southward migration of the Intertropical Convergence Zone through the Holocene (2003) Science, 293, pp. 1304-1308; Hendy, C.H., The isotopic geochemistry of speleothems-1. The calculation of the effects of different modes of formation on the isotopic composition of speleothems and their applicability as palaeoclimatic indicators (1971) Geochim. Cosmochim. Acta, 35, pp. 801-824; Hodell, D.A., Brenner, M., Curtis, J.H., Guilderson, T., Solar forcing of drought frequency in the Maya lowlands (2001) Science, 292, pp. 1367-1370; Lachniet, M.S., Patterson, W.P., Stable isotope values of Costa Rican surface waters (2002) J. Hydrol., 260, pp. 135-150; Lamb, H.H., The Early Medieval Warm epoch and its sequel (1965) Palaeogeogr. Palaeoclimatol. Palaeoecol., 1, pp. 13-37; Linares, O.F., Sheets, P.D., Rosenthal, E.J., Prehistoric agriculture in tropical highlands (1975) Science, 187, pp. 137-145; Linsley, B.K., Dunbar, R.B., Wellington, G.M., Mucciarone, D.A., A coral-based reconstruction of Intertropical Convergence Zone variability over Central America since 1707 (1994) J. Geophys. Res., 99, pp. 9977-9994; Moy, C.M., Seltzer, G.O., Rodbell, D.T., Anderson, D.M., Variability of El Niño/Southern Oscillation activity at millennial time-scales during the Holocene epoch (2002) Nature, 240, pp. 162-165; Nyberg, J., Juikpers, A., Malmgren, B.A., Kunzendorf, H., Late Holocene changes in precipitation and hydrography recorded in marine sediments for the northeastern Caribbean Sea (2001) Quat. Res., 56, pp. 87-102; Polyak, V.J., Asmerom, Y., Late Holocene climate and cultural changes in the southwestern United States (2001) Science, 294, pp. 148-151; Richards, D.A., Dorale, J.A., Uranium-series and environmental applications of speleo hems (2003) Rev. Mineral. eochem., 52, pp. 407-460; Rodbell, D.T., Seltzer, G.O., Anderson, D.M., Abbott, M.B., Enfield, D.B., Newman, J.H., An ∼ 15,000-yr record of El Niño-driven alluviation in southwestern Ecuador (1999) Science, 283, pp. 516-520; Ropelewski, C.F., Halpert, M.S., Global and regional scale precipitation patterns associated with the El Niño/Southern Oscillation (1987) Mon. Weather Rev., 115, pp. 1606-1626; Rozanski, K., Araguás-Araguás, L., Gonfiantini, R., Isotopic patterns in modern global precipitation (1993) Climate Change in Continental Isotopic Records, Geophys. Monogr. Ser., 78, pp. 1-36. , edited by P. K. Swart et al., AGU, Washington, D. C; Stine, S., Extreme and persistent drought in California and Patagonia during mediaeval time (1994) Nature, 369, pp. 546-549; Stuiver, M., Reimer, P.J., Bard, E., Beck, J.W., Burr, G.S., Hughen, K.A., Kromer, B., Spurk, M., INTCAL radiocarbon age calibration, 24,000-0 cal. yr BP (1998) Radiocarbon, 40, pp. 1041-1083; Torrence, C., Compo, G.P., A practical guide to wavelet analysis (1998) Bull. Am. Meteorol. Soc., 79, pp. 61-78; Vuille, M., Bradley, R.S., Werner, M., Healy, R., Keimig, F., Modeling δ18O in precipitation over the tropical Americas: 1. Interannual variability and climatic controls (2003) J. Geophys. Res., 108 (D6), p. 4174. , doi:10.1029/2001JD002038; Waylen, P.R., Caviedes, C.N., Quesada, M.E., Interannual variability of monthly precipitation in Costa Rica (1996) J. Clim., 9, pp. 2606-2613; Webster, D., (2002) The Fall of the Ancient Maya, p. 368. , Thames and Hudson, London; Windsor, D.M., Climate and moisture availability in a tropical forest: Long-term records from Barro Colorado Island, Panama (1990) Smithson. Contrib. Earth Sci., 29, pp. 1-144</t>
  </si>
  <si>
    <t>{[}1] The effect of the El Nino/Southern Oscillation (ENSO) on tropical rainfall variations of the past 2 millennia is largely unknown. High-resolution monsoon records are sparse, despite the role of ENSO in generating global hydrologic anomalies in modern climate. To investigate the relationship between ENSO and the Central American Monsoon, we generated a high-resolution ( similar to 2.9 years/sample) oxygen-isotope monsoon rainfall record from a U/Th-dated stalagmite ( 180 B. C. to 1310 A. D.) from the Isthmus of Panama. We present evidence for a weakened monsoon during the ``High Medieval'' ( 1100 - 1200 A. D.) and the Classic Maya Collapse ( 750 - 950 A. D.). Rainfall decreased and was more variable after 550 A. D., and the period 900 - 1310 A. D. was drier than the preceding millennium. A weaker monsoon corresponds with increased El Nino variability, and our data display statistical variance in the ENSO band. We conclude that ENSO variation has forced isthmian rainfall and may have contributed to hemispheric climatic anomalies at this time.</t>
  </si>
  <si>
    <t>D20117 1-8</t>
  </si>
  <si>
    <t>Lachniet2004_112.i</t>
  </si>
  <si>
    <t>Chilibrillo Cave</t>
  </si>
  <si>
    <t>Anhydrous phosphoric acid at 70C</t>
  </si>
  <si>
    <t>Dull2004_47.iv</t>
  </si>
  <si>
    <t>Lachniet2004_112.ii</t>
  </si>
  <si>
    <t>Anchukaitis2008_10</t>
  </si>
  <si>
    <t>Anchukaitis, K. J.; Evans, M. N.; Wheelwright, N. T.; Schra, D. P.</t>
  </si>
  <si>
    <t>Stable isotope chronology and climate signal calibration in neotropical montane cloud forest trees</t>
  </si>
  <si>
    <t>Journal of Geophysical Research: Biogeosciences</t>
  </si>
  <si>
    <t>10.1029/2007JG000613</t>
  </si>
  <si>
    <t>Tropical montane cloud forests are ecosystems intrinsically linked to a narrow range of geographic and meteorological conditions, making them potentially sensitive to small changes in precipitation or temperature. We investigate the potential application of stable isotope analysis to cloud forest dendroclimatology at Monteverde in Costa Rica in order to be able to extract both chronological and paleoclimate information from trees without annual growth rings. High-resolution $\delta$18O measurements are used to identify regular cycles in wood of up to 9 \% , which are associated with seasonal changes in precipitation and moisture sources. The calculated annual growth rates derived from the isotope time series match those observed from long-term basal growth measurements. Interannual variability in the oxygen isotope ratio of lower forest trees is primarily related to interannual changes in wet season precipitation. Forward modeling independently supports our detection of both annual chronology and a climate signal. The confirmation of annual chronology and sensitivity to interannual climate anomalies suggests that tropical cloud forest dendroclimatology can be used to investigate local and regional hydroclimatic variability and change. Copyright 2008 by the American Geophysical Union.</t>
  </si>
  <si>
    <t>Monteverde Cloud Forest Reserve</t>
  </si>
  <si>
    <t>Caffrey2011_25</t>
  </si>
  <si>
    <t>Caffrey, M. A.; Taylor, M. J.; Sullivan, D. G.</t>
  </si>
  <si>
    <t>A 12,000-year record of vegetation and climate change from the sierra de los Cuchumatanes, Guatemala</t>
  </si>
  <si>
    <t>Journal of Latin American Geography</t>
  </si>
  <si>
    <t>10.1353/lag.2011.0041</t>
  </si>
  <si>
    <t>Relatively few Holocene climate change studies in the Guatemala highlands have been completed. This study uses proxy records of climate change from Miqul Meadow, a high elevation (3147 m) site near Huehuetenango in the Sierra de los Cuchumantanes. Changes in vegetation and fire were reconstructed using pollen and charcoal from a sediment core dated ca. 12,000-2100 cal yr BP. Changes in forest taxa indicate that periods of drier climate were observable ca. 12,000-10,000 years ago, and later in the Holocene. Our results show that the climate was gradually drying around Miqul Meadow before the rise of the Maya in the lowlands. \textcopyright 2011 Conference of Latin Americanist Geographers.</t>
  </si>
  <si>
    <t>129-151</t>
  </si>
  <si>
    <t>Caffrey2011_25.v</t>
  </si>
  <si>
    <t>Miqul Meadow</t>
  </si>
  <si>
    <t>Forests;Water</t>
  </si>
  <si>
    <t>Bulk and descreat material</t>
  </si>
  <si>
    <t>Anchukaitis2005_11</t>
  </si>
  <si>
    <t>Anchukaitis, K. J.; Horn, S. P.</t>
  </si>
  <si>
    <t>A 2000-year reconstruction of forest disturbance from southern Pacific Costa Rica</t>
  </si>
  <si>
    <t>Palaeogeography, Palaeoclimatology, Palaeoecology</t>
  </si>
  <si>
    <t>10.1016/j.palaeo.2005.02.003</t>
  </si>
  <si>
    <t>We reconstruct prehistoric and historic human forest disturbance and vegetation change in southern Pacific Costa Rica, in the vicinity of the Las Cruces Biological Station and the La Amistad International Park and Biosphere Reserve. Pollen and charcoal in sediments from Laguna Santa Elena reveal a nearly continuous record of human alteration of these tropical forests over the past two millennia. The basal portion of the core shows nearly intact premontane forests approximately 1800 cal. year B.P., although there is evidence of human presence on the landscape in the form of maize pollen and charcoal. Clearing for agriculture resulted in the dominance of disturbance taxa in the watershed beginning at least 1400 cal. year B.P. The pollen record reveals a possible, brief hiatus in human occupation of the watershed at approximately 540 cal. year B.P., although secondary succession began to occur in the Laguna Santa Elena watershed prior to that time, beginning about 700 cal. year B.P. Three eruptions of nearby Volc \' a n Bar \' u , which we date to approximately 610, 1080, and 1440 cal. year B.P., apparently had little direct effect on the prehistoric populations in the immediate vicinity of the lake. Historic and modern land clearance has perpetuated a modern vegetation assemblage of disturbance and successional taxa. \textcopyright 2005 Elsevier B.V. All rights reserved.</t>
  </si>
  <si>
    <t>35-54</t>
  </si>
  <si>
    <t>Anchukaitis2005_11.i</t>
  </si>
  <si>
    <t>Laguna Santa Elena</t>
  </si>
  <si>
    <t>Wood, mixed plant material, charcoal</t>
  </si>
  <si>
    <t>Anchukaitis2005_11.ii</t>
  </si>
  <si>
    <t>Continuous Sedimentation</t>
  </si>
  <si>
    <t>Caffrey2011_25.vi</t>
  </si>
  <si>
    <t>Climate;Precipitation;Temperature;Vegetation</t>
  </si>
  <si>
    <t>HCl, KOH, HF, acetolysis, HNO3</t>
  </si>
  <si>
    <t>Brenner1990_21</t>
  </si>
  <si>
    <t>Brenner, M.; Leyden, B.; Binford, M. W.</t>
  </si>
  <si>
    <t>Recent sedimentary histories of shallow lakes in the guatemalan savannas</t>
  </si>
  <si>
    <t>10.1007/BF00239697</t>
  </si>
  <si>
    <t>Shallow basins in the savannas of Peten, Guatemala filled with water after 305±55 BP (calibrated age+1430-1660 AD). Aguadas Chimaj and Chilonche possess dilute waters and iron-rich, clayey sediments that are poor in Ca and Mg, reflecting the highly weathered nature of riparian soils. Low 210Pb flux rates to Chimaj (0.085 pCi cm-2 yr-1) and Chilonche (0.134 pCi cm-2 yr-1) are attributed to low 222Rn emission rates from the nearby Caribbean Sea. Mean sediment accumulation rates in Chimaj and Chilonche for the past 150 years are 0.015 g cm-2 yr-1 and 0.047 g cm-2 yr-1 respectively. Forest expansion after 305 BP is documented in pollen profiles from the small aguadas and larger Lake Oquevix. Regional reforestation postdates the 9th century Classic Maya collapse and coincides with indigenous depopulation that was a consequence of European intrusion that began in the early 1500s. The timing of forest regrowth indicates the importance of historical anthropogenic factors in controlling Peten's vegetation. Nevertheless, other sedimentological lines of evidence (e.g. lithology, algal remains and charcoal particles) suggest that changing climate and/or local hydrology may have played a role in the reforestation process. \textcopyright 1990 Kluwer Academic Publishers.</t>
  </si>
  <si>
    <t>239-252</t>
  </si>
  <si>
    <t>Brenner1990_21.i</t>
  </si>
  <si>
    <t>Aguada Chimj</t>
  </si>
  <si>
    <t>Sedimentation;Water Level</t>
  </si>
  <si>
    <t>Dried between 600 and 900 degrees centigrade, LOI</t>
  </si>
  <si>
    <t>Brenner1990_21.ii</t>
  </si>
  <si>
    <t>Aguada Chilonche</t>
  </si>
  <si>
    <t>Brenner1990_21.iii</t>
  </si>
  <si>
    <t>Ashing and digestion</t>
  </si>
  <si>
    <t>Anchukaitis2005_11.vii</t>
  </si>
  <si>
    <t>Brenner1990_21.iv</t>
  </si>
  <si>
    <t>Brenner1990_21.v</t>
  </si>
  <si>
    <t>Lago Oquevix</t>
  </si>
  <si>
    <t>Vegetation</t>
  </si>
  <si>
    <t>Hillesheim2005_75</t>
  </si>
  <si>
    <t>Hillesheim, M. B.; Hodell, D. A.; Leyden, B. W.; Brenner, M.; Curtis, J. H.; Anselmetti, F. S.; Ariztegui, D.; Buck, D. G.; Guilderson, T. P.; Rosenmeier, M. F.; Schnurrenberger, D. W.</t>
  </si>
  <si>
    <t>Climate change in lowland central America during the late deglacial and early Holocene</t>
  </si>
  <si>
    <t>Journal of Quaternary Science</t>
  </si>
  <si>
    <t>10.1002/jqs.924</t>
  </si>
  <si>
    <t>The transition from arid glacial to moist early Holocene conditions represented a profound change in northern lowland Neotropical climate. Here we report a detailed record of changes in moisture availability during the latter part of this transition ( ∼ 11 250 to 7500 cal. yr BP) inferred from sediment cores retrieved in Lake Pet \' e n Itz \' a , northern Guatemala. Pollen assemblages demonstrate that a mesic forest had been largely established by ∼ 11 250 cal. yr BP, but sediment properties indicate that lake level was more than 35 m below modern stage. From 11 250 to 10 350 cal. yr BP, during the Preboreal period, lithologic changes in sediments from deep-water cores ( \textgreater 50m below modern water level) indicate several wet-dry cycles that suggest distinct changes in effective moisture. Four dry events (designated PBE1 -4) occurred centred at 11 200, 10 900, 10 700 and 10 400 cal. yr BP and correlate with similar variability observed in the Cariaco Basin titanium record and glacial meltwater pulses into the Gulf of Mexico. After 10 350 cal. yr BP, multiple sediment proxies suggest a shift to a more persistently moist early Holocene climate. Comparison of results from Lake Pet \' e n Itz \' a with other records from the circum-Caribbean demonstrates a coherent climate response during the entire span of our record. Furthermore, lowland Neotropical climate during the late deglacial and early Holocene period appears to be tightly linked to climate change in the high-latitude North Atlantic. We speculate that the observed changes in lowland Neotropical precipitation were related to the intensity of the annual cycle and associated displacements in the mean latitudinal position of the Intertropical Convergence Zone and Azores - Bermuda high-pressure system. This mechanism operated on millennial-to-submillennial timescales and may have responded to changes in solar radiation, glacial meltwater, North Atlantic sea ice, and the Atlantic meridional overturning circulation (MOC). Copyright \textcopyright 2005 John Wiley \&amp; Sons, Ltd.</t>
  </si>
  <si>
    <t>363-376</t>
  </si>
  <si>
    <t>Hillesheim2005_75.i</t>
  </si>
  <si>
    <t>Coulometric titration using a UIC/Coulometrics 5011 coulometer coupled with a UIC 5240-TIC carbonate autosampler, LOI</t>
  </si>
  <si>
    <t>Leaf, wood</t>
  </si>
  <si>
    <t>Hillesheim2005_75.ii</t>
  </si>
  <si>
    <t>Charcoal, shell</t>
  </si>
  <si>
    <t>Brenner1990_21.vi</t>
  </si>
  <si>
    <t>Hillesheim2005_75.iv</t>
  </si>
  <si>
    <t>GEOTEK Multi-Sensor Core Logger</t>
  </si>
  <si>
    <t>cgs</t>
  </si>
  <si>
    <t>Hillesheim2005_75.v</t>
  </si>
  <si>
    <t>Brenner1990_21.vii</t>
  </si>
  <si>
    <t>Brenner1990_21.viii</t>
  </si>
  <si>
    <t>Hillesheim2005_75.viii</t>
  </si>
  <si>
    <t>Hillesheim2005_75.ix</t>
  </si>
  <si>
    <t>Brenner1990_21.ix</t>
  </si>
  <si>
    <t>Brenner1990_21.x</t>
  </si>
  <si>
    <t>cm2g-1</t>
  </si>
  <si>
    <t>Brenner1990_21.xi</t>
  </si>
  <si>
    <t>Brenner1990_21.xii</t>
  </si>
  <si>
    <t>Curtis1998_36</t>
  </si>
  <si>
    <t>Curtis, J. H.; Brenner, M.; Hodell, D. A.; Balser, R. A.; Islebe, G. A.; Hooghiemstra, H.</t>
  </si>
  <si>
    <t>A multi-proxy study of Holocene environmental change in the Maya Lowlands of Peten, Guatemala</t>
  </si>
  <si>
    <t>10.1023/A:1007968508262</t>
  </si>
  <si>
    <t>We used multiple variables in a sediment core from Lake Peten-Itza, Peten, Guatemala, to infer Holocene climate change and human influence on the regional environment. Multiple proxies including pollen, stable isotope geochemistry, elemental composition, and magnetic susceptibility in samples from the same core allow differentiation of natural versus anthropogenic environmental changes. Core chronology is based on AMS 14C measurement of terrestrial wood and charcoal and thus avoids the vagaries of hard-water-lake error. During the earliest Holocene, prior to \~ 9000 14C yr BP, the coting site was not covered by water and all proxies suggest that climatic conditions were relatively dry. Water covered the coring site by \~ 9000 14C yr BP, coinciding with filling of other lakes in Peten and farther north on the Yucatan Peninsula. During the early Holocene ( \~ 9000 to \~ 6800 14C yr BP), pollen data suggest moist conditions, but high $\delta$18O values are indicative of relatively high E/P. This apparent discrepancy may be due to a greater fractional loss of the lake's water budget to evaporation during the early stages of lake filling. Nonetheless, conditions were moist enough to support semi-deciduous lowland forest. Decrease in $\delta$18O values and associated change in ostracod species at \~ 6800 14C yr BP suggest a transition to even moister conditions. Decline in lowland forest taxa beginning \~ 5780 14C yr BP may indicate early human disturbance. By \~ 2800 14C yr BP, Maya impact on the environment is documented by accelerated forest clearance and associated soil erosion. Multiple proxies indicate forest recovery and soil stabilization beginning \~ 1100 to 1000 14C yr BP, following the collapse of Classic Maya civilization.</t>
  </si>
  <si>
    <t>139-159</t>
  </si>
  <si>
    <t>Curtis1998_36.i</t>
  </si>
  <si>
    <t>UIC/Coulometrics Model 5011 coulometer and a System 140 preparation line that used 2N HCl to evolve CO2., LOI</t>
  </si>
  <si>
    <t>Wood, Charcoal, Mollusc</t>
  </si>
  <si>
    <t>Stuiver &amp; Becker 1993, Stuiver &amp; Reimer 1993</t>
  </si>
  <si>
    <t>Curtis1998_36.ii</t>
  </si>
  <si>
    <t>Bartington Instruments magnetic susceptibility meter</t>
  </si>
  <si>
    <t>Curtis1998_36.iii</t>
  </si>
  <si>
    <t>Jarrell-Ash Model 9000 Inductively Coupled Plasma</t>
  </si>
  <si>
    <t>Curtis1998_36.iv</t>
  </si>
  <si>
    <t>Acetolysis</t>
  </si>
  <si>
    <t>Curtis1998_36.v</t>
  </si>
  <si>
    <t>H2O2, sieving 250 um</t>
  </si>
  <si>
    <t>Curtis1998_36.vi</t>
  </si>
  <si>
    <t>Curtis1998_36.vii</t>
  </si>
  <si>
    <t>Curtis1998_36.viii</t>
  </si>
  <si>
    <t>Rosenmeier2002_158</t>
  </si>
  <si>
    <t>Rosenmeier, M. F.; Hodell, D. A.; Brenner, M.; Curtis, J. H.; Martin, J. B.; Anselmetti, F. S.; Ariztegui, D.; Guilderson, T. P.</t>
  </si>
  <si>
    <t>Influence of vegetation change on watershed hydrology: implications for paleoclimatic interpretation of lacustrine δ 18 O records</t>
  </si>
  <si>
    <t>10.1023/A:1013535930777</t>
  </si>
  <si>
    <t>Stratigraphic shifts in the oxygen isotopic ($\delta$18O) and trace element (Mg and Sr) composition of biogenic carbonate from tropical lake sediment cores are often interpreted as a proxy record of the changing relation between evaporation and precipitation (E/P). Holocene $\delta$18O and Mg and Sr records from Lakes Salpet \' e n and Pet \' e n Itz \' a , Guatemala were apparently affected by drainage basin vegetation changes that influenced watershed hydrology, thereby confounding paleoclimatic interpretations. Oxygen isotope values and trace element concentrations in the two lowland lakes were greatest between \~ 9000 and 6800 14C-yr BP, suggesting relatively high E/P, but pollen data indicate moist conditions and extensive forest cover in the early Holocene. The discrepancy between pollen- and geochemically-inferred climate conditions may be reconciled if the high early Holocene $\delta$18O and trace element values were controlled principally by low surface runoff and groundwater flow to the lake, rather than high E/P. Dense forest cover in the early Holocene would have increased evapotranspiration and soil moisture storage, thereby reducing delivery of meteoric water to the lakes. Carbonate $\delta$18O and Mg and Sr decreased between 7200 and 3500 14C-yr BP in Lake Salpet \' e n and between 6800 and 5000 14C-yr BP in Lake Pet \' e n Itz \' a . This decline coincided with palynologically documented forest loss that may have led to increased surface and groundwater flow to the lakes. In Lake Salpet \' e n, minimum $\delta$18O values (i.e., high lake levels) occurred between 3500 and 1800 14C-yr BP. Relatively high lake levels were confirmed by 14C-dated aquatic gastropods from subaerial soil profiles \~ 1.0-7.5 m above present lake stage. High lake levels were a consequence of lower E/P and/or greater surface runoff and groundwater inflow caused by human-induced deforestation.</t>
  </si>
  <si>
    <t>117-131</t>
  </si>
  <si>
    <t>Rosenmeier2002_158.i</t>
  </si>
  <si>
    <t>Lago Salpeten</t>
  </si>
  <si>
    <t>UIC/Coulometrics Model 5011 coulometer and coupled UIC 5240-TIC carbonate autosampler.</t>
  </si>
  <si>
    <t>Rosenmeier2002_158.ii</t>
  </si>
  <si>
    <t>Rosenmeier2002_158.iii</t>
  </si>
  <si>
    <t>H2O2, 63μm sieve</t>
  </si>
  <si>
    <t>Rosenmeier2002_158.iv</t>
  </si>
  <si>
    <t>Rosenmeier2002_158.v</t>
  </si>
  <si>
    <t>Land Use Change;Agriculture</t>
  </si>
  <si>
    <t>Rosenmeier2002_158.vi</t>
  </si>
  <si>
    <t>Rosenmeier2002_158.vii</t>
  </si>
  <si>
    <t>Carlo Erba NA 1500 CNS elemental analyzer with autosampler.</t>
  </si>
  <si>
    <t>Rosenmeier2002_158.viii</t>
  </si>
  <si>
    <t>Dull2004_46.i</t>
  </si>
  <si>
    <t>Dull2004_46.ii</t>
  </si>
  <si>
    <t>Europa mass spectrometer</t>
  </si>
  <si>
    <t>Dull2004_46.iii</t>
  </si>
  <si>
    <t>Dull2004_46.vii</t>
  </si>
  <si>
    <t>Llano del Espino</t>
  </si>
  <si>
    <t>HCl, KOH, HF, HNO3, acetolysis</t>
  </si>
  <si>
    <t>Haberyan2005_69</t>
  </si>
  <si>
    <t>Haberyan, K. A.; Horn, S. P.</t>
  </si>
  <si>
    <t>Diatom paleoecology of Laguna Zoncho, Costa Rica</t>
  </si>
  <si>
    <t>10.1007/s10933-004-6789-4</t>
  </si>
  <si>
    <t>We analyzed diatoms in a sediment profile from Laguna Zoncho in southern Pacific Costa Rica (lake elevation 1190 m asl, depth 2.6 m, area 0.75 ha) spanning some 3240 cal yr. Diatoms are common in the profile, which we subdivide into three zones. Zone C (∼3240-1020 cal yr B.P.) is dominated by Staurosira construens var. venter and Aulacoseira spp.; during this time, the lake was dilute and circumneutral. Benthic and acidophilous taxa increase gradually in the upper section of this zone. Zone B (∼1020-460 cal yr B.P.) almost totally lacks Aulacoseira, and instead is dominated by combinations of Eunotia minor, Encyonema lunatum, Gomphonema gracile, and Pinnularia braunii. Previous pollen and charcoal analysis indicates that this zone falls within the peak of prehistoric agricultural activity at the lake, but diatoms may also reflect climate change. During this period, the lake was likely shallower and more acidic, but not eutrophic. Finally, Zone A (∼460 cal yr B.P. to AD 1997) begins near a 1.5-cm tephra layer from nearby Volc \' a n Bar \' u ; diatom assemblages are dominated by Aulacoseira spp., and suggest deepening of the lake and return to conditions similar to Zone C. This was a time of indigenous population decline and forest recovery in the Zoncho region, probably reflecting the impact of European diseases on the native population, although climate change and impacts of the tephra deposition cannot be wholly discounted. \textcopyright Springer 2005.</t>
  </si>
  <si>
    <t>361-369</t>
  </si>
  <si>
    <t>Nitric acid, Naphrax mount</t>
  </si>
  <si>
    <t>Charcoal, seeds and leaf fragments</t>
  </si>
  <si>
    <t>Gabriel2009_66</t>
  </si>
  <si>
    <t>Gabriel, J. J.; Reinhardt, E. G.; van Hengstum, P. J.; Beddows, P. A.; Peros, M. C.; Davidson, D. E.</t>
  </si>
  <si>
    <t>Palaeoenvironmental evolution of cenote aktun ha (Carwash) on the Yucatan Peninsula, Mexico and its response to holocene sea-level rise</t>
  </si>
  <si>
    <t>10.1007/s10933-008-9271-x</t>
  </si>
  <si>
    <t>A 61-cm core was obtained from 4 m below the water table in Cenote Aktun Ha, on the Yucatan Peninsula, Mexico. The cenote is 8.6 km from the Caribbean coast and its formation and evolution have been largely affected by sea-level change. The base of the core dates to 6,940-6,740 cal year BP and overlying sediments were deposited rapidly over the subsequent \~ 200 years. The pollen record shows that the cenote evolved from a marsh dominated by red mangrove (Rhizophora mangle) and fern (Polypodiaceae) to an open-water system. These vegetation changes were controlled by water level and salinity and are thus useful indicators of past sea level. At the base, the $\delta$13Corg isotopic ratios reveal the influence of terrestrial vegetation (-29‰ VPDB), but shift to more negative values up-core (-33‰), indicating an influence from particulate matter in the flooded cenote pool. Although microfossil populations were nearly absent through most of the core, the microfossil assemblage in the upper 6 cm of the core is dominated by the juvenile foraminifer Ammonia tepida and the thecamoebian genus Centropyxis. These populations indicate openwater conditions in the cenote and a major environmental shift around 6,600 cal year BP, which is related to sea-level rise in the Caribbean basin. These data fit well with previously established sea-level curves for the Caribbean Sea. Our reconstruction of the environmental history of Cenote Aktun Ha helps elucidate the floral and hydrological history of the region, and highlights the utility of cenote sediments for studying the Holocene sea-level history of the Caribbean Sea. \textcopyright Springer Science+Business Media B.V. 2008.</t>
  </si>
  <si>
    <t>199-213</t>
  </si>
  <si>
    <t>Gabriel2009_66.i</t>
  </si>
  <si>
    <t>Cenote Aktun Ha</t>
  </si>
  <si>
    <t>Flooding;Sea Level;Vegetation</t>
  </si>
  <si>
    <t>HCl, KOH, acetolysis solution, and HF, and sieving with both 150-lm and 7-lm nylon mesh</t>
  </si>
  <si>
    <t>Wood Fragments, Twigs, Shells</t>
  </si>
  <si>
    <t>Gabriel2009_66.ii</t>
  </si>
  <si>
    <t>Flooding;Sea Level</t>
  </si>
  <si>
    <t>VG Optima mass spectrometer</t>
  </si>
  <si>
    <t>Wahl2006_190</t>
  </si>
  <si>
    <t>Holocene vegetation change in the northern Peten and its implications for Maya prehistory</t>
  </si>
  <si>
    <t>An \~ 8400 cal yr record of vegetation change from the northern Peten, Guatemala, provides new insights into the environmental history of the archaeological area known as the Mirador Basin. Pollen, loss on ignition, and magnetic susceptibility analyses indicate warm and humid conditions in the early to mid-Holocene. Evidence for a decrease in forest cover around 4600 cal yr B.P. coincides with the first appearance of Zea mays pollen, suggesting that human activity was responsible. The period between 3450 cal yr B.P. and 1000 cal yr B.P. is characterized by a further decline in forest pollen types, includes an abrupt increase in weedy taxa, and exhibits the highest magnetic susceptibility values since the early Holocene, all of which suggest further agricultural disturbance in the watershed. A brief drop in disturbance indicators around 1800 cal yr B.P. may represent the Preclassic abandonment of the area. Changing pollen frequencies around 1000 cal yr B.P. indicate a cessation of human disturbance, which represents the Late Classic collapse of the southern Maya lowlands.</t>
  </si>
  <si>
    <t>380-389</t>
  </si>
  <si>
    <t>Wahl2006_190.ii</t>
  </si>
  <si>
    <t>Gabriel2009_66.iii</t>
  </si>
  <si>
    <t>Wahl2006_190.iv</t>
  </si>
  <si>
    <t>Gabriel2009_66.iv</t>
  </si>
  <si>
    <t>Foraminifera</t>
  </si>
  <si>
    <t>cm-3</t>
  </si>
  <si>
    <t>Gabriel2009_66.v</t>
  </si>
  <si>
    <t>Macro Fossils</t>
  </si>
  <si>
    <t>Dull2007_48</t>
  </si>
  <si>
    <t>Evidence for forest clearance, agriculture, and human-induced erosion in Precolumbian El Salvador</t>
  </si>
  <si>
    <t>It is now well established that Precolumbian farmers of Mexico and Central America were responsible for widespread environmental degradation before the arrival of Europeans. Relatively little is known, however, of the chronology, severity, and exact geographic distribution of these anthropogenic landscape impacts. This article addresses questions of Holocene land use and anthropogenic environmental change in the upper Rio Paz Valley, El Salvador, before and after the arrival of the Spanish in the 16th century. A lacustrine sediment sequence from Chalchuapa records the impacts of prehistoric agriculturalists on a mid-elevation tropical watershed during the past 3700 years. The 9.72-m sediment core from Laguna Cuzcachapa contained unequivocal evidence for human manipulation of the landscape: high levels of maize and agricultural weed pollen, charcoal, magnetic susceptibility, and sediment flux. The abundance of maize pollen ( \textgreater 6 \% ) even in the basal sediments of the core indicates that an intensive system of maize cultivation was well established in Chalchuapa by 3700 cal year BP. Proxy indicators of human disturbance continue to exhibit high values from 3700 cal year BP to the present, interrupted only by two hiatuses: one centred on the \~ AD 430 Tierra Blanca Joven eruption of the Ilopango volcano, and another during a period of population decimation following the arrival of Europeans in the early 16th century AD. The periods of greatest anthropogenic disturbance include \~ 3700-1600 cal year BP (Preclassic/Protoclassic) and \~ 1350-1000 cal year BP (Late Classic and Early Postclassic Periods).</t>
  </si>
  <si>
    <t>127-141</t>
  </si>
  <si>
    <t>Dull2007_48.iii</t>
  </si>
  <si>
    <t>Laguna Cuzcachapa</t>
  </si>
  <si>
    <t>Partially carbonised wood, wood, lake sediment</t>
  </si>
  <si>
    <t>Dull2007_48.iv</t>
  </si>
  <si>
    <t>Gabriel2009_66.vi</t>
  </si>
  <si>
    <t>Gabriel2009_66.viii</t>
  </si>
  <si>
    <t>Thecamoebians</t>
  </si>
  <si>
    <t>Gabriel2009_66.ix</t>
  </si>
  <si>
    <t>Heiri et al. (2001), LOI</t>
  </si>
  <si>
    <t>Lane2011_114</t>
  </si>
  <si>
    <t>Lane, C. S.; Horn, S. P.; Mora, C. I.; Orvis, K. H.; Finkelstein, D. B.</t>
  </si>
  <si>
    <t>Sedimentary stable carbon isotope evidence of late Quaternary vegetation and climate change in highland Costa Rica</t>
  </si>
  <si>
    <t>10.1007/s10933-011-9500-6</t>
  </si>
  <si>
    <t>Continuous terrestrial records of paleoclimate and paleovegetation that extend to the late Pleistocene are rare for the circum-Caribbean uplands. In this study we analyzed the bulk and compound-specific carbon isotope composition of lake sediments spanning this period from Lago de las Morrenas 1 (LM1), a glacial lake in the highlands of southern Costa Rica, for evidence of climate and vegetation changes that may not have been apparent in previous analyses. The stable carbon isotope ratios of n-alkanes typically derived from terrestrial plants ($\delta$13CC27-C33) indicate an increased abundance of C4 plant taxa during the late Pleistocene and earliest Holocene that may be related to decreased atmospheric carbon dioxide concentrations, increased aridity, or habitat availability. These n-alkane isotope ratios also provide evidence of more arid conditions during the early and late Holocene, and more mesic conditions during the middle Holocene, a pattern prevalent in other paleoclimate records from the region that is thought to be related to millennial-scale dynamics of the intertropical convergence zone (ITCZ). The sensitivity of the LM1 paleorecord to trade wind dynamics provides further support for the role of millennial-scale shifts in ITCZ dynamics in driving neotropical environmental change, and indicates that the effects of ITCZ migration were not limited to the lowlands. \textcopyright 2011 Springer Science+Business Media B.V.</t>
  </si>
  <si>
    <t>323-338</t>
  </si>
  <si>
    <t>Slate2013_172</t>
  </si>
  <si>
    <t>Slate, J. E.; Johnson, T. C.; Moore, T. C.</t>
  </si>
  <si>
    <t>Impact of pre-Columbian agriculture, climate change, and tectonic activity inferred from a 5,700-year paleolimnological record from Lake Nicaragua</t>
  </si>
  <si>
    <t>10.1007/s10933-013-9709-7</t>
  </si>
  <si>
    <t>Lake Nicaragua, the largest lake in Central America, is a promising site for paleolimnological study of past climate change, tectonic and volcanic activity, and pre-Columbian agriculture in the region. It is near the northern limit of the Intertropical Convergence Zone (ITCZ), which brings the rainy season to the tropics, so effects of decreasing precipitation due to southern migration of the ITCZ through the Holocene should be observable. Because fault zones and an active volcano lie within the lake, the long-term impact of tectonic and volcanic activity can also be examined. Finally, the fertile volcanic soils near the lake may have encouraged early agriculture. We analyzed diatoms, biogenic silica (BSi), total organic carbon (TOC), water content, volcanic glass, and magnetic susceptibility in a sediment core from Lake Nicaragua with eleven accelerator mass spectroscopy radiocarbon dates, spanning \~ 5,700 years. Sediment accumulation rates decreased from the bottom to the top of the core, indicating a general drying trend through the Holocene. An increase in eutrophic diatom abundance suggests that pre-Columbian agriculture impacted the lake as early as \~ 5,400 cal yr BP. Above a horizon of coarser grains deposited sometime between \~ 5,200 and 1,600 cal yr BP, planktonic diatoms increased and remained dominant to the top of the core, indicating that water depth permanently increased. Although magnetic susceptibility peaked and water content dipped at the coarse horizon, volcanic glass fragments did not increase, suggesting that the coarse horizon and subsequent increase in water depth were caused by tectonic rather than by volcanic activity. Decreased accumulation rates of BSi and TOC indicate that water became clearer when depth increased. \textcopyright 2013 Springer Science+Business Media Dordrecht.</t>
  </si>
  <si>
    <t>139-149</t>
  </si>
  <si>
    <t>Slate2013_172.i</t>
  </si>
  <si>
    <t>Lago Nicaragua</t>
  </si>
  <si>
    <t>Climate;Salinity;Trophic Status;Water Level</t>
  </si>
  <si>
    <t>Nitric acid and potassium dichromate</t>
  </si>
  <si>
    <t>Bulk sedimnet</t>
  </si>
  <si>
    <t>Slate2013_172.ii</t>
  </si>
  <si>
    <t>DeMaster (1979), LOI</t>
  </si>
  <si>
    <t>Slate2013_172.iii</t>
  </si>
  <si>
    <t>Biogenic Silica</t>
  </si>
  <si>
    <t>DeMaster (1979)</t>
  </si>
  <si>
    <t>Slate2013_172.iv</t>
  </si>
  <si>
    <t>Magnetometer</t>
  </si>
  <si>
    <t>SI</t>
  </si>
  <si>
    <t>Taylor2015_179</t>
  </si>
  <si>
    <t>Taylor, Z. P.; Horn, S. P.; Finkelstein, D. B.</t>
  </si>
  <si>
    <t>Assessing intra-basin spatial variability in geochemical and isotopic signatures in the sediments of a small neotropical lake</t>
  </si>
  <si>
    <t>10.1007/s10933-015-9859-x</t>
  </si>
  <si>
    <t>We examined intra-basin spatial variability of sedimentary geochemical and isotopic signals using a network of five sediment cores from a small lake in southern Costa Rica with a history of prehistoric maize agriculture in its watershed. All cores show a similar pattern of agricultural activity (2000–1000 cal yr BP), a transitional period of forest recovery (1000–675 cal yr BP), and a period after forest reestablishment (675–400 cal yr BP). During the agricultural period, bulk sediment stable carbon isotope ratios ($\delta$13CTOC) indicate significant forest clearance, percent total organic carbon ( \% TOC) is low due to accelerated erosion and dilution from mineral inputs to the lake, and carbon/nitrogen (C/N) ratios are consistent with increased productivity. At the conclusion of the agricultural period, $\delta$13CTOC and \% TOC indicate rapid forest recovery and reduced mineral inputs and C/N ratios suggest lower lake productivity. There is little between-core variation in the magnitude of the agricultural signal for the four cores taken near the shore, but these cores indicate different timing for the end of widespread agriculture in the watershed. Three of these four cores indicate nearly all agriculture ended by 1000 cal yr BP, but in the fourth core agricultural indicators persist until 675 cal yr BP. The core from the center of the lake shows a gradual decline in proxies indicating agriculture from 950 to 650 cal yr BP, which suggests sediment-reworking processes are integrating material from the entire basin as it is transported to the deeper portions of the lake. Differences between the records from the cores recovered near the shore illustrate the potential of multiple core studies to create spatially explicit paleoenvironmental reconstructions, while the delayed and less abrupt changes in the core from the center of the lake highlight the importance of sediment reworking of paleoenvironmental indicators. \textcopyright 2015, Springer Science+Business Media Dordrecht.</t>
  </si>
  <si>
    <t>395-411</t>
  </si>
  <si>
    <t>Taylor2015_179.i</t>
  </si>
  <si>
    <t>Catchment Erosion;Agriculture</t>
  </si>
  <si>
    <t>Costech Elemental Analyzer (EA) coupled to a Thermo-Finnigan XL+ Mass Spectrometer., LOI</t>
  </si>
  <si>
    <t>Bulk sediment and plant material</t>
  </si>
  <si>
    <t>Taylor2015_179.ii</t>
  </si>
  <si>
    <t>Plant Material, Charcoal</t>
  </si>
  <si>
    <t>Taylor2015_179.iii</t>
  </si>
  <si>
    <t>Taylor2015_179.iv</t>
  </si>
  <si>
    <t>Charcoal, plant material</t>
  </si>
  <si>
    <t>Taylor2015_179.v</t>
  </si>
  <si>
    <t>Leaf Fragment, Plant Material, Wood</t>
  </si>
  <si>
    <t>Taylor2015_179.vi</t>
  </si>
  <si>
    <t>Costech Elemental Analyzer (EA) coupled to a Thermo-Finnigan XL+ Mass Spectrometer.</t>
  </si>
  <si>
    <t>Taylor2015_179.vii</t>
  </si>
  <si>
    <t>Taylor2015_179.viii</t>
  </si>
  <si>
    <t>Taylor2015_179.ix</t>
  </si>
  <si>
    <t>Taylor2015_179.x</t>
  </si>
  <si>
    <t>Taylor2015_179.xi</t>
  </si>
  <si>
    <t>Wahl2007_194</t>
  </si>
  <si>
    <t>Wahl, D.; Schreiner, T.; Byrne, R.; Hansen, R.</t>
  </si>
  <si>
    <t>A Paleoecological record from a Late Classic Maya reservoir in the north Peten</t>
  </si>
  <si>
    <t>10.2307/25063105</t>
  </si>
  <si>
    <t>Aguada Zacatal is a reservoir located within a bajo 4 kin west of Nakbe, Peten, Guatemala. It is 100 in in diameter and the surrounding berm is approximately I in tall. The small Classic period site of Zacatal is adjacent to the aguada. The reservoir's artificial lining prevents dry season desiccation and enhances microfossil preservation. In 1998 a 335 cm sediment core was taken from the center of the reservoir and analyzed for pollen, microscopic charcoal, and total organic matter Core chronology, based on two AMS radiocarbon determinations, shows the record covers the period from A.D. 695 to present. Only the upper 113 cm contained well-preserved microfossils. The pollen record clearly documents a period of agricultural activity followed by abandonment and forest succession. In the agricultural period (A.D. 695-840), earn pollen is found in conjunction with disturbance indicators. After the abandonment at approximately, A.D. 840, the record is dominated by aquatic pollen types and corn pollen is absent. This shift in pollen spectra represents the end of the Classic period.</t>
  </si>
  <si>
    <t>212-222</t>
  </si>
  <si>
    <t>Wahl2007_194.iii</t>
  </si>
  <si>
    <t>Aguada Zacatal Nakbe</t>
  </si>
  <si>
    <t>Taylor2015_179.xii</t>
  </si>
  <si>
    <t>Taylor2015_179.xiii</t>
  </si>
  <si>
    <t>Taylor2015_179.xiv</t>
  </si>
  <si>
    <t>Taylor2015_179.xv</t>
  </si>
  <si>
    <t>Taylor2015_179.xvi</t>
  </si>
  <si>
    <t>Taylor2015_179.xvii</t>
  </si>
  <si>
    <t>Taylor2015_179.xviii</t>
  </si>
  <si>
    <t>Taylor2015_179.xix</t>
  </si>
  <si>
    <t>Taylor2015_179.xx</t>
  </si>
  <si>
    <t>Kennedy2008_103</t>
  </si>
  <si>
    <t>Kennedy, L. M.; Horn, S. P.</t>
  </si>
  <si>
    <t>A late Holocene pollen and charcoal record from La Selva biological station, Costa Rica</t>
  </si>
  <si>
    <t>Pollen and charcoal analysis of a 5.9-m-long sediment profile from a swamp on an alluvial terrace on the edge of La Selva biological station, Costa Rica (10 degrees 26'23 N, 84 degrees 00'24 W, 36 m asl), documents three millennia of human and natural disturbance within a lowland tropical rain forest. The record indicates that the highly diverse rain forest that presently surrounds the Cantarrana swamp regrew following forest clearing and maize agriculture that ended only a few centuries ago. The first maize pollen appears in sediments deposited \~ 1070 calendar-year BP. Older sediments below the 'maize zone' contain macroscopic charcoal, abundant microscopic charcoal, and possible pollen indicators of forest clearance, perhaps signaling local cultivation of root crops that left no pollen in the sediments. Interpretation of local archaeology indicates that La Selva reserve may have been most heavily populated during the El Bosque and La Selva regional archaeological phases from 2250-950 yr BP. However, the distribution of maize pollen in the sediments is clear evidence that the reserve was also occupied during the later La Cabana phase (950-400 yr BP), from which few artifacts have yet surfaced. Natural forest disturbance from treefalls and stream dynamics, and hydrological shifts associated with late-Holocene climate variability, form a backdrop to the human land-use history preserved in the Cantarrana sediment profile.</t>
  </si>
  <si>
    <t>11-19</t>
  </si>
  <si>
    <t>Kennedy2008_103.iii</t>
  </si>
  <si>
    <t>Cantarrana</t>
  </si>
  <si>
    <t>X-radiography</t>
  </si>
  <si>
    <t>Chared wood, wood, pentaclethra leaflets, charcoal fragments</t>
  </si>
  <si>
    <t>Mays2017_121</t>
  </si>
  <si>
    <t>Mays, J. L.; Brenner, M.; Curtis, J. H.; Curtis, K. V.; Hodell, D. A.; Correa-Metrio, A.; Escobar, J.; Dutton, A. L.; Zimmerman, A. R.; Guilderson, T. P.</t>
  </si>
  <si>
    <t>Stable carbon isotopes (δ 13 C) of total organic carbon and long-chain n-alkanes as proxies for climate and environmental change in a sediment core from Lake Petén-Itzá</t>
  </si>
  <si>
    <t>10.1007/s10933-017-9949-z</t>
  </si>
  <si>
    <t>Sediment core PI-6 from Lake Petén Itzá, Guatemala, possesses an ~85-ka record of climate and environmental change from lowland Central America. Variations in sediment lithology suggest large and abrupt changes in precipitation during the last glacial and deglacial periods, and into the early Holocene. We measured stable carbon isotope ratios of total organic carbon and long-chain n-alkanes from the core, the latter representing a largely allochthonous (terrestrial) source of organic matter, to reveal past shifts in the relative proportion of C3–C4 terrestrial biomass. We sought to test whether stable carbon isotope results were consistent with other paleoclimate proxies measured in the PI-6 core, and if extraction and isotope analysis of n-alkanes is warranted. The largest δ13C variations are associated with Heinrich Events. Carbon isotope values in sediments deposited during the last glacial maximum indicate moderate precipitation with little fluctuation. The deglacial was a period of pronounced climate variability, e.g. a relatively warm and moist Bølling–Allerød, but a cool and dry Younger Dryas. Arid periods of the deglacial were inferred from samples with high δ13C values in total organic carbon, which reflect times of greater proportions of C4 plants. These inferences are supported by stable isotope measurements on ostracod shells and relative abundance of grass pollen from the same depths in core PI-6. Similar trends in carbon stable isotopes measured on bulk organic carbon and n-alkanes suggest that carbon isotope measures on bulk organic carbon in sediments from this lake are sufficient to infer past climate-driven shifts in local vegetation. © 2017, Springer Science+Business Media Dordrecht.</t>
  </si>
  <si>
    <t>307-319</t>
  </si>
  <si>
    <t>Mays2017_121.i</t>
  </si>
  <si>
    <t>Precipitation;Climate</t>
  </si>
  <si>
    <t>Thermo Finnigan Delta Plus XL isotope ratio mass spectrometer with a ConFlo III interface linked to a Costech ECS 4010 Elemental Combustion System</t>
  </si>
  <si>
    <t>Mays2017_121.ii</t>
  </si>
  <si>
    <t>Bulk Density</t>
  </si>
  <si>
    <t>GEOTEK multi-sensor core logger</t>
  </si>
  <si>
    <t>Mays2017_121.iii</t>
  </si>
  <si>
    <t>Mays2017_121.iv</t>
  </si>
  <si>
    <t>Catchment Erosion;Vegetation</t>
  </si>
  <si>
    <t>AutoMate FX</t>
  </si>
  <si>
    <t>Krywy-Janzen2019_110</t>
  </si>
  <si>
    <t>Krywy-Janzen, A.; Reinhardt, E.; McNeill-Jewer, C.; Coutino, A.; Waltham, B.; Stastna, M.; Rissolo, D.; Meacham, S.; van Hengstum, P.</t>
  </si>
  <si>
    <t>Water-level change recorded in Lake Pac Chen Quintana Roo, Mexico infers connection with the aquifer and response to Holocene sea-level rise and Classic Maya droughts</t>
  </si>
  <si>
    <t>10.1007/s10933-019-00094-0</t>
  </si>
  <si>
    <t>Pac Chen Lake is located on the Yucatan Peninsula, Mexico and is 42 km from the coast and 22 km NE of Coba. It has an area of 36,735 m(2) and maximum depth of 25 m. Four sediment cores along a depth transect provide a 4-ka record of the evolution of the eastern deep basin (core PC1 at 25 m depth) and the shallow margin (cores PC2-4 at 0.25-5 m depth). PC1 shows the effect of water-level rise and flooding of the shallow margin (2.8-1.8 ka) through a lithological (organic to carbonate) and geochemical (mu XRF; decreased Ti, Fe, K and Ca) change along with a reduction in sediment accumulation (0.2927 to 0.0343 cm year(-1)). This change in sedimentation matches basal ages of PC2 and PC4 at 2.5 and 1.8 ka respectively, indicating water-level rise and flooding of the shallowly sloped margin which is within estimates of Holocene sea-level rise thus indicating connection with the aquifer. Corroborating evidence for connection with the aquifer comes from water-level monitoring (30 min intervals; 6 months December 12, 2018 to June 6, 2019) which shows a semi-diurnal tidal fluctuation (1-1.5 cm). Droughts have been thoroughly discussed as a proponent of the decline of the Classic Maya, with lakes being inferred to be isolated from the aquifer and experiencing water level drawdown. However, during the Classic Maya droughts lake drawdown in Pac Chen would be minimal, and there is no evidence of a water level drop in our lake margin stratigraphy (PC2-4). Water mass characteristics measured in March 2016 (temperature, conductivity) indicate some hydrological isolation from the aquifer. This isolation would have allowed for recording of environmental changes, but also likely changed through time as flooding of the lake progressed. The shallow margin core PC4, however, recorded several rapid drops in K and Fe from 1100 to 975, and 925-875 yr BP, which we interpret as periods of reduced inputs of terrigenous weathering during times of reduced rainfall and runoff. These periods are consistent with other regional paleoclimate records (lake and speleothem) of the Classic Maya droughts (1200-850 yr BP).</t>
  </si>
  <si>
    <t>373-388</t>
  </si>
  <si>
    <t>Krywy-Janzen2019_110.i</t>
  </si>
  <si>
    <t>Pac Chen Quintana</t>
  </si>
  <si>
    <t>Salinity;Sea Level;Water Level</t>
  </si>
  <si>
    <t>XRF</t>
  </si>
  <si>
    <t>Twigs, charcoal, bulk organic matter</t>
  </si>
  <si>
    <t>Krywy-Janzen2019_110.ii</t>
  </si>
  <si>
    <t>Testate Amoebae</t>
  </si>
  <si>
    <t>Hengstum et al. 2008; 2010</t>
  </si>
  <si>
    <t>Johanson2020_99</t>
  </si>
  <si>
    <t>Johanson, E. N.; Horn, S. P.; Lane, C. S.; Sanchez, M.; Cecil, J.; Sánchez, M.; Cecil, J.</t>
  </si>
  <si>
    <t>Fire history across the Little Ice Age in southern Pacific Costa Rica</t>
  </si>
  <si>
    <t>10.1007/s10933-020-00118-0</t>
  </si>
  <si>
    <t>We present two high-resolution records of Late Holocene (Meghalayan) fire history from lakes in the lowlands of southern Pacific Costa Rica and compare them with evidence of pre-Columbian agriculture in the same cores and with records of regional paleoclimate. Macroscopic charcoal influx at Laguna Danta and Laguna Carse shows several major and minor peaks for approximately the last ~ 800 years, but does not show the decline at the time of the Little Ice Age and Spanish contact evident in other charcoal records from the region. Stable carbon isotope values in sediments indicate that agricultural activity at Laguna Danta declined following the onset of the Little Ice Age, but the association between fire and indigenous agriculture at the study sites is not strong. Instead, drought appears to be a primary driver of fire in the lowlands of southern Pacific Costa Rica. Some peaks in macroscopic charcoal at Laguna Danta coincide with shifts in the mean latitudinal position of the Intertropical Convergence Zone in the Caribbean as reconstructed from the Cariaco Ti record. We also identify a decrease in the stable nitrogen isotope values of lake sediments associated with increased fire activity, a pattern also documented in temperate ecosystems. We interpret our charcoal records to indicate both human use of fire in agricultural settings and wildfires in intact forests driven by regional changes in climate.</t>
  </si>
  <si>
    <t>1-23</t>
  </si>
  <si>
    <t>Johanson2020_99.i</t>
  </si>
  <si>
    <t>Laguna Danta</t>
  </si>
  <si>
    <t>Leaf, Reed</t>
  </si>
  <si>
    <t>Johanson2020_99.ii</t>
  </si>
  <si>
    <t>Land Use Change;Vegetation;Agriculture</t>
  </si>
  <si>
    <t>Gabriel2009_66.vii</t>
  </si>
  <si>
    <t>Johanson2020_99.iii</t>
  </si>
  <si>
    <t>Johanson2020_99.iv</t>
  </si>
  <si>
    <t>Laguna Carse</t>
  </si>
  <si>
    <t>Charcoal, Leaf, Wood</t>
  </si>
  <si>
    <t>Johanson2020_99.v</t>
  </si>
  <si>
    <t>Johanson2020_99.vi</t>
  </si>
  <si>
    <t>Hooghiemstra1992_84</t>
  </si>
  <si>
    <t>Hooghiemstra, H.; Cleef, A. M.; Noldus, G. W.; Kappelle, M.</t>
  </si>
  <si>
    <t>Upper Quaternary vegetation dynamics and palaeoclimatology of the La Chonta bog area (Cordillera de Talamanca, Costa Rica)</t>
  </si>
  <si>
    <t>Two pollen records from La Chonta bog (2310 m altitude) and one pollen record of a soil profile (2430 m altitude) at a short distance from the bog permit the reconstruction of the vegetational history and climatic sequence of probably the last ca. 80 000 yr of the Cordillera de Talamanca, Costa Rica. The three pollen records can be correlated on the basis of three radiocarbon-dated horizons ( \textgreater 39 900 yr BP, 34 850 yr BP and 1390 yr BP) and palynostratigraphy. During the Last Glacial to Holocene transition a shift of the upper forest line of ca. 1400 is inferred, corresponding to a glacial temperature depression at 2300 m altitude of ca. 8°C. -from Authors</t>
  </si>
  <si>
    <t>205-225</t>
  </si>
  <si>
    <t>La Chonta</t>
  </si>
  <si>
    <t>Climate;Vegetation</t>
  </si>
  <si>
    <t>Na₃PO₄, Acetolysis</t>
  </si>
  <si>
    <t>Stuiver and Pearson 1986</t>
  </si>
  <si>
    <t>Hillesheim2005_75.iii</t>
  </si>
  <si>
    <t>HCl, KOH, HF, acetolysis</t>
  </si>
  <si>
    <t>Shell, charcoal, wood</t>
  </si>
  <si>
    <t>Hillesheim2005_75.vi</t>
  </si>
  <si>
    <t>Hillesheim2005_75.vii</t>
  </si>
  <si>
    <t>Roy2017_160</t>
  </si>
  <si>
    <t>Roy, P. D.; Torrescano-Valle, N.; Islebe, G. A.; Gutiérrez-Ayala, L. V.; Gutierrez-Ayala, L. V.; Gutieerrez-Ayala, L. V.</t>
  </si>
  <si>
    <t>Late Holocene hydroclimate of the western Yucatan Peninsula (Mexico)</t>
  </si>
  <si>
    <t>10.1002/jqs.2988</t>
  </si>
  <si>
    <t>Chemical composition, magnetic susceptibility and texture of sediments in a swamp from the Los Petenes Biosphere Reserve provide information about late Holocene hydrological variations on the western margin of the Yucatan Peninsula, Mexico. Periods of lower than average amounts of K-bearing clastics during 2580-2050, 1100-825 and 700-160 cal a BP represent drought intervals. Magnetic minerals were better preserved during these arid intervals, as the swamp was not perennially anoxic. Hydroclimate was unstable during 2580-2050 cal a BP, as several storm-surge events occurred within an overall arid interval. The drought of 1100-825 cal a BP was contemporary with the Terminal Classic Period and the drought of 700-160 cal a BP was characterized by the lowest erosion as well as highest abundance of authigenic carbonate. Comparison with other climate proxy records from the region suggests that droughts had different geographic coverage. We attribute the different geographic coverage of droughts to variable strengths of polar continental air masses as well as dynamics of the Caribbean Low Level Jet and tropical cyclones that brought precipitation into different parts of the peninsula.</t>
  </si>
  <si>
    <t>1112-1120</t>
  </si>
  <si>
    <t>Roy2017_160.i</t>
  </si>
  <si>
    <t>Los Petenes Biosphere Reserve</t>
  </si>
  <si>
    <t>Thermo Scientific HiperTOC Solid Analyzer.</t>
  </si>
  <si>
    <t>Roy2017_160.ii</t>
  </si>
  <si>
    <t>Roy2017_160.iii</t>
  </si>
  <si>
    <t>Battistel2018_19</t>
  </si>
  <si>
    <t>Battistel, D.; Roman, M.; Marchetti, A.; Kehrwald, N. M.; Radaelli, M.; Balliana, E.; Toscano, G.; Barbante, C.</t>
  </si>
  <si>
    <t>Anthropogenic impact in the Maya Lowlands of Petén, Guatemala, during the last 5500 years</t>
  </si>
  <si>
    <t>10.1002/jqs.3013</t>
  </si>
  <si>
    <t>Trace and rare earth elements from a sediment core from Lake Peten Itza (Guatemala) depict the geochemical dynamics affecting the lake from approximate to 5500 a BP to the present. This timing encompasses the Preclassic (4000-1700 a BP) and Classic Periods (1700-1000 a BP) when thriving Maya societies extensively cleared land for agriculture. We demonstrate that this land use occurred during times of increased precipitation, where both processes resulted in increased erosion. Rare earth element ratios depict high precipitation rates between 3000 and 1000 a BP, correlating with an increase in allochthonous silicate input and low organic carbon in the Maya Clay' stratigraphic section, where this layer is ascribed to intensive anthropogenic land use. Cesium anomalies provide additional evidence for runoff due to high rainfalls and amplified by anthropogenic impacts. The Peten Itza core contains anomalous spikes of arsenic and mercury, and these peaks correspond to documented volcanic eruptions and therefore are probably natural. The geochemical composition of sediments and palynological records indicate re-growth of the forest after approximate to 900 a BP. This increased forest vegetation coincides with the timing of the decline in Maya agriculture.</t>
  </si>
  <si>
    <t>166-176</t>
  </si>
  <si>
    <t>Battistel2018_19.i</t>
  </si>
  <si>
    <t>Catchment Erosion;Climate;Land Use Change;Precipitation</t>
  </si>
  <si>
    <t>MilestoneEthos + Milestone HPR-1000/10S high-pressure</t>
  </si>
  <si>
    <t>Metcalfe2009_127</t>
  </si>
  <si>
    <t>Metcalfe, S.; Breen, A.; Murray, M.; Furley, P.; Fallick, A.; McKenzie, A.</t>
  </si>
  <si>
    <t>Environmental change in northern Belize since the latest Pleistocene</t>
  </si>
  <si>
    <t>Cores from the New River Lagoon in Belize have been analysed using a range of palaeolimnological proxies to reconstruct change since the latest Pleistocene. The combination of diatom and stable isotope analyses (supported by mineralogical and major element data) indicate that the New River Lagoon has been a freshwater system throughout the period of record. For most of this time the lagoon has been hydrologically open, but there are indications that it may have become closed in the latest Pleistocene or very early Holocene. This may have been associated with a drier climate and lower sea level. Mid-Holocene records are consistent with those from elsewhere in the region, indicating a stable and moist climate. The late Holocene was marked by greater variability, but there is no clear evidence of any drying in the late Classic coincident with the Maya 'collapse' ca. AD 900. Our results indicate that the continuity of occupation at the Maya site of Lamanai on the shores of the New River Lagoon is consistent with continued access to freshwater during periods of regional climatic variability. The importance of conditions at individual sites when considering both system response and human vulnerability to climate change is emphasised.</t>
  </si>
  <si>
    <t>627-641</t>
  </si>
  <si>
    <t>Metcalfe2009_127.xi</t>
  </si>
  <si>
    <t>Lamanai</t>
  </si>
  <si>
    <t>River Sediment Core</t>
  </si>
  <si>
    <t>Gastropod</t>
  </si>
  <si>
    <t>Metcalfe2009_127.xii</t>
  </si>
  <si>
    <t>Outpost</t>
  </si>
  <si>
    <t>Metcalfe2009_127.xiii</t>
  </si>
  <si>
    <t>Hillbank</t>
  </si>
  <si>
    <t>Gastropod, Organic matter</t>
  </si>
  <si>
    <t>Battistel2018_19.ii</t>
  </si>
  <si>
    <t>Wang et al. (2012)</t>
  </si>
  <si>
    <t>Battistel2018_19.iii</t>
  </si>
  <si>
    <t>League2000_116</t>
  </si>
  <si>
    <t>League, B. L.; Horn, S. P.</t>
  </si>
  <si>
    <t>A 10 000 year record of Paramo fires in Costa Rica</t>
  </si>
  <si>
    <t>Journal of Tropical Ecology</t>
  </si>
  <si>
    <t>The fire history of the Chirripo paramo was studied by sampling cores of lake sediments and analysing macroscopic charcoal.</t>
  </si>
  <si>
    <t>747-752</t>
  </si>
  <si>
    <t xml:space="preserve">Wet-sieved </t>
  </si>
  <si>
    <t>Bulk sediment</t>
  </si>
  <si>
    <t>Enquist2001_54</t>
  </si>
  <si>
    <t>Enquist, B. J.; Leffler, A. J.</t>
  </si>
  <si>
    <t>Long-term tree ring chronologies from sympatric tropical dry-forest trees: individualistic responses to climatic variation</t>
  </si>
  <si>
    <t>The influence of local precipitation and temperature on long-term growth dynamics of two seasonally dry tropical forest trees, Capparis indica and Genipa americana, were investigated in Guanacaste province on the northwest Pacific coast of Costa Rica. Increment cores were collected and the relationships with environmental variables examined. These growth rings provide a long term (circa 85-year) record of tree growth for the two species with contrasting phenologies. Annual growth, in both species, was dependent upon annual and/or monthly rainfall variation in local precipitation but less so on temperature. For each species, however, patterns of growth reflected unique degrees of sensitivity to monthly rainfall and rainfall during previous years. It is hypothesized that such differences were due to the rooting depth of these species. The literature also indicated similar diverse cambial growth responses by tropical trees to variation in annual and monthly climate. Variation in longer term fluctuations in the Pacific and Atlantic oceans, as measured by the El Nino Southern Oscillation and North Atlantic Oscillation, significantly influenced local precipitation in Guanacaste only during the wettest portion of the wet season. This temporal sensitivity may have differentially influenced the long term growth of some tropical tree species but not others. These results, together, support the hypothesis that tropical tree species respond individually to variation in local and regional climate and some tropical assemblages may be structured by species-specific differences in water use.</t>
  </si>
  <si>
    <t>41-60</t>
  </si>
  <si>
    <t>Area de Conservacion Guanacaste</t>
  </si>
  <si>
    <t>Climate;Precipitation;Seasonality</t>
  </si>
  <si>
    <t>Air-dried</t>
  </si>
  <si>
    <t>Pohl1996_201</t>
  </si>
  <si>
    <t>Pohl, M.D., Pope, K.O., Jones, J.G., Jacob, J.S., Piperno, D.R., Lentz, D.L., Gifford, J.A., Danforth, M.E. and Josserand, J.K</t>
  </si>
  <si>
    <t>Early agriculture in the Maya lowlands</t>
  </si>
  <si>
    <t>355-372</t>
  </si>
  <si>
    <t>Pohl1996_201.i</t>
  </si>
  <si>
    <t>Pohl1996_201.ii</t>
  </si>
  <si>
    <t>Sediment</t>
  </si>
  <si>
    <t>Stuiver and Reimer 1993; Talma and Vogel 1993; Vogel et al. 1993</t>
  </si>
  <si>
    <t>Johnston2001_100.ii</t>
  </si>
  <si>
    <t>KOH, acetolysis, HF, nitexing</t>
  </si>
  <si>
    <t>Johnston2001_100.iii</t>
  </si>
  <si>
    <t>Geotek multi-sensor core logger</t>
  </si>
  <si>
    <t>Johnston2001_100.iv</t>
  </si>
  <si>
    <t>UIC model 501 1 CO2 coulometer</t>
  </si>
  <si>
    <t>Johnston2001_100.vi</t>
  </si>
  <si>
    <t>Johnston2001_100.vii</t>
  </si>
  <si>
    <t>Charcoal (Macroscopic)</t>
  </si>
  <si>
    <t>g</t>
  </si>
  <si>
    <t>Johnston2001_100.viii</t>
  </si>
  <si>
    <t>Neff2006_134</t>
  </si>
  <si>
    <t>Neff, H.; Pearsall, D. M.; Jones, J. G.; Arroyo, B.; Collins, S. K.; Freidel, D. E.</t>
  </si>
  <si>
    <t>Early Maya adaptive patterns: Mid-late holocene paleoenvironmental evidence from Pacific Guatemala</t>
  </si>
  <si>
    <t>We summarize what is known about Archaic period occupation of southeastern Mesoamerica and Central America as background for presenting new paleoenvironmental evidence of pre-Early Formative human impacts on the landscape of Pacific coastal Guatemala. Our evidence comes from sediment cores in three locations, all of which are in the mangrove-estuary zone of the lower coast. Pollen and phytoliths from the cores document increased burning, decreased forest cover, the appearance of domesticates, and increased disturbance indicators at various times during the Archaic period, the earliest being around 3500 cal B.C. The available evidence demonstrates that shifting horticulture was an early and widespread adaptation to the southeastern Mesoamerican deciduous tropical forest and constituted the base from which later adaptations, including that of early Maya farmers, differentiated. Early Formative adaptive innovations may have been favored by shifts in return rates from various estuarine and terrestrial resources during a dry and variable interval 2000 and 1500 cal B.C. Copyright \textcopyright 2006 by the Society for American Archaeology.</t>
  </si>
  <si>
    <t>287-315</t>
  </si>
  <si>
    <t>Neff2006_134.i</t>
  </si>
  <si>
    <t>Sipacate</t>
  </si>
  <si>
    <t>Salt Playa</t>
  </si>
  <si>
    <t>Particles ml-1</t>
  </si>
  <si>
    <t>Southern Mesoamerican Pacific mangroves</t>
  </si>
  <si>
    <t>Neff2006_134.ii</t>
  </si>
  <si>
    <t>Neff2006_134.iii</t>
  </si>
  <si>
    <t>Neff2006_134.iv</t>
  </si>
  <si>
    <t>Lower Rio Naranjo</t>
  </si>
  <si>
    <t>Neff2006_134.v</t>
  </si>
  <si>
    <t>Mueller2009_133</t>
  </si>
  <si>
    <t>Mueller, A. D.; Islebe, G. A.; Hillesheim, M. B.; Grzesik, D. A.; Anselmetti, F. S.; Ariztegui, D.; Brenner, M.; Curtis, J. H.; Hodell, D. A.; Venz, K. A.</t>
  </si>
  <si>
    <t>Climate drying and associated forest decline in the lowlands of northern Guatemala during the late Holocene</t>
  </si>
  <si>
    <t>Palynological studies document forest disappearance during the late Holocene in the tropical Maya lowlands of northern Guatemala. The question remains as to whether this vegetation change was driven exclusively by anthropogenic deforestation, as previously suggested, or whether it was partly attributable to climate changes. We report multiple palaeoclimate and palaeoenvironment proxies (pollen, geochemical, sedimentological) from sediment cores collected in Lake Peten Itza, northern Guatemala. Our data indicate that the earliest phase of late Holocene tropical forest reduction in this area started at \~ 4500 cal yr BP, simultaneous with the onset of a circum-Caribbean drying trend that lasted for \~ 1500 yr. This forest decline preceded the appearance of anthropogenically associated Zea mays pollen. We conclude that vegetation changes in Peten during the period from \~ 4500 to \~ 3000 cal yr BP were largely a consequence of dry climate conditions. Furthermore, palaeoclimate data from low latitudes in North Africa point to teleconnective linkages of this drying trend on both sides of the Atlantic Ocean.</t>
  </si>
  <si>
    <t>133-141</t>
  </si>
  <si>
    <t>Mueller2009_133.vii</t>
  </si>
  <si>
    <t>Wood, Charcoal</t>
  </si>
  <si>
    <t>Mueller2009_133.viii</t>
  </si>
  <si>
    <t>Mueller2009_133.ix</t>
  </si>
  <si>
    <t>Leaf, Wood, Charcoal</t>
  </si>
  <si>
    <t>Neff2006_134.vi</t>
  </si>
  <si>
    <t>Manchon</t>
  </si>
  <si>
    <t>Neff2006_134.vii</t>
  </si>
  <si>
    <t>Neff2006_134.viii</t>
  </si>
  <si>
    <t>Neff2006_134.ix</t>
  </si>
  <si>
    <t>Urquhart2009_183</t>
  </si>
  <si>
    <t>Urquhart, G. R.</t>
  </si>
  <si>
    <t>Paleoecological record of hurricane disturbance and forest regeneration in Nicaragua</t>
  </si>
  <si>
    <t>Quaternary International</t>
  </si>
  <si>
    <t>10.1016/j.quaint.2008.05.012</t>
  </si>
  <si>
    <t>Studying infrequent phenomena (e.g. hurricanes) and slow processes (e.g. forest regeneration) greatly challenges the ecological techniques of real-time studies. By combining the two relatively new approaches of paleotempestology and fine-resolution palynology, this study provides insight into the impacts of hurricanes and the post-hurricane regeneration of forests. I analyzed a 5-m sediment core from a swamp lagoon on the Caribbean Coast of Nicaragua that covered the entire 8000-yr history of the swamp [Urquhart, G. R., 1997. Disturbance and regeneration of swamp forests in Nicaragua: evidence from Ecology and Paleoecology. Ph.D. Dissertation, The University of Michigan, Ann Arbor, MI, USA]. X-rays revealed a sand layer dating to c. 3300 BP of the type deposited by hurricanes. Pollen analyses showed this sand layer was followed by major changes in vegetation and fires. This pattern is identical to the wake of Hurricane Joan, which struck the area in 1988 and left 90,000 hectares of damaged swamp forest that burned shortly after. After the prehistoric hurricane, forest vegetation did not return until 500 yr later, due to repeated burning. This parallel event of the past illustrates a possible course for modern forest regeneration. As a counterpart to direct ecological analysis, fine-resolution paleoecological study can provide great insight for the study of rare events and slow processes. \textcopyright 2008 Elsevier Ltd and INQUA.</t>
  </si>
  <si>
    <t>88-97</t>
  </si>
  <si>
    <t>Urquhart2009_183.iv</t>
  </si>
  <si>
    <t>Centro Negro</t>
  </si>
  <si>
    <t>Wood fragments,</t>
  </si>
  <si>
    <t>Neff2006_134.x</t>
  </si>
  <si>
    <t>Neff2006_134.xi</t>
  </si>
  <si>
    <t>Neff2006_134.xii</t>
  </si>
  <si>
    <t>Neff2006_134.xiii</t>
  </si>
  <si>
    <t>Neff2006_134.xiv</t>
  </si>
  <si>
    <t>Mueller2010_132.i</t>
  </si>
  <si>
    <t>Neff2006_134.xv</t>
  </si>
  <si>
    <t>Mueller2010_132.iii</t>
  </si>
  <si>
    <t>Mueller2010_132.iv</t>
  </si>
  <si>
    <t>Mueller2010_132.v</t>
  </si>
  <si>
    <t>Perez2010_142</t>
  </si>
  <si>
    <t>Perez, L.; Bugja, R.; Massaferro, J.; Steeb, P.; van Geldern, R.; Frenzel, P.; Brenner, M.; Scharf, B.; Schwalb, A.</t>
  </si>
  <si>
    <t>Post-Columbian environmental history of Lago PetÔö£┬«n ItzÔö£├¡, Guatemala</t>
  </si>
  <si>
    <t>Revista Mexicana De Ciencias Geologicas</t>
  </si>
  <si>
    <t>Two similar to 40-cm-long sediment cores, PI-SC-1-10m and PI-SC-2-40m</t>
  </si>
  <si>
    <t>490-507</t>
  </si>
  <si>
    <t>Perez2010_142.i</t>
  </si>
  <si>
    <t>Neff2006_134.xvi</t>
  </si>
  <si>
    <t>Neff2006_134.xvii</t>
  </si>
  <si>
    <t>Neff2006_134.xviii</t>
  </si>
  <si>
    <t>Perez2010_142.v</t>
  </si>
  <si>
    <t>Chironomids</t>
  </si>
  <si>
    <t>Redox Conditions</t>
  </si>
  <si>
    <t>KOH</t>
  </si>
  <si>
    <t>Wahl2007_194.i</t>
  </si>
  <si>
    <t>Wahl2007_194.ii</t>
  </si>
  <si>
    <t>Automated charcoal scanner developed in the Uni versity of California Museum of Paleontology pollen lab</t>
  </si>
  <si>
    <t>Wahl2007_194.iv</t>
  </si>
  <si>
    <t>Rue1987_162</t>
  </si>
  <si>
    <t>Rue, D. J.</t>
  </si>
  <si>
    <t>Early agriculture and early Postclassic Maya occupation in western Honduras</t>
  </si>
  <si>
    <t>Nature</t>
  </si>
  <si>
    <t>Evidence of the origins, intensification and end of cultivation can be obtained from pollen profiles indicating forest clearance. Independent archaeological data1,2 (the first occurrences of ceramics and village settlement) have yielded a date of ∼3,000 yr BP for the onset of agriculture in western Honduras. Recent research on early Postclassic Maya demography3,4 has identified much regional variation in settlement densities, contrary to an earlier view, based on limited data, of immediate pan-southern Maya abandonment or depopulation after ∼1,050 yr BP (ref. 5). Here I present pollen profiles which provide evidence of early slash-and-burn maize agriculture at Lake Yojoa, probably part of an Archaic hunting and gathering strategy, from ∼4,500 yr BP or earlier. Slash-and-burn agriculture intensified at ∼3,000 yr BP at Lake Yojoa, and stabilized thereafter. At Petapilla Swamp, 5 km north-east of the major Maya centre of Copan, the pollen sequence began at ∼1,000 yr BP and suggests terminal Classic-early Postclassic (AD 950-1200) agricultural activity. The present pollen evidence of occupation until ∼AD 1200 and subsequent abandonment of the Copan region reinforces recent archaeological settlement data6. \textcopyright 1987 Nature Publishing Group.</t>
  </si>
  <si>
    <t>285-286</t>
  </si>
  <si>
    <t>Rue1987_162.i</t>
  </si>
  <si>
    <t>Lago Yojoa</t>
  </si>
  <si>
    <t>Vegetation; Agriculture</t>
  </si>
  <si>
    <t>Agricultural Taxa; Weedy/Disturbance Taxa</t>
  </si>
  <si>
    <t>Burned wood fragments</t>
  </si>
  <si>
    <t>Central American Atlantic moist forests</t>
  </si>
  <si>
    <t>Rue1987_162.ii</t>
  </si>
  <si>
    <t>Petapilla</t>
  </si>
  <si>
    <t>Hodell1995_81</t>
  </si>
  <si>
    <t>Hodell, D. A.; Curtis, J. H.; Brenner, M.</t>
  </si>
  <si>
    <t>Possible role of climate in the collapse of Classic Maya civilization</t>
  </si>
  <si>
    <t>THE Maya civilization developed around 3,000 years ago in Mesoamerica, and after flourishing during the so-called Classic period, it collapsed around 750-900 AD1. It has been specula ted2-6 that climate change may have played a part in this collapse. But efforts to reconstruct the last three millennia of Mesoamerican climate using palynological methods have met with equivocal success, because human-mediated deforestation has altered regional vegetation in ways that mimic climate shifts, making it difficult to discriminate between natural and anthropogenic changes7-15. Here we use temporal variations in oxygen isotope and sediment composition in a 4.9-m sediment core from Lake Chichancanab, Mexico, to reconstruct a continuous record of Holocene climate change for the central Yucatan peninsula. The interval between 1,300 and 1,100 yr BP (AD 800-1,000) was the driest of the middle to late Holocene epoch, and coincided with the collapse of Classic Maya civilization. This continuous climate proxy record thus provides evidence of climate deterioration in the Maya region during the terminal Classic period. \textcopyright 1995 Nature Publishing Group.</t>
  </si>
  <si>
    <t>391-394</t>
  </si>
  <si>
    <t>Hodell1995_81.i</t>
  </si>
  <si>
    <t>See, Charcoal, Landsnail, pyrgophorus, Bivalves, Mixed Gastropods</t>
  </si>
  <si>
    <t>Hodell1995_81.ii</t>
  </si>
  <si>
    <t>Hodell1995_81.iii</t>
  </si>
  <si>
    <t>Ridley2015_152</t>
  </si>
  <si>
    <t>Ridley, H. E.; Asmerom, Y.; Baldini, J. U. L.; Breitenbach, S. F. M.; Aquino, V. V.; Prufer, K. M.; Culleton, B. J.; Polyak, V.; Lechleitner, F. A.; Kennett, D. J.; Zhang, M.; Marwan, N.; Macpherson, C. G.; Baldini, L. M.; Xiao, T.; Peterkin, J. L.; Awe, J.; Haug, G. H.</t>
  </si>
  <si>
    <t>Aerosol forcing of the position of the intertropical convergence zone since AD 1550</t>
  </si>
  <si>
    <t>Nature Geoscience</t>
  </si>
  <si>
    <t>10.1038/NGEO2353</t>
  </si>
  <si>
    <t>The position of the intertropical convergence zone is an important</t>
  </si>
  <si>
    <t>195-200</t>
  </si>
  <si>
    <t>Yok Balum</t>
  </si>
  <si>
    <t>MAT 253 Isotope-Ratio Mass Spectrometer with a Gasbench II</t>
  </si>
  <si>
    <t>Wahl2013_192</t>
  </si>
  <si>
    <t>Wahl, D.; Estrada-Belli, F.; Anderson, L.</t>
  </si>
  <si>
    <t>A 3400 year paleolimnological record of prehispanic human-environment interactions in the Holmul region of the southern Maya lowlands</t>
  </si>
  <si>
    <t>Palaeogeography Palaeoclimatology Palaeoecology</t>
  </si>
  <si>
    <t>10.1016/j.palaeo.2013.03.006</t>
  </si>
  <si>
    <t>The timing, magnitude and drivers of late Holocene environmental change</t>
  </si>
  <si>
    <t>17-31</t>
  </si>
  <si>
    <t>Wahl2013_192.i</t>
  </si>
  <si>
    <t>Laguna Yaloch</t>
  </si>
  <si>
    <t>Vegetation;Land Use Change</t>
  </si>
  <si>
    <t>Wahl2013_192.ii</t>
  </si>
  <si>
    <t>NaPO3</t>
  </si>
  <si>
    <t>Wahl2013_192.iii</t>
  </si>
  <si>
    <t>Catchment Erosion;Climate</t>
  </si>
  <si>
    <t>Wahl2013_192.iv</t>
  </si>
  <si>
    <t>Bartington MS2C Sensor</t>
  </si>
  <si>
    <t>Wahl2013_192.v</t>
  </si>
  <si>
    <t>2 N solution of HCl</t>
  </si>
  <si>
    <t>Wahl2013_192.vi</t>
  </si>
  <si>
    <t>Islebe1995_91</t>
  </si>
  <si>
    <t>Islebe, G. A.; Hooghiemstra, H.; van der Borg, K.</t>
  </si>
  <si>
    <t>A cooling event during the Younger Dryas Chron in Costa Rica</t>
  </si>
  <si>
    <t>10.1016/0031-0182(95)00124-5</t>
  </si>
  <si>
    <t>A fossil pollen record from the Costa Rican Cordillera de Talamanca presents the first AMS radiocarbon-dated evidence of a temperature decrease during the Younger Dryas Chron. This cooling event is named La Chonta stadial after the bog at 2310 m altitude, located at the actual lower to upper montane forest boundary. High-resolution pollen analysis revealed that between 11,070±130 (AMS 14C age) and 10,400 yr B.P. (interpolated age) vegetation comparable to present-day subalpine forest occurred about 300-400 m lower than in the previous warmer interval, and 600 to 700 m lower than at present time. The radiocarbon dates are close to the earlier estimated ages of 11,080-10,500 yr B.P. for this interval, based on interpolation and pollen concentration rates (Hooghiemstra et al., 1992). The downslope shift of the upper forest line indicates an estimated temperature drop of 2-3°C during the La Chonta stadial. The local vegetation development is indicative of a drier climate. From 10,400 to 9800±120 yr B.P. (AMS 14C age) subalpine rain forest was replaced by upper montane forest, a transitional period to Holocene environmental conditions. \textcopyright 1995.</t>
  </si>
  <si>
    <t>73-80</t>
  </si>
  <si>
    <t>Top</t>
  </si>
  <si>
    <t>These datesreveal a temporal resolution of 55 years in pollenzones 5 and 6, using a linear accumulation rate.</t>
  </si>
  <si>
    <t>Phillips1997_143</t>
  </si>
  <si>
    <t>Phillips, S.; Rouse, G. E.; Bustin, R. M.</t>
  </si>
  <si>
    <t>Vegetation zones and diagnostic pollen profiles of a coastal peat swamp, Bocas del Toro, Panama.</t>
  </si>
  <si>
    <t>10.1016/S0031-0182(97)81129-7</t>
  </si>
  <si>
    <t>A survey of the dominant vegetative cover of a large domed coastal swamp near Changuinola in the Province of Bocas del Toro, Panama, has been undertaken as an initial step in reconstructing the Holocene history of peat accumulation on this coast. Seven phasic communities of peat-forming vegetation are defined and mapped: (1) Rhizophora mangle mangrove swamp; (2) mixed back-mangrove swamp; (3) Raphia taedigera palm swamp; (4) mixed forest swamp; (5) Campnosperma panamensis forest swamp; (6) Sawgrass ± stunted forest swamp; (7) Myrica-Cyrilla bog-plain. Pollen extracted from surface peat samples and collected from dominant vegetation, at representative sites, is used to prepare a pollen profile of each phasic community. These profiles are then compared to pollen distribution in 2 peat cores, one from the deep central part of the deposit and the second from a site near the marine margin, in order to construct a history, by floral succession, of the 4000 year evolution of the deposit. The Changuinola mire originated as freshwater palm and hardwood forest swamps that developed in close proximity to both the Changuinola River mouth, probably behind a barrier bar and freshwater lagoon system adjacent to a low energy, mangrove-dominated bay. The early swamp was likely drained to the southeast by brackish blackwater creeks much as it is today, and formerly extended considerably farther in the direction of Almirante Bay. The palm swamp was succeeded by hardwood forest swamp dominated by a very limited number of specialized species, only one of which (Campnosperma panamensis) is prone to forming monospecific stands. Increasing accumulation of woody peat promoted by the everwet climate impeded drainage of the mire, leading to doming, increased oligotrophy, and establishment of bog-plain conditions in a manner similar to that described by the Anderson model of succession in the coastal swamps of Malaysia and Indonesia. Development of the Changuinola mire did not require the initial mangrove phase which is common to the peat swamps of southeast Asia, as the palm Raphia taedigera is able to colonise and institute peat accumulation in a variety of freshwater and brackish environments.</t>
  </si>
  <si>
    <t>301-338</t>
  </si>
  <si>
    <t>Bocas del Toro</t>
  </si>
  <si>
    <t xml:space="preserve">Vegetation </t>
  </si>
  <si>
    <t>Acetolysis + wet sieving &gt;0.25um</t>
  </si>
  <si>
    <t>Anchukaitis2005_11.iii</t>
  </si>
  <si>
    <t>Sieves 1000um</t>
  </si>
  <si>
    <t>Anchukaitis2005_11.iv</t>
  </si>
  <si>
    <t>Sieves 500um</t>
  </si>
  <si>
    <t>Anchukaitis2005_11.v</t>
  </si>
  <si>
    <t>Sieves 125um</t>
  </si>
  <si>
    <t>Caffrey2011_25.i</t>
  </si>
  <si>
    <t>Temperature</t>
  </si>
  <si>
    <t>Caffrey2011_25.ii</t>
  </si>
  <si>
    <t>Geotek XYZ multi-sensor core logger mounted with a Bartington MS2E sensor</t>
  </si>
  <si>
    <t>Caffrey2011_25.iii</t>
  </si>
  <si>
    <t>Caffrey2011_25.iv</t>
  </si>
  <si>
    <t>Anchukaitis2005_11.vi</t>
  </si>
  <si>
    <t>On Pollen Prep Slide</t>
  </si>
  <si>
    <t>Anchukaitis2005_11.viii</t>
  </si>
  <si>
    <t>Anselmetti2006_14</t>
  </si>
  <si>
    <t>Anselmetti, F. S.; Ariztegui, D.; Hodell, D. A.; Hillesheim, M. B.; Brenner, M.; Gilli, A.; McKenzie, J. A.; Mueller, A. D.</t>
  </si>
  <si>
    <t>Late Quaternary climate-induced lake level variations in Lake PetÔö£┬«n ItzÔö£├¡, Guatemala, inferred from seismic stratigraphic analysis</t>
  </si>
  <si>
    <t>10.1016/j.palaeo.2005.06.037</t>
  </si>
  <si>
    <t>We used seismic images and sedimentary data from piston cores to conduct a sequence stratigraphic analysis of sediments in Lake Pet \' e n Itz \' a , northern Guatemala. Our results document lake level fluctuations in this lowland Neotropical region that were related to glacial-to-interglacial climate change during the Late Pleistocene. A bathymetric survey of Lake Pet \' e n Itz \' a (area = 100 km2) revealed a maximum water depth of ∼160 m and the existence of a deep cryptodepression that extends 50 m below modern sea level. The great depth suggests that the basin held water even during arid conditions associated with full glacial periods. Lake Pet \' e n Itz \' a may thus possess the only long continuous lacustrine sediment record of Late Pleistocene environmental and climate change in the lowland Neotropics. Two seismic reflection campaigns imaged the subsurface basin sediments that overlie basement. The sediment package was divided into four major seismic sequences (T, G, R, and B). Sequences are separated by unconformities that represent depositional cycles related to lake level fluctuations. Sediments of the uppermost sequence (T) were recovered and radiocarbon-dated in Kullenberg piston cores taken along a water depth transect. Seismic profiles reveal a basin-wide paleoshoreline just below sequence T at ∼56 m below present lake level. This constructional feature formed during a lowstand of the last glacial period when the lake was reduced to only ∼13 \% of its present volume. In cores taken landward of the paleoshoreline, Late Glacial-age deposits consist of paleosols, indicating subaerial exposure. Basinward of the shoreline, sediments are composed of dense gypsum sands and interbedded silty clays, reflecting authigenic gypsum formation under arid climate conditions. The top of the soil horizon and cessation of gypsum precipitation are represented by a strong seismic reflection (t). It marks the base of the uppermost seismic sequence T and is dated in several cores between ∼11.1 and 10.2 cal kyr BP. Lake level rose quickly at this time in response to a shift from arid-to-humid climate conditions at the Late Glacial/Early Holocene transition. We infer a similar sediment response to climate variations in the older stratigraphic sequences (G, R, and B), related to earlier glacial-to-interglacial and stadial-to- interstadial cycles. Older sequences are also distinguished from one another by erosional unconformities that probably represent major lake level falls. Future recovery of the older stratigraphic record by drilling in Lake Pet \' e n Itz \' a will provide ages for these older units and enable us to test the depositional model inferred from seismic stratigraphy. \textcopyright 2005 Elsevier B.V. All rights reserved.</t>
  </si>
  <si>
    <t>52-69</t>
  </si>
  <si>
    <t>Akers2016_7</t>
  </si>
  <si>
    <t>Akers, P. D.; Brook, G. A.; Railsback, L. B.; Liang, F.; Iannone, G.; Webster, J. W.; Reeder, P. P.; Cheng, H.; Edwards, R. L.</t>
  </si>
  <si>
    <t>An extended and higher-resolution record of climate and land use from stalagmite MC01 from Macal Chasm, Belize, revealing connections between major dry events, overall climate variability, and Maya sociopolitical changes</t>
  </si>
  <si>
    <t>10.1016/j.palaeo.2016.07.007</t>
  </si>
  <si>
    <t>The stalagmite MC01 was recovered from Macal Chasm cave on the Vaca Plateau of Belize in 1995, and an initial paleoclimate interpretation was published in 2007. Additional uranium-thorium ages have extended the paleoenvironmental record back from 3250 to 5250 cal yr BP, and the stable isotope ($\delta$18O and $\delta$13C) record is dramatically improved by 660 new values. A series of major dry events (MDEs) evident in stable isotopes, ultraviolet-stimulated luminescence, and petrography began \~  3100 cal yr BP, and the initiation of these events coincides with an increase in El Ni \~ n o dominance and southern shift in the Intertropical Convergence Zone. Three MDEs, centered at 1750 cal yr BP (200 CE), 1100 cal yr BP (850 CE), and 850 cal yr BP (1100 CE) and found in other regional climate records, coincide with Maya sociopolitical changes. Residuals from regression of $\delta$13C versus $\delta$18O are interpreted as a proxy for maize cultivation and land clearing, with residual values gradually increasing at the start of Preclassic Period settlement (3950 cal yr BP/2000 BCE), peaking after 2250 cal yr BP (300 BCE) during major Maya development in the Late Preclassic and Classic Periods, and dropping to pre-Preclassic values after regional land abandonment ( \~  850 cal yr BP/1100 CE). Regional Maya population growth and cultural expansion may have been aided by abnormally low precipitation variability, as stable isotope variability suggests the Late Preclassic through the Late Classic was the most stable precipitation regime of the past 4000 years. This additional research on MC01 complements other regional paleoenvironmental records that suggest that MDEs coincided with disruptions in Maya society from the Preclassic through the Postclassic Periods. Although it is clear that not all significant sociopolitical changes can be attributed to the MDEs, these events likely played an antagonistic role in social stability. \textcopyright 2016</t>
  </si>
  <si>
    <t>268-288</t>
  </si>
  <si>
    <t>Akers2016_7.i</t>
  </si>
  <si>
    <t>Macal Chasm</t>
  </si>
  <si>
    <t>Akers2016_7.ii</t>
  </si>
  <si>
    <t>Pollock2016_149</t>
  </si>
  <si>
    <t>Pollock, A. L.; van Beynen, P. E.; DeLong, K. L.; Polyak, V.; Asmerom, Y.; Reeder, P. P.</t>
  </si>
  <si>
    <t>A mid-Holocene paleoprecipitation record from Belize</t>
  </si>
  <si>
    <t>10.1016/j.palaeo.2016.09.021</t>
  </si>
  <si>
    <t>Understanding past climate may contribute to a better understanding of future climate change, allowing for adaptations to changing water resources. High latitude paleoclimate reconstructions reveal a warmer northern hemisphere during the mid-Holocene, yet paleoclimate records from tropical Central America are lacking, especially seasonally resolved reconstructions needed to resolve seasonal shifts. Here we reconstruct mid-Holocene precipitation using high-resolution (sub-annual to biannual) stable isotope ratios (oxygen and carbon) extracted from a speleothem recovered from Belize to investigate the frequency and magnitude of precipitation variability. We found a slight increase in precipitation during the mid-Holocene in Belize with less variability compared to the late-Holocene. This increase in precipitation may be a result of the expansion of the North Atlantic Subtropical High (NASH), which strengthens the Caribbean Lower Level Jet, enhancing westward advection of atmospheric moisture to Belize. The decrease in precipitation variability could be derived from a northward movement of the Intertropical Convergence Zone (ITCZ) placing Belize within the bounds of the ITCZ for a longer period each year. Time series analysis reveals periodicities of 200–250 years which correspond to the Suess solar cycle. The additional periods of \~  100 and \~  50 years also have origins in solar irradiance. The North Atlantic Oscillation (NAO) and the Atlantic Multidecadal Variability (AMV; also known as the Atlantic Multidecadal Oscillation (AMO)), long recognized as important drivers of precipitation variability in the region, are present but only at the 90 \% significance level. We posit that the reduced influence of the NAO and AMV could be caused by the northerly migration of the ITCZ during the mid-Holocene. \textcopyright 2016 Elsevier B.V.</t>
  </si>
  <si>
    <t>103-111</t>
  </si>
  <si>
    <t>Pollock2016_149.i</t>
  </si>
  <si>
    <t>Chen Ha Cave</t>
  </si>
  <si>
    <t>Thermo Fisher Scientific (Finnigan) Delta V 3 keV Isotope Ratio Mass Spectrometer</t>
  </si>
  <si>
    <t>Pollock2016_149.ii</t>
  </si>
  <si>
    <t>Aragon-Moreno2018_15</t>
  </si>
  <si>
    <t>Aragon-Moreno, A. A.; Islebe, G. A.; Roy, P. D.; Torrescano-Valle, N.; Mueller, A. D.; Aragón-Moreno, A. A.; Islebe, G. A.; Roy, P. D.; Torrescano-Valle, N.; Mueller, A. D.</t>
  </si>
  <si>
    <t>Climate forcings on vegetation of the southeastern Yucatán Peninsula (Mexico) during the middle to late Holocene</t>
  </si>
  <si>
    <t>10.1016/j.palaeo.2018.01.014</t>
  </si>
  <si>
    <t>Climate and vegetation history from the Yucatán Peninsula, southeastern Mexico, are inferred from a mangrove sediment core deposited between the middle and late Holocene (~5600–1700 cal yr B.P.) in the Rio Hondo Delta. Fossil pollen and concentrations of Ca and Fe and Ca/Fe ratio in sediments are used to record changes in vegetation and climate. Palaeoecological and palaeoclimatic interpretations obtained from pollen abundances and associations and Fe/Ca ratio coincide with dynamics of major global forcings of climate change like ITCZ, ENSO and global cooling. Mesic conditions enabled tropical forest expansion during the middle Holocene (~5600–3650 cal yr B.P.), although there were periodic dry episodes at ~5200 cal yr B.P. and at ~4300 cal yr B.P. that caused disturbance and enabled herbaceous vegetation to expand. Changes in sedimentation and a gradual change from semi-evergreen to dry tropical forest occurred at ~3650 cal yr B.P., with increasing ENSO activity and southward migration of the ITCZ during transition of the middle to late Holocene. The driest period and lowest forest cover occurred between ~2600 and 2000 cal yr B.P. Data show that over the last two millennia, influence of the ENSO on southeastern Mexico is stronger compared to other proxy-records of climate variability from the Caribbean region. © 2018 Elsevier B.V.</t>
  </si>
  <si>
    <t>214-226</t>
  </si>
  <si>
    <t>Aragon-Moreno2018_15.ii</t>
  </si>
  <si>
    <t>Rio Hondo</t>
  </si>
  <si>
    <t>River Sediments</t>
  </si>
  <si>
    <t>Vegetation;Agriculture;Climate</t>
  </si>
  <si>
    <t>Bates et al., 1978 and Nakagawa et al., 1998</t>
  </si>
  <si>
    <t>Bulk sediment, Shell</t>
  </si>
  <si>
    <t>Aragon-Moreno2018_15.iii</t>
  </si>
  <si>
    <t>Thermo Scientific Niton XL3t X-ray fluorescence analyzer XRF</t>
  </si>
  <si>
    <t>Wu2019_198</t>
  </si>
  <si>
    <t>Wu, J.; Porinchu, D. F.; Campbell, N. L.; Mordecai, T. M.; Alden, E. C.</t>
  </si>
  <si>
    <t>Holocene hydroclimate and environmental change inferred from a high-resolution multi-proxy record from Lago Ditkebi, Chirripó National Park, Costa Rica</t>
  </si>
  <si>
    <t>10.1016/j.palaeo.2019.01.004</t>
  </si>
  <si>
    <t>Multi-proxy analysis of a sediment core recovered from Lago Ditkebi in Chirripó National Park, Costa Rica, was undertaken to develop a multi-decadal to sub-centennial-scale reconstruction of Holocene hydroclimate and environmental change for the region. Analyses of sub-fossil chironomid assemblages, macroscopic charcoal, and bulk sediment geochemistry suggest that the glacial highlands in Chirripó National Park experienced notable hydroclimate variability, periodical burning by wildfires and climate-related vegetation change during the last ~8100 years. A single chironomid taxon, Procladius, most commonly associated with cold glacial lakes in Costa Rica, dominates the Holocene sub-fossil chironomid assemblage in Lago Ditkebi. Inferred from the proxy records, the interval between ~8100 and 5270 cal yr BP at the glacial highlands was relatively cold and dry with low effective moisture and limited fire activity. Cool and dry conditions were also observed between ~2820 cal yr BP and present but co-occurred with more frequent, low-severity fires. The highest fire frequency occurred between ~3300 and 1600 cal yr BP. The shifts in the chironomid assemblage and the low δ 13 C values detected between ~5270 and 2820 cal yr BP suggest a warm and wet climate and a decrease in abundance of Muhlenbergia, a C 4 grass during that time. Concurrent maxima in C/N, charcoal accumulation and the abundance of thermophilous chironomid taxon, Polypedilum N type, at ~5200 cal yr BP are indicative of an abrupt climate change event that was characterized by rapid warming, quickly increased effective moisture and intense wildfires in the glacial highlands of Costa Rica. © 2019 Elsevier B.V.</t>
  </si>
  <si>
    <t>172-186</t>
  </si>
  <si>
    <t>Wu2019_198.ii</t>
  </si>
  <si>
    <t>Ditkebi</t>
  </si>
  <si>
    <t>http://lrc.geo.umn.edu/laccore/assets/pdf/sops/charcoal-sieve.pdf</t>
  </si>
  <si>
    <t>Wu2019_198.iv</t>
  </si>
  <si>
    <t>Vegetation;Climate</t>
  </si>
  <si>
    <t>Jones1994_101</t>
  </si>
  <si>
    <t>Jones, J. G.</t>
  </si>
  <si>
    <t>Pollen evidence for early settlement and agriculture in Northern Belize</t>
  </si>
  <si>
    <t>Palynology</t>
  </si>
  <si>
    <t>10.1080/01916122.1994.9989445</t>
  </si>
  <si>
    <t>Analysis of fossil pollen from the Maya site of Colha, Belize, revealed a complex history of human-caused forest and land modification. Evidence of forest clearing, irrigation canal and raised field construction, and prehistoric domesticated plant use are apparent in the fossil pollen assemblages. Radiocarbon dates attest to a widespread clearing and the early cultivation of manioc (Manihot esculentum) and probably maize (Zea mays) by 2500 BC, with later Maya populations growing cotton (Gossypium) and chilies (Capsicum). The use of pollen analysis at this tropical archaeological site provides a wealth of data unavailable through other means. \textcopyright 1994 by AASP Foundation.</t>
  </si>
  <si>
    <t>205-211</t>
  </si>
  <si>
    <t>Horn1998_87</t>
  </si>
  <si>
    <t>Horn, S. P. a.</t>
  </si>
  <si>
    <t>Recent land use and vegetation history from soil pollen analysis: Testing the potential in the lowland humid tropics</t>
  </si>
  <si>
    <t>10.1080/01916122.1998.9989507</t>
  </si>
  <si>
    <t>We investigated the potential of soil pollen analysis to provide information about recent land use and vegetation history in the lowland humid tropics. Our initial work at the La Selva Biological Station in Costa Rica revealed that pollen was surprisingly well preserved in mineral soil, with pollen concentrations in the upper 10 cm of our soil cores as high as values for some lake sediment samples. Pollen percentages in our initial core samples showed down‐core variations that appeared to relate to what we knew about past episodes of forest clearance, pasture establishment, and secondary succession at our sampling sites. We carried out further tests of soil pollen analysis by collecting and analyzing additional soil cores from the La Selva Biological Station. Based on these new results, we conclude that soil pollen analysis in the lowland humid tropics does not hold the promise suggested by our initial work. Most pollen in our soil cores may be only a few decades old, and rapid downwash and/ or bioturbation may prevent the development of a stratigraphy at some sites. Poor reproducibility at a scale of meters suggests that where a distinct pollen stratigraphy exists, it may be highly localized, as soil pollen profiles collected under tropical forest canopies may sample very small areas. Alternatively, small (1‐cc) samples may be unrepresentative of soil horizons. A large number of samples will be needed in either case to characterize the land use and vegetation history of even a fairly small area. However, extreme locale‐specificity could be an advantage for detection of evidence of the past occurrence of a particular plant taxon at a given location. \textcopyright 1998 by AASP Foundation.</t>
  </si>
  <si>
    <t>167-180</t>
  </si>
  <si>
    <t>Horn1998_87.i</t>
  </si>
  <si>
    <t>Pejibaye</t>
  </si>
  <si>
    <t>HCl, HF, acetolysis, KOH</t>
  </si>
  <si>
    <t>Horn1998_87.ii</t>
  </si>
  <si>
    <t>Cordia</t>
  </si>
  <si>
    <t>Horn1998_87.iii</t>
  </si>
  <si>
    <t>Bosque Secondario</t>
  </si>
  <si>
    <t>Islebe2002_88</t>
  </si>
  <si>
    <t>Islebe, G.; Sanchez, O.</t>
  </si>
  <si>
    <t>History of Late Holocene vegetation at Quintana Roo, Caribbean coast of Mexico</t>
  </si>
  <si>
    <t>Plant Ecology</t>
  </si>
  <si>
    <t>10.1023/A:1015865932012</t>
  </si>
  <si>
    <t>A pollen record of a Late Holocene sediment core from the Mexican Caribbean coast (Quintana Roo) shows the development and changes of a mangrove system. Humid conditions seem to have persisted for the period approximately 2500-1500 14C years BP (pollen zone I), and mangrove Rhizophora mangle dominated with a good representation of elements from the nearby semi-evergreen tropical forest. During the period approximately 1500-1200 14C years BP (pollen zone II), the mangrove Conocarpus erectus dominated. R. mangle almost disappeared and other taxa appeared, suggesting drier climatic conditions and generally more open vegetation. This dry period coincided with the period of the Maya cultural decline. The following period (pollen zone III, approximately 1200-1000 14C years BP) was characterized by the recovery of R. mangle, indicating more humid conditions than in the preceding pollen zone. Pollen zone IV (approximately 1000 14C years BP till present) suggests a drier period reoccurring with C. erectus; this marks the transition to present day conditions.</t>
  </si>
  <si>
    <t>187-192</t>
  </si>
  <si>
    <t>Puerto Morelos</t>
  </si>
  <si>
    <t>Acetolysis, Glycerine</t>
  </si>
  <si>
    <t>Correa-Metrio2012_33</t>
  </si>
  <si>
    <t>Correa-Metrio, A.; Bush, M. B.; Cabrera, K. R.; Sully, S.; Brenner, M.; Hodell, D. A.; Escobar, J.; Guilderson, T.</t>
  </si>
  <si>
    <t>Rapid climate change and no-analog vegetation in lowland Central America during the last 86,000 years</t>
  </si>
  <si>
    <t>Quaternary Science Reviews</t>
  </si>
  <si>
    <t>10.1016/j.quascirev.2012.01.025</t>
  </si>
  <si>
    <t>Glacial-interglacial climate cycles are known to have triggered migrations and reassortments of tropical biota. Although long-term precessionally-driven changes in temperature and precipitation have been demonstrated using tropical sediment records, responses to abrupt climate changes, e.g. the cooling of Heinrich stadials or warmings of the deglaciation, are poorly documented. The best predictions of future forest responses to ongoing warming will rely on evaluating the influences of both abrupt and long-term climate changes on past ecosystems. A sedimentary sequence recovered from Lake Pet \' e n-Itz \' a , Guatemalan lowlands, provided a natural archive of environmental history. Pollen and charcoal analyses were used to reconstruct the vegetation and climate history of the area during the last 86,000 years. We found that vegetation composition and air temperature were strongly influenced by millennial-scale changes in the North Atlantic Ocean. Whereas Greenland warm interstadials were associated with warm and relatively wet conditions in the Central American lowlands, cold Greenland stadials, especially those associated with Heinrich events, caused extremely dry and cold conditions. Even though the vegetation seemed to have been highly resilient, plant associations without modern analogs emerged mostly following sharp climate pulses of either warmth or cold, and were paralleled by exceptionally high rates of ecological change. Although pulses of temperature change are evident in this 86,000-year record none matched the rates projected for the 21st Century. According to our findings, the ongoing rapid warming will cause no-modern-analog communities, which given the improbability of returning to lower-than-modern CO 2 levels, anthropogenic barriers to migration, and increased anthropogenic fires, will pose immense threats to the biodiversity of the region. \textcopyright 2012 Elsevier Ltd.</t>
  </si>
  <si>
    <t>63-75</t>
  </si>
  <si>
    <t>Correa-Metrio2012_33.i</t>
  </si>
  <si>
    <t>Fairbanks et al. 2005</t>
  </si>
  <si>
    <t>Pohl2007_147</t>
  </si>
  <si>
    <t>Pohl, M. E. D.; Piperno, D. R.; Pope, K. O.; Jones, J. G.</t>
  </si>
  <si>
    <t>Microfossil evidence for pre-Columbian maize dispersals in the neotropics from San Andres, Tabasco, Mexico</t>
  </si>
  <si>
    <t>Proceedings of the National Academy of Sciences of the United States of America</t>
  </si>
  <si>
    <t>10.1073/pnas.0701425104</t>
  </si>
  <si>
    <t>The history of maize (Zea mays L.) is one of the most debated topics in New World archaeology. Molecular and genetic studies indicate that maize domestication took place in tropical southwest Mexico. Although archaeological evidence for the evolution of maize from its wild ancestor teosinte has yet to be found in that poorly studied region, other research combining paleoecology and archaeology is documenting the nature and timing of maize domestication and dispersals. Here we report a phytolith analysis of sediments from San Andres, Tabasco, that confirms the spread of maize cultivation to the tropical Mexican Gulf Coast \textgreater 7,000 years ago (≈7,300 calendar years before present). We review the different methods used in sampling, identifying, and dating fossil maize remains and compare their strengths and weaknesses. Finally, we examine how San Andr \' e s amplifies the present evidence for widespread maize dispersals into Central and South America. Multiple data sets from many sites indicate that maize was brought under cultivation and domesticated and had spread rapidly out of its domestication cradle in tropical southwest Mexico by the eighth millennium before the present. \textcopyright 2007 by The National Academy of Sciences of the USA.</t>
  </si>
  <si>
    <t>6870-6875</t>
  </si>
  <si>
    <t>San Andres</t>
  </si>
  <si>
    <t>HCL, HNO3, KClO3, KOH, CdI2, KI</t>
  </si>
  <si>
    <t>Pantanos de Centla</t>
  </si>
  <si>
    <t>McNeil2010_123</t>
  </si>
  <si>
    <t>McNeil, C. L.; Burney, D. A.; Burney, L. P.</t>
  </si>
  <si>
    <t>Evidence disputing deforestation as the cause for the collapse of the ancient Maya polity of Copan, Honduras</t>
  </si>
  <si>
    <t>https://doi.org/10.1073/pnas.0904760107</t>
  </si>
  <si>
    <t>Archaeologists have proposed diverse hypotheses to explain the collapse of the southern Maya lowland cities between the 8th and 10th centuries A.D. Although it generally is believed that no single factor was responsible, a commonly accepted cause is environmental degradation as a product of large-scale deforestation. To date, the most compelling scientific evidence used to support this hypothesis comes from the archaeological site of Copan, Honduras, where the analysis of a sediment core suggested a dramatic increase in forest clearance in the Late Classic period (A.D. 600-900). By contrast, in the work presented here, the authors' analysis of a longer sediment core demonstrates that forest cover increased from A.D. 400 to A.D. 900, with arboreal pollen accounting for 59.8-71.0 \% of the pollen assemblage by approximately A.D. 780-980. The highest levels of deforestation are found about 900 B.C. when, at its peak, herb pollen made up 89.8 \% of the assemblage. A second, although less pronounced, period of elevated deforestation peaked at approximately A.D. 400 when herb pollen reached 65.3 \% of the assemblage. The first deforestation event likely coincided with the widespread adoption of agriculture, a pattern found elsewhere in Mesoamerica. The second period of forest clearance probably was associated with the incursion of Maya speakers into the Copan Valley and their subsequent construction of the earliest levels of the Copan Acropolis. These results refute the former hypothesis that the ancient Maya responded to their increasingly large urban population by exhausting, rather than conserving, natural resources.</t>
  </si>
  <si>
    <t>1017-1022</t>
  </si>
  <si>
    <t>Peat, plant material, organic sediment, leaf fragments</t>
  </si>
  <si>
    <t>Douglas2015_43</t>
  </si>
  <si>
    <t>Douglas, P. M. J.; Pagani, M.; Canuto, M. A.; Brenner, M.; Hodell, D. A.; Eglinton, T. I.; Curtis, J. H.</t>
  </si>
  <si>
    <t>Drought, agriculture adaptation, and sociopolitical collapse in the Maya Lowlands</t>
  </si>
  <si>
    <t>10.1073/pnas.1419133112</t>
  </si>
  <si>
    <t>Paleoclimate records indicate a series of severe droughts was associated with societal collapse of the Classic Maya during the Terminal Classic period (∼800-950 C.E.). Evidence for drought largely derives from the drier, less populated northern Maya Lowlands but does not explain more pronounced and earlier societal disruption in the relatively humid southern Maya Lowlands. Here we apply hydrogen and carbon isotope compositions of plant wax lipids in two lake sediment cores to assess changes in water availability and land use in both the northern and southern Maya lowlands. We show that relatively more intense drying occurred in the southern lowlands than in the northern lowlands during the Terminal Classic period, consistent with earlier and more persistent societal decline in the south. Our results also indicate a period of substantial drying in the southern Maya Lowlands from ∼200 C.E. to 500 C.E., during the Terminal Preclassic and Early Classic periods. Plant wax carbon isotope records indicate a decline in C \textless inf \textgreater 4 \textless /inf \textgreater plants in both lake catchments during the Early Classic period, interpreted to reflect a shift from extensive agriculture to intensive, water-conservative maize cultivation that was motivated by a drying climate. Our results imply that agricultural adaptations developed in response to earlier droughts were initially successful, but failed under the more severe droughts of the Terminal Classic period. \textcopyright 2015, National Academy of Sciences. All rights reserved.</t>
  </si>
  <si>
    <t>5607-5612</t>
  </si>
  <si>
    <t>Douglas2015_43.i</t>
  </si>
  <si>
    <t>Compound-Specific Radiocarbon Analysis of Plant Wax Lipids</t>
  </si>
  <si>
    <t>Douglas2015_43.ii</t>
  </si>
  <si>
    <t>Escobar2012_55</t>
  </si>
  <si>
    <t>Escobar, J.; Hodell, D. A.; Brenner, M.; Curtis, J. H.; Gilli, A.; Mueller, A. D.; Anselmetti, F. S.; Ariztegui, D.; Grzesik, D. A.; Perez, L.; Schwalb, A.; Guilderson, T. P.</t>
  </si>
  <si>
    <t>A similar to 43-ka record of paleoenvironmental change in the Central American lowlands inferred from stable isotopes of lacustrine ostracods</t>
  </si>
  <si>
    <t>10.1016/j.quascirev.2012.01.020</t>
  </si>
  <si>
    <t>We present a continuous ostracod isotope (delta O-18 and delta C-13)</t>
  </si>
  <si>
    <t>92-104</t>
  </si>
  <si>
    <t>Escobar2012_55.iii</t>
  </si>
  <si>
    <t>Stratigraphic Description</t>
  </si>
  <si>
    <t>Douglas2015_43.iii</t>
  </si>
  <si>
    <t>Douglas2015_43.iv</t>
  </si>
  <si>
    <t>Harvey2019_72</t>
  </si>
  <si>
    <t>Harvey, W. J.; Stansell, N.; Nogue, S.; Willis, K. J.</t>
  </si>
  <si>
    <t>The Apparent Resilience of the Dry Tropical Forests of the Nicaraguan Region of the Central American Dry Corridor to Variations in Climate Over the Last C. 1200 Years</t>
  </si>
  <si>
    <t>QUATERNARY</t>
  </si>
  <si>
    <t>10.3390/quat2030025</t>
  </si>
  <si>
    <t>The Central American Dry Corridor (CADC) is the most densely populated area of the Central American Isthmus and is subject to the greatest variability in precipitation between seasons. The vegetation of this region is composed of Dry Tropical Forests (DTF), which are suggested to be highly susceptible to variations in climate and anthropogenic development. This study examines the vulnerability of past DTF surrounding the Asese peninsula, Nicaragua to climatic and anthropogenic disturbances over the past c. 1200 years. Past vegetation, climate, burning, and animal abundance were reconstructed using proxy analysis of fossil pollen, diatoms, macroscopic charcoal, and Sporormiella. Results from this research suggest that DTF have been highly resilient to past climatic and anthropogenic perturbations. Changes in DTF structure and composition appear to be linked to the abundance and intensity of fire. Pre-Columbian anthropogenic impacts on DTF are not detected in the record; however, DTF taxa decline slightly after European contact (1522 C.E.). Overall the DTF for the Nicaraguan region of the CADC were found to be highly resilient to both climatic and anthropogenic disturbances, suggesting that this region will continue to be resilient in the face of future population expansion and climatic variation.</t>
  </si>
  <si>
    <t>Harvey2019_72.i</t>
  </si>
  <si>
    <t>Harvey2019_72.ii</t>
  </si>
  <si>
    <t>OxLEL Protocol - Naphrax</t>
  </si>
  <si>
    <t>Harvey2019_72.iii</t>
  </si>
  <si>
    <t>Harvey2019_72.iv</t>
  </si>
  <si>
    <t>Urquhart2009_183.i</t>
  </si>
  <si>
    <t>Laguna Negra</t>
  </si>
  <si>
    <t>Vegetation;Hurricane</t>
  </si>
  <si>
    <t>Faegri et al., 1989</t>
  </si>
  <si>
    <t>Urquhart2009_183.ii</t>
  </si>
  <si>
    <t>0.5-N HCl, LOI</t>
  </si>
  <si>
    <t>Urquhart2009_183.iii</t>
  </si>
  <si>
    <t>Solis-Castillo2015_174</t>
  </si>
  <si>
    <t>Solis-Castillo, B.; Golyeva, A.; Sedov, S.; Solleiro-Rebolledo, E.; Lopez-Rivera, S.</t>
  </si>
  <si>
    <t>Phytoliths, stable carbon isotopes and micromorphology of a buried alluvial soil in Southern Mexico: A polychronous record of environmental change during Middle Holocene</t>
  </si>
  <si>
    <t>10.1016/j.quaint.2014.06.043</t>
  </si>
  <si>
    <t>The reconstruction of the Maya Lowlands vegetational history and its</t>
  </si>
  <si>
    <t>150-158</t>
  </si>
  <si>
    <t>Solis-Castillo2015_174.i</t>
  </si>
  <si>
    <t>Tierra Blanca</t>
  </si>
  <si>
    <t>Palaeosol</t>
  </si>
  <si>
    <t>Climate;Precipitation;Vegetation</t>
  </si>
  <si>
    <t>Craig, 1953</t>
  </si>
  <si>
    <t>Organic Matter, Charcoal, CaCO3 noduels</t>
  </si>
  <si>
    <t>Solis-Castillo2015_174.ii</t>
  </si>
  <si>
    <t>Micro Morphology</t>
  </si>
  <si>
    <t>Past Soils</t>
  </si>
  <si>
    <t>Micromorphological observations</t>
  </si>
  <si>
    <t>Solis-Castillo2015_174.iii</t>
  </si>
  <si>
    <t>Sodium hexametaphosphate</t>
  </si>
  <si>
    <t>Solis-Castillo2015_174.iv</t>
  </si>
  <si>
    <t>Vazquez2016_185</t>
  </si>
  <si>
    <t>Vazquez, G. a.</t>
  </si>
  <si>
    <t>Mineral magnetic properties of an alluvial paleosol sequence in the Maya Lowlands: Late PleistoceneeHolocene paleoclimatic implications</t>
  </si>
  <si>
    <t>10.1016/j.quaint.2015.09.094</t>
  </si>
  <si>
    <t>In the Maya Lowlands region, along the Usumacinta River, Late</t>
  </si>
  <si>
    <t>10-21</t>
  </si>
  <si>
    <t>Catchment Erosion;Climate;Precipitation</t>
  </si>
  <si>
    <t>Bartington MS3</t>
  </si>
  <si>
    <t>Bulk Sediment and Sand</t>
  </si>
  <si>
    <t>Krause2019_109</t>
  </si>
  <si>
    <t>Krause, S.; Beach, T.; Luzzadder-Beach, S.; Guderjan, T. H.; Valdez Jr, F.; Eshleman, S.; Doyle, C.; Bozarth, S. R.; Valdez Jr, F.; Eshleman, S.; Doyle, C.; Bozarth, S. R.</t>
  </si>
  <si>
    <t>Ancient Maya wetland management in two watersheds in Belize: Soils, water, and paleoenvironmental change</t>
  </si>
  <si>
    <t>QUATERNARY INTERNATIONAL</t>
  </si>
  <si>
    <t>10.1016/j.quaint.2018.10.029</t>
  </si>
  <si>
    <t>We compare the geomorphology and soil of two ancient Maya wetland agricultural complexes in modern day Belize. This paper focuses on 3000 years of soil geomorphology and paleoecological change to determine the chronology of wetland formation and human use in this region. We also characterize Maya manipulation of the environment over time, especially considering times of ecological or climactic change in the late Holocene. This paper adds to our ongoing research in northwestern Belize, specifically within two recently explored wetland agricultural systems, Neuendorf and Sierra de Agua. Although they are 40 km from one another and in different watersheds, they have similar water chemistry and comparable soil, as well as comparable ancient Maya agricultural field and canal stratigraphy. The Neuendorf wetland fields and associated Maya house mounds and platforms are 1.5 km northeast of the well-studied Chan Cahal residential group/wetland agricultural fields. This ancient Maya settlement zone sits on a small limestone escarpment, about 7–24 m above sea level on the Belizean coastal plain. New trenches and vibracores from this wetland complex support our previous models of wetland formation and human use from the Late Preclassic to the end of the Classic. The Sierra de Agua wetland fields, 40 km to the southwest, are associated with a Maya urban center of the same name. This complex is part of the Irish Creek Wetlands within the New River watershed. In this system, the water table rose around 3000 years before present, which resulted in a different type of field building and agricultural modification, similar to the chinampas models of central Mexico. This new and ongoing research contributes new pollen records, soils and geoarchaeology to the growing regional picture of wetland use and change throughout Maya history. © 2018</t>
  </si>
  <si>
    <t>B, SI</t>
  </si>
  <si>
    <t>280-295</t>
  </si>
  <si>
    <t>Krause2019_109.i</t>
  </si>
  <si>
    <t>Sierra de Agua</t>
  </si>
  <si>
    <t>Dig Pit</t>
  </si>
  <si>
    <t>Krause2019_109.ii</t>
  </si>
  <si>
    <t>Krause2019_109.iii</t>
  </si>
  <si>
    <t>Jones, 1994; Bozarth, 2010</t>
  </si>
  <si>
    <t>Krause2019_109.iv</t>
  </si>
  <si>
    <t>Bozarth and Guderjan, 2004</t>
  </si>
  <si>
    <t>Krause2019_109.v</t>
  </si>
  <si>
    <t>SM20 magnetic susceptibility meter</t>
  </si>
  <si>
    <t>Krause2019_109.vi</t>
  </si>
  <si>
    <t>Scarborough2012_166</t>
  </si>
  <si>
    <t>Scarborough, V. L.; Dunning, N. P.; Tankersley, K. B.; Carr, C.; Weaver, E.; Grazioso, L.; Lane, B.; Jones, J. G.; Buttles, P.; Valdez, F.; Lentzh, D. L.</t>
  </si>
  <si>
    <t>Water and sustainable land use at the ancient tropical city of Tikal, Guatemala</t>
  </si>
  <si>
    <t>10.1073/pnas.1202881109</t>
  </si>
  <si>
    <t>The access to water and the engineered landscapes accommodating its collection and allocation are pivotal issues for assessing sustainability. Recent mapping, sediment coring, and formal excavation at Tikal, Guatemala, have markedly expanded our understanding of ancient Maya water and land use. Among the landscape and engineering feats identified are the largest ancient dam identified in the Maya area of Central America; the posited manner by which reservoir waters were released; construction of a cofferdam for dredging the largest reservoir at Tikal; the presence of ancient springs linked to the initial colonization of Tikal; the use of sand filtration to cleanse water entering reservoirs; a switching station that facilitated seasonal filling and release; and the deepest rock-cut canal segment in the Maya Lowlands. These engineering achievements were integrated into a system that sustained the urban complex through deep time, and they have implications for sustainable construction and use of water management systems in tropical forest settings worldwide.</t>
  </si>
  <si>
    <t>12408-12413</t>
  </si>
  <si>
    <t>Tikal</t>
  </si>
  <si>
    <t>Organic matter, Charcoal</t>
  </si>
  <si>
    <t>Krause2019_109.vii</t>
  </si>
  <si>
    <t>Krause2019_109.viii</t>
  </si>
  <si>
    <t>Webb et al., 2004</t>
  </si>
  <si>
    <t>Krause2019_109.ix</t>
  </si>
  <si>
    <t>Krause2019_109.x</t>
  </si>
  <si>
    <t>Chan Cahal/Neuendorf</t>
  </si>
  <si>
    <t>Krause2019_109.xi</t>
  </si>
  <si>
    <t>Krause2019_109.xii</t>
  </si>
  <si>
    <t>Krause2019_109.xiii</t>
  </si>
  <si>
    <t>Krause2019_109.xiv</t>
  </si>
  <si>
    <t>Krause2019_109.xv</t>
  </si>
  <si>
    <t>Krause2019_109.xvi</t>
  </si>
  <si>
    <t>Krause2019_109.xvii</t>
  </si>
  <si>
    <t>Krause2019_109.xviii</t>
  </si>
  <si>
    <t>Leyden1987_118</t>
  </si>
  <si>
    <t>Leyden, B. W.</t>
  </si>
  <si>
    <t>Man and climate in the Maya lowlands</t>
  </si>
  <si>
    <t>10.1016/0033-5894(87)90007-X</t>
  </si>
  <si>
    <t>A 15-m sedimentary core from Lake Salpeten provides the first complete Holocene sequence for the lowlying Peten District, Guatemala. Today, Lake Salpeten is a brackish, calcium sulfate lake near saturation surrounded by tropical semievergreen forest. The basal pollen record depicts sparse juniper scrub surrounding a lake basin that held ephermal pools and halophytic marshes. The lake rapidly deepened to \textgreater 27 m in the early Holocene and may have been meromictic, because nearly 2 m of gypsum mush was deposited. Mesic forests were quickly established and persisted until the Maya entered the district 3000 yr ago and caused extensive deforestation. Any climatic information contained in the pollen record of the Maya period is thus masked, but a regional pollen sequence linked to the archaeological record is substantiated because environmental disturbance was pervasive. Local intensification of occupation and population growth are seen as an increased deposition of pollen of agricultural weeds and colluviation into the lake, while the Classic Maya collapse is marked by a temporary decline in Compositae pollen. Effects of perturbations induced by the Maya persist in the pollen and limnetic record 400 yr after the Spanish conquest. \textcopyright 1987.</t>
  </si>
  <si>
    <t>407-414</t>
  </si>
  <si>
    <t>Horn1993_85.i</t>
  </si>
  <si>
    <t>um2</t>
  </si>
  <si>
    <t>Horn1993_85.v</t>
  </si>
  <si>
    <t>Climate;Vegetation;Water Level</t>
  </si>
  <si>
    <t>HF, HCl, KOH, Acetolysis</t>
  </si>
  <si>
    <t>Alcala-Herrera1994_8</t>
  </si>
  <si>
    <t>Alcala-Herrera, J. A.; Jacob, J. S.; Castillo, M. L. M.; Neck, R. W.</t>
  </si>
  <si>
    <t>Holocene Palaeosalinity in a Maya Wetland, Belize, Inferred from the Microfaunal Assemblage</t>
  </si>
  <si>
    <t>10.1006/qres.1994.1013</t>
  </si>
  <si>
    <t>A 5.4-m sequence of peat and marl overlying a basal clay in a northern Belize wetland was studied to assess salinity changes over the past 7000 yr. The distribution of ostracods, gastropods, and foraminifers revealed initially freshwater conditions in a terrestrial wetland, changing to at least mesohaline conditions by about 5600 yr B.P. The mesohaline conditions corresponded to the formation of an open-water lagoon (and precipitation of a lacustrine marl) that was contemporaneous with rapidly rising sea level in the area. A mangrove peat filled the lagoon by 4800 yr B.P. probably as a result of increasingly shallow waters as sea level rise slowed and marl precipitation continued. A new lagoon began to form sometime after 3400 yr B.P. Freshwater ostracods and gastropods found in the marl of this lagoon suggest that it formed under near-limnetic conditions. Freshwater input likely resulted from massive deforestation by the Maya that began by 4400 yr B.P. Subsidence of the mangrove peat likely permitted the formation of a lagoon. A peat has filled the lagoon since at least 500 yr B.P.</t>
  </si>
  <si>
    <t>121-130</t>
  </si>
  <si>
    <t>Alcala-Herrera1994_8.i</t>
  </si>
  <si>
    <t>Salinity</t>
  </si>
  <si>
    <t>Sieving</t>
  </si>
  <si>
    <t>Alcala-Herrera1994_8.ii</t>
  </si>
  <si>
    <t>Alcala-Herrera1994_8.iii</t>
  </si>
  <si>
    <t>Alcala-Herrera1994_8.iv</t>
  </si>
  <si>
    <t>Curtis1996_37</t>
  </si>
  <si>
    <t>Curtis, J. H.; Hodell, D. A.; Brenner, M.</t>
  </si>
  <si>
    <t>Climate variability on the Yucatan Peninsula (Mexico) during the past 3500 years, and implications for Maya cultural evolution</t>
  </si>
  <si>
    <t>10.1006/qres.1996.0042</t>
  </si>
  <si>
    <t>Climate variability on the Yucatan Peninsula during the past 3500 yrs is reconstructed from the measurement of $\delta$18O in mono-specific ostracods and gastropods in a 6.3-m sediment core from Lake Punta Laguna, Mexico. This late Holocene record is divided into three periods based on changes in mean $\delta$18O values. From ∼3310 to ∼1785 14C yr B.P. (Period I), low mean $\delta$18O values indicate relatively wet conditions (i.e., low evaporation to precipitation ratio, E/P). Mean oxygen isotopic values increased ∼1785 14C yr B.P., and the interval between ∼1785 and ∼930 14C yr B.P. (Period II) was distinctly drier than the periods before or after. The climate during the latter part of Period II was persistently dry, with exceptionally arid events centered at ∼1171, 1019, and 943 14C yr B.P. (equivalent to 862, 986, and 1051 A.D.). This interval of frequent drought was recorded at several other localities in Mexico and Central America, and coincided with the collapse of Classic Maya civilization. Following the last arid event, $\delta$18O values decreased abruptly at ∼930 14C yr B.P. (beginning of Period III), signaling a return to wetter conditions that have generally prevailed to the present, with the exception of a dry episode centered at 559 14C yr B.P. (1391 A.D.). The paleoclimatic record from Punta Laguna provides evidence that multi-decadal and millennial-scale changes in EIP occurred on the Yucatan Peninsula during the late Holocene. These wet/dry episodes may have influenced cultural evolution in Mesoamerica. \textcopyright 1996 University of Washington.</t>
  </si>
  <si>
    <t>37-47</t>
  </si>
  <si>
    <t>Curtis1996_37.i</t>
  </si>
  <si>
    <t>H2O2, Sieving</t>
  </si>
  <si>
    <t>Terrestrial Wood, gastropods</t>
  </si>
  <si>
    <t>Curtis1996_37.ii</t>
  </si>
  <si>
    <t>Curtis1996_37.iii</t>
  </si>
  <si>
    <t>Leyden1998_119.i</t>
  </si>
  <si>
    <t>Rosenmeier2002_157</t>
  </si>
  <si>
    <t>Rosenmeier, M. F.; Hodell, D. A.; Brenner, M.; Curtis, J. H.; Guilderson, T. P.</t>
  </si>
  <si>
    <t>A 4000-year lacustrine record of environmental change in the Southern Maya lowlands, Peten, Guatemala</t>
  </si>
  <si>
    <t>https://doi.org/10.1006/qres.2001.2305</t>
  </si>
  <si>
    <t>A 4000-yr sediment core record from Lake Salpeten, Guatemala, provides evidence for Maya-induced forest clearance and consequent soil erosion between \~ 1700 cal yr B.C. and 850 cal yr A.D. Radiocarbon ages of wood, seeds, and charcoal support an age-depth model with average errors of +or-110 cal yr. Relatively low carbonate delta 18O values between 1300 and 400 cal yr B.C. coincide with pollen evidence for forest loss, consistent with increased surface and groundwater flow to the lake. Minimum delta 18O values between 400 cal yr B.C. and 150 cal yr A.D. suggest a high lake level, as do 14C-dated aquatic gastropods as much as 7.5 m above the present lake stage. High lake levels resulted from reduced evaporation-to-precipitation ratios, increased hydrologic input caused by anthropogenic deforestation, or both. The Preclassic abandonment (150 A.D.) and Early Classic/Late Classic boundary (550 A.D.) are marked by relatively high delta 18O values indicating reduced lake levels. Oxygen isotope composition increased further coincident with the Terminal Classic Maya demographic decline between 800 and 900 A.D. This period of high delta 18O may have been caused by the greater aridity that has been documented in northern Yucatan lakes or by decreased hydrologic input to the lake as a consequence of forest recovery. Reduced soil erosion after 850 cal yr A.D. coincided with the Terminal Classic Maya demographic decline and permitted forest recovery and resumption of organic sedimentation.</t>
  </si>
  <si>
    <t>183-190</t>
  </si>
  <si>
    <t>Rosenmeier2002_157.i</t>
  </si>
  <si>
    <t>Precipitation</t>
  </si>
  <si>
    <t>Wood, Charcoal, Seed</t>
  </si>
  <si>
    <t>https://doi.org/10.1006/qres.2001.23055</t>
  </si>
  <si>
    <t>Rosenmeier2002_157.ii</t>
  </si>
  <si>
    <t>Rosenmeier2002_157.iii</t>
  </si>
  <si>
    <t>Piperno2003_146</t>
  </si>
  <si>
    <t>Piperno, D. R.; Jones, J. G.</t>
  </si>
  <si>
    <t>Paleoecological and archaeological implications of a Late Pleistocene/Early Holocene record of vegetation and climate from the Pacific coastal plain of Panama</t>
  </si>
  <si>
    <t>10.1016/S0033-5894(02)00021-2</t>
  </si>
  <si>
    <t>A phytolith record from Monte Oscuro, a crater lake located 10 m above sea level on the Pacific coastal plain of Panama, shows that during the Late Pleistocene the lake bed was dry and savanna-like vegetation expanded at the expense of tropical deciduous forest, the modern potential vegetation. A significant reduction of precipitation below current levels was almost certainly required to effect the changes observed. Core sediment characteristics indicate that permanent inundation of the Monte Oscuro basin with water occurred at about 10,500 14C yr B.P. Pollen and phytolith records show that deciduous tropical forest expanded into the lake's watershed during the early Holocene. Significant burning of the vegetation and increases of weedy plants at ca. 7500 to 7000 14C yr B.P. indicate disturbance, which most likely resulted from early human occupation of the seasonal tropical forest near Monte Oscuro and the development of slash-and-burn methods of cultivation. \textcopyright 2003 Elsevier Science (USA). All rights reserved.</t>
  </si>
  <si>
    <t>79-87</t>
  </si>
  <si>
    <t>Piperno2003_146.i</t>
  </si>
  <si>
    <t>Monte Oscuro</t>
  </si>
  <si>
    <t>Decrease in Arboreal Taxa</t>
  </si>
  <si>
    <t>Piperno2003_146.ii</t>
  </si>
  <si>
    <t>On Pollen Prep Slides</t>
  </si>
  <si>
    <t>cm3</t>
  </si>
  <si>
    <t>Polk2007_148</t>
  </si>
  <si>
    <t>Polk, J. S.; van Beynen, P. E.; Reeder, P. P.</t>
  </si>
  <si>
    <t>Late Holocene environmental reconstruction using cave sediments from Belize</t>
  </si>
  <si>
    <t>https://doi.org/10.1016/j.yqres.2007.03.002</t>
  </si>
  <si>
    <t>Cave sediments collected from Reflection Cave on the Vaca Plateau, Belize show variations in the delta 13C values of their fulvic acids (FAs), which indicate periods of vegetation change caused by climatic and Maya influences during the late Holocene. The delta 13C values range from -27.11 per mil to -21.52 per mil, a shift of \~ 5.59 per mil, which suggests fluctuating contributions of C3 and C4 plants throughout the last 2.5 ka, with C4 plant input reflecting periods of Maya agriculture. Maya activity in the study area occurred at different intensities from \~ 2600 cal yr BP until \~ 1500 cal yr BP, after which agricultural practices waned as the Maya depopulated the area. These changes in plant assemblages were in response to changes in available water resources, with increased aridity leading to the eventual abandonment of agricultural areas. The Ix Chel archaeological site, located in the study area, is a highland site that would have been among the first agricultural settlements to be affected during periods of aridity. During these periods, minimal water resources would have been available in this highly karstified, well-drained area, and supplemental groundwater extraction would have been difficult due to the extreme depth of the water table.</t>
  </si>
  <si>
    <t>53-63</t>
  </si>
  <si>
    <t>Ix Chel</t>
  </si>
  <si>
    <t>Cave Sediment</t>
  </si>
  <si>
    <t>Vegetation;Agriculture;Precipitation</t>
  </si>
  <si>
    <t>Hayes and Wilson (1997)</t>
  </si>
  <si>
    <t>Charcoal, seeds, wood, organic matter</t>
  </si>
  <si>
    <t>McCloskey2012_122</t>
  </si>
  <si>
    <t>McCloskey, T. A.; Liu, K. B.</t>
  </si>
  <si>
    <t>A sedimentary-based history of hurricane strikes on the southern Caribbean coast of Nicaragua</t>
  </si>
  <si>
    <t>10.1016/j.yqres.2012.07.003</t>
  </si>
  <si>
    <t>Multi-millennial hurricane landfall records from the western North Atlantic indicate that landfall frequency has varied dramatically over time, punctuated by multi-centennial to millennial scale periods of hyperactivity. We extend the record geographically by presenting a paleostrike record inferred from a four-core transect from a marsh on the Caribbean coast of Nicaragua. Fossil pollen indicates that the site was a highly organic wetland from \~ . 5400-4900. cal. yr BP, at which time it became a shallow marine lagoon until \~ . 2800. cal. yr BP when it transitioned back into swamp/marsh, freshening over time, with the present fresh-to-brackish Typha marsh developing over the very recent past. Hurricane Joan, 1988, is recorded as a distinctive light-colored sand-silt-clay layer across the top of the transect, identifiable by abrupt shifts in color from the dark marsh deposits, increased grain size, and two upward-fining sequences, which are interpreted as representing the storm's traction and suspension loads. The six layers identified as hurricane-generated display temporal clustering, featuring a marked increase in landfall frequency \~ . 800. cal. yr BP. This pattern is anti-phase with the activity pattern previously identified from the northern Caribbean and the Atlantic coast of North America, thereby opposing the view that hyperactivity occurs simultaneously across the entire basin. \textcopyright 2012 University of Washington.</t>
  </si>
  <si>
    <t>454-464</t>
  </si>
  <si>
    <t>McCloskey2012_122.i</t>
  </si>
  <si>
    <t>Falso Bluff Marsh</t>
  </si>
  <si>
    <t>Vegetation;Tropical Storms</t>
  </si>
  <si>
    <t>Faegri and Iverson (1989)</t>
  </si>
  <si>
    <t>Plant/Wood</t>
  </si>
  <si>
    <t>McCloskey2012_122.ii</t>
  </si>
  <si>
    <t>Sea Level</t>
  </si>
  <si>
    <t>Dean, 1974, LOI</t>
  </si>
  <si>
    <t>McCloskey2012_122.iii</t>
  </si>
  <si>
    <t>Dean, 1975, LOI</t>
  </si>
  <si>
    <t>McCloskey2012_122.iv</t>
  </si>
  <si>
    <t>Dean, 1976, LOI</t>
  </si>
  <si>
    <t>McCloskey2012_122.v</t>
  </si>
  <si>
    <t>Dean, 1977, LOI</t>
  </si>
  <si>
    <t>McCloskey2012_122.vi</t>
  </si>
  <si>
    <t>McCloskey2012_122.vii</t>
  </si>
  <si>
    <t>Walsh2014_195</t>
  </si>
  <si>
    <t>Walsh, M. K.; Prufer, K. M.; Culleton, B. J.; Kennett, D. J.</t>
  </si>
  <si>
    <t>A late Holocene paleoenvironmental reconstruction from Agua Caliente, southern Belize, linked to regional climate variability and cultural change at the Maya polity of UxbenkÔö£├¡</t>
  </si>
  <si>
    <t>Quaternary Research (United States)</t>
  </si>
  <si>
    <t>10.1016/j.yqres.2014.01.013</t>
  </si>
  <si>
    <t>We report high-resolution macroscopic charcoal, pollen and sedimentological data for Agua Caliente, a freshwater lagoon located in southern Belize, and infer a late Holocene record of human land-use/climate interactions for the nearby prehistoric Maya center of Uxbenk \' a . Land-use activities spanning the initial clearance of forests for agriculture through the drought-linked Maya collapse and continuing into the historic recolonization of the region are all reflected in the record. Human land alteration in association with swidden agriculture is evident early in the record during the Middle Preclassic starting ca. 2600. cal. yr. BP. Fire slowly tapered off during the Late and Terminal Classic, consistent with the gradual political demise and depopulation of the Uxbenk \' a polity sometime between ca. 1150 and 950. cal. yr. BP, during a period of multiple droughts evident in a nearby speleothem record. Fire activity was at its lowest during the Maya Postclassic ca. 950-430. cal. yr. BP, but rose consistent with increasing recolonization of the region between ca. 430. cal. yr. BP and present. These data suggest that this environmental record provides both a proxy for 2800. years of cultural change, including colonization, growth, decline, and reorganization of regional populations, and an independent confirmation of recent paleoclimate reconstructions from the same region. \textcopyright 2014 University of Washington.</t>
  </si>
  <si>
    <t>38-50</t>
  </si>
  <si>
    <t>Walsh2014_195.iii</t>
  </si>
  <si>
    <t>Agua Caliente</t>
  </si>
  <si>
    <t>Concentrated charcoal, single twig</t>
  </si>
  <si>
    <t>McCloskey2012_122.viii</t>
  </si>
  <si>
    <t>Walsh2014_195.v</t>
  </si>
  <si>
    <t>McCloskey2012_122.ix</t>
  </si>
  <si>
    <t>McCloskey2012_122.x</t>
  </si>
  <si>
    <t>McCloskey2012_122.xi</t>
  </si>
  <si>
    <t>McCloskey2012_122.xii</t>
  </si>
  <si>
    <t>McCloskey2012_122.xiii</t>
  </si>
  <si>
    <t>Walsh2014_195.i</t>
  </si>
  <si>
    <t>Whitlock and Larsen (2001), Walsh et al. (2008)</t>
  </si>
  <si>
    <t>Joo-Chang2015_102</t>
  </si>
  <si>
    <t>Joo-Chang, J. C.; Islebe, G. A.; Torrescano-Valle, N.</t>
  </si>
  <si>
    <t>Mangrove history during the middle- and late-Holocene in Pacific south-eastern Mexico</t>
  </si>
  <si>
    <t>A paleoecological analysis of a 6-m-long sedimentary sequence from the La Encrucijada Biosphere Reserve (RBLE) from southern Pacific Mexico provides detailed information about past vegetation changes between \~ 6200 and 700 cal. yr BP. Highest percentages of mangrove pollen in pollen zone I (from \~ 6200 to 5400 cal. yr BP) suggest moister and warmer conditions than at present related with global rates of sea-level rise and northward position of the Intertropical Convergence Zone (ITCZ), suppressing El Nino-Southern Oscillation (ENSO) events. Drier conditions and decreasing rates of sea-level rise at \~ 5400-4500 cal. yr BP are evidenced in pollen zone II by the lowest percentages of mangrove pollen and highest presence of disturbance pollen. Recovery of mangroves and tropical forests occurred from \~ 4500 cal. yr BP, suggesting moister conditions. Agricultural activities are recorded around \~ 4900, 4700 and 2400 cal. yr BP, although human occupation was scarce in the mangrove area. ENSO variability correlates to mangrove pollen variation between 3600 and 2400 cal. yr BP. A protracted drought is observed at \~ 1300-700 cal. yr BP characterized by proportions in montane forest pollen and may be related with southern oscillation of the ITCZ and the Classical Mayan Demise.</t>
  </si>
  <si>
    <t>651-662</t>
  </si>
  <si>
    <t>Joo-Chang2015_102.ii</t>
  </si>
  <si>
    <t>La Encrucijada Biosphere Reserve</t>
  </si>
  <si>
    <t>Wood, plant remains and organic sediment</t>
  </si>
  <si>
    <t>Walsh2014_195.ii</t>
  </si>
  <si>
    <t>Walsh2014_195.iv</t>
  </si>
  <si>
    <t>Thompson and Oldfield, 1986</t>
  </si>
  <si>
    <t>Islebe1997_89</t>
  </si>
  <si>
    <t>Islebe, G. A.; Hooghiemstra, H.</t>
  </si>
  <si>
    <t>Vegetation and climate history of montane Costa Rica since the last glacial</t>
  </si>
  <si>
    <t>10.1016/S0277-3791(96)00051-0</t>
  </si>
  <si>
    <t>New palynological evidence from the Cordillera de Talamanca (Costa Rica) is presented. The La Chonta-I core (2310 m a.s.l) shows the development of montane vegetation during the late Quaternary. A shorter core (La Trinidad-III) shows the Lateglacial-Holocene transition, including the La Chonta stadial based on earlier published evidence. A soil section from the paramo belt at 3100 m shows vegetation recovery after fire. Modern pollen rain was studied along an altitudinal transect from 2100 m to 3800 m at Mt Chirripo. A comparison with other palaeoecological data of the region is given to elucidate climatic and vegetational changes throughout the Central American region. Data show a cooling of 7-8°C during the Last Glacial Maximum (LGM) for montane Costa Rice, which is in accordance with data from lowland Guatemala. A 1.5 to 2.5°C temperature drop is recorded during the Younger Dryas Chron in both Costa Rica and Guatemala, but apparently not in Panama. The Lateglacial-Holocene transition in montane Costa Rice is established at 10,400 BP. Between 9000 and 8500 BP moist forest developed in mountainous Costa Rice as well as in lowland Guatemala and Panama. Environmental change during the mid-Holocene seems more affected by changes in humidity than temperature change throughout Central America. Distribution maps of paramo and montane vegetation in Costa Rica are reconstructed for 10 ka, 14 ka and 18 ka based on currently available palynological data. These data indicate that during the LGM a paramo vegetation corridor existed between northern Costa Rice and probably northern Panama.</t>
  </si>
  <si>
    <t>589-604</t>
  </si>
  <si>
    <t>Islebe1997_89.i</t>
  </si>
  <si>
    <t>Trinidad</t>
  </si>
  <si>
    <t>Islebe1997_89.ii</t>
  </si>
  <si>
    <t>Chirripo</t>
  </si>
  <si>
    <t>Islebe1997_89.iii</t>
  </si>
  <si>
    <t>Hodell2005_77</t>
  </si>
  <si>
    <t>Terminal Classic drought in the northern Maya lowlands inferred from multiple sediment cores in Lake Chichancanab (Mexico)</t>
  </si>
  <si>
    <t>10.1016/j.quascirev.2004.10.013</t>
  </si>
  <si>
    <t>We present new density records from sediment cores taken along a depth transect in Lake Chichancanab, Mexico. The data reveal in great detail the climatic events that comprised the Terminal Classic Drought (TCD) and coincided with the demise of Classic Maya civilization between ca 750 and 1050 AD. In shallow-water cores, the TCD is marked by a condensed gypsum horizon. In deeper-water sections it is expanded and represented by numerous interbedded gypsum and organic-rich strata. The TCD was not a single, two-century-long megadrought, but rather consisted of a series of dry events separated by intervening periods of relatively moister conditions. We estimate the TCD occurred between ca 770 and 1100 AD and included an early phase (ca 770-870 AD) and late phase (ca 920-1100 AD). The intervening 50-year period (ca 870-920 AD) was relatively moister. Each dry phase is represented by multiple gypsum (density) bands interbedded with organic-rich sediment that indicate alternating dry and wet conditions. Spectral analysis revealed significant periods around 213, 50, and 27 years. Despite uncertainty regarding the ages of these events, their pattern is robust and generally consistent with other proxy records under the same climate regime, such as the marine Cariaco Basin off northern Venezuela (Science 299 (2003) 1731). \textcopyright 2004 Elsevier Ltd. All rights reserved.</t>
  </si>
  <si>
    <t>12-13</t>
  </si>
  <si>
    <t>1413-1427</t>
  </si>
  <si>
    <t>GEOTEK MultiSensor Core Logger</t>
  </si>
  <si>
    <t>g-1 cm-3</t>
  </si>
  <si>
    <t>Hodell2008_76</t>
  </si>
  <si>
    <t>Hodell, D. A.; Anselmetti, F. S.; Ariztegui, D.; Brenner, M.; Curtis, J. H.; Gilli, A.; Grzesik, D. A.; Guilderson, T. J.; Mller, A. D.; Bush, M. B.; Correa-Metrio, A.; Escobar, J.; Kutterolf, S.</t>
  </si>
  <si>
    <t>An 85-ka record of climate change in lowland Central America</t>
  </si>
  <si>
    <t>10.1016/j.quascirev.2008.02.008</t>
  </si>
  <si>
    <t>Drill cores obtained from Lake Pet \' e n Itz \' a , Pet \' e n, Guatemala, contain a ∼85-kyr record of terrestrial climate from lowland Central America that was used to reconstruct hydrologic changes in the northern Neotropics during the last glaciation. Sediments are composed of alternating clay and gypsum reflecting relatively wet and dry climate conditions, respectively. From ∼85 to 48 ka, sediments were dominated by carbonate clay indicating moist conditions during Marine Isotope Stages (MIS) 5a, 4, and early 3. The first gypsum layer was deposited at ∼48 ka, signifying a shift toward drier hydrologic conditions and the onset of wet-dry oscillations. During the latter part of MIS 3, Pet \' e n climate varied between wetter conditions during interstadials and drier states during stadials. The pattern of clay-gypsum (wet-dry) oscillations during the latter part of MIS 3 (∼48-23 ka) closely resembles the temperature records from Greenland ice cores and North Atlantic marine sediment cores and precipitation proxies from the Cariaco Basin. The most arid periods coincided with Heinrich Events when cold sea surface temperatures prevailed in the North Atlantic, meridional overturning circulation was reduced, and the Intertropical Convergence Zone (ITCZ) was displaced southward. A thick clay unit was deposited from 23 to 18 ka suggesting deposition in a deep lake, and pollen accumulated during the same period indicates vegetation consisted of a temperate pine-oak forest. This finding contradicts previous inferences that climate was arid during the Last Glacial Maximum (LGM) chronozone (21±2 ka). At ∼18 ka, Pet \' e n climate switched from moist to arid conditions and remained dry from 18 to 14.7 ka during the early deglaciation. Moister conditions prevailed during the warmer Bolling-Allerod (14.7-12.8 ka) with the exception of a brief return to dry conditions at ∼13.8 ka that coincides with the Older Dryas and meltwater pulse 1A. The onset of the Younger Dryas at 12.8 ka marked the return of gypsum and hence dry conditions. The lake continued to precipitate gypsum until ∼10.3 ka when rainfall increased markedly in the early Holocene. \textcopyright 2008 Elsevier Ltd. All rights reserved.</t>
  </si>
  <si>
    <t>1152-1165</t>
  </si>
  <si>
    <t>Hodell2008_76.i</t>
  </si>
  <si>
    <t>Bartington loop sensor</t>
  </si>
  <si>
    <t>Hodell2008_76.ii</t>
  </si>
  <si>
    <t>Lachniet2009_113</t>
  </si>
  <si>
    <t>Lachniet, M. S.; Johnson, L.; Asmerom, Y.; Burns, S. J.; Polyak, V.; Patterson, W. P.; Burt, L.; Azouz, A.</t>
  </si>
  <si>
    <t>Late Quaternary moisture export across Central America and to Greenland: evidence for tropical rainfall variability from Costa Rica stalagmites</t>
  </si>
  <si>
    <t>10.1016/j.quascirev.2009.09.018</t>
  </si>
  <si>
    <t>We present a high-resolution terrestrial archive of Central American</t>
  </si>
  <si>
    <t>27-28</t>
  </si>
  <si>
    <t>3348-3360</t>
  </si>
  <si>
    <t>Terciopelo Cave</t>
  </si>
  <si>
    <t>229Th–233U–236U spike</t>
  </si>
  <si>
    <t>van Hengstum2010_184</t>
  </si>
  <si>
    <t>van Hengstum, P. J.; Reinhardt, E. G.; Beddows, P. A.; Gabriel, J. J.</t>
  </si>
  <si>
    <t>Linkages between Holocene paleoclimate and paleohydrology preserved in a Yucatan underwater cave</t>
  </si>
  <si>
    <t>10.1016/j.quascirev.2010.06.034</t>
  </si>
  <si>
    <t>Three sediment cores spanning the last 4200 years from Aktun Ha Cave on the Yucatan Peninsula (Mexico) demonstrate that underwater caves can document changes to regional hydrogeology and climate. Benthic microfossils (testate amoebae, foraminifera), organic matter geochemistry ($\delta$13C, $\delta$15N, C/N), and particle size distributions were analyzed. However, microfossil paleoecology proved the most useful for indicating three salinity phases in the Aktun Ha sediment cores. Phase 1 ( \textgreater 4300 yr BP) contains predominantly foraminifera (Physalidia simplex, 78 \% ) that indicate the meteoric lens flooding the cave was initially brackish (salinity \textgreater 3.5 g L-1). Phase 2 (2800-4300 Cal yr BP) has both freshwater testate amoebae (Centropyxis spp. 40 \% ) and P. simplex (42 \% ), which indicates a slight freshening of the meteoric lens to 1.5-2 g L-1. Phase 3 ( \textless 2800 yr BP) is demarcated by an increase in testate amoebae abundance (90 \% ) and diversity, including the colonization of Lagenodifflugia vas and Difflugia oblonga, with a reduction in P. simplex (10 \% ). This last faunal shift represents the initiation of modern freshwater conditions in the cave (1.5 g L-1). This final freshening is synchronous with a significant reduction in the C/N ratio (e.g., Core 2: ∼27 to 19), which suggests an expansion of primary productivity in the adjacent cenote. The $\delta$15N values ranged from 1.5 to 3.5‰ with observed cycles likely from intervals of increased terrestrial OM input into the cave during high rainfall events (e.g., hurricanes). The observed paleoenvironmental shifts in the cave correlate well with regional precipitation patterns, aquifer recharge, and storm activity caused by southward migration of the Intertropical Convergence Zone. Therefore, regional climate change impacted eastern Yucatan groundwater during the mid to late Holocene. However, decelerating Holocene sea-level rise and aquifer occlusion are likely contributing factors. These results demonstrate that underwater cave sediments and microfossils can be useful proxies for aquifer evolution and climate change. \textcopyright 2010 Elsevier Ltd.</t>
  </si>
  <si>
    <t>19-20</t>
  </si>
  <si>
    <t>2788-2798</t>
  </si>
  <si>
    <t>van Hengstum2010_184.i</t>
  </si>
  <si>
    <t>Aktun Ha Cave</t>
  </si>
  <si>
    <t>Climate;Precipitation;Sea Level</t>
  </si>
  <si>
    <t>Bulk organic sediment</t>
  </si>
  <si>
    <t>van Hengstum2010_184.ii</t>
  </si>
  <si>
    <t>van Hengstum2010_184.iii</t>
  </si>
  <si>
    <t>van Hengstum2010_184.iv</t>
  </si>
  <si>
    <t>van Hengstum2010_184.v</t>
  </si>
  <si>
    <t>van Hengstum2010_184.vi</t>
  </si>
  <si>
    <t>van Hengstum2010_184.vii</t>
  </si>
  <si>
    <t>van Hengstum2010_184.viii</t>
  </si>
  <si>
    <t>van Hengstum2010_184.ix</t>
  </si>
  <si>
    <t>van Hengstum2010_184.x</t>
  </si>
  <si>
    <t>Grain Size Analysis</t>
  </si>
  <si>
    <t>Beckman-Coulter LS 230</t>
  </si>
  <si>
    <t>Phi</t>
  </si>
  <si>
    <t>van Hengstum2010_184.xi</t>
  </si>
  <si>
    <t>Beckman-Coulter LS 231</t>
  </si>
  <si>
    <t>van Hengstum2010_184.xii</t>
  </si>
  <si>
    <t>Beckman-Coulter LS 232</t>
  </si>
  <si>
    <t>van Hengstum2010_184.xiii</t>
  </si>
  <si>
    <t>Testate amoebae</t>
  </si>
  <si>
    <t>van Hengstum2010_184.xiv</t>
  </si>
  <si>
    <t>van Hengstum2010_184.xv</t>
  </si>
  <si>
    <t>Correa-Metrio2012_33.ii</t>
  </si>
  <si>
    <t>Rasband, 2005</t>
  </si>
  <si>
    <t>cm-2;cm-3</t>
  </si>
  <si>
    <t>Correa-Metrio2012_33.iii</t>
  </si>
  <si>
    <t>Terestrial Organic Matter</t>
  </si>
  <si>
    <t>Escobar2012_55.i</t>
  </si>
  <si>
    <t>Escobar2012_55.ii</t>
  </si>
  <si>
    <t>Escobar2012_55.iv</t>
  </si>
  <si>
    <t>Taylor2013_178</t>
  </si>
  <si>
    <t>Pre-Hispanic agricultural decline prior to the Spanish Conquest in southern Central America</t>
  </si>
  <si>
    <t>10.1016/j.quascirev.2013.05.022</t>
  </si>
  <si>
    <t>Archeological and paleoenvironmental records from southern Central America attribute population collapse to the Spanish Conquest about 500 years ago. Paleoclimate records from the circum-Caribbean have shown evidence of severe, regional droughts that contributed to the collapse of the Mayan Civilization, but there are few records of these droughts in southern Central America and no records of their effects on prehistoric populations in the region. Here we present a high-resolution lake sediment record of prehistoric agricultural activities using bulk sediment stable carbon isotopes from Laguna Zoncho, Costa Rica. We find isotopic evidence that agriculture was nearly absent from the watershed approximately 220 years prior to the Spanish arrival in Costa Rica and identify two distinct periods of agricultural decline, 1150-970 and 860-640cal yr BP, which correspond to severe droughts in central Mexico. We attribute decreases in agriculture to a weakened Central American monsoon, which would have shortened the growing season at Laguna Zoncho, reduced crop yields, and negatively affected prehistoric populations. \textcopyright 2013 Elsevier Ltd.</t>
  </si>
  <si>
    <t>196-200</t>
  </si>
  <si>
    <t>1 N hydrochloric acid</t>
  </si>
  <si>
    <t>Wahl2014_189</t>
  </si>
  <si>
    <t>Wahl, D.; Byrne, R.; Anderson, L.</t>
  </si>
  <si>
    <t>An 8700 year paleoclimate reconstruction from the southern Maya lowlands</t>
  </si>
  <si>
    <t>10.1016/j.quascirev.2014.08.004</t>
  </si>
  <si>
    <t>Analysis of a sediment core from Lago Puerto Arturo, a closed basin lake in northern Peten, Guatemala, has provided an \~ 8700calyear record of climate change and human activity in the southern Maya lowlands. Stable isotope, magnetic susceptibility, and pollen analyses were used to reconstruct environmental change in the region. Results indicate a relatively wet early to middle Holocene followed by a drier late Holocene, which we interpret as reflecting long-term changes in insolation (precession). Higher frequency variability is more likely attributable to changes in ocean/atmosphere circulation in both the North Atlantic and the Pacific Oceans. Pollen and isotope data show that most of the period of prehispanic agricultural settlement, i.e. \~ 5000-1000calyrBP, was characterized by drier conditions than previous or subsequent periods. The presence of Zea (corn) pollen through peak aridity during the Terminal Classic period ( \~ 1250-1130calyrBP) suggests that drought may not have had as negative an impact as previously proposed. A dramatic negative shift in isotope values indicates an increase in precipitation after \~ 950calyrBP (hereafter BP). \textcopyright 2014.</t>
  </si>
  <si>
    <t>19-25</t>
  </si>
  <si>
    <t>Wahl2014_189.i</t>
  </si>
  <si>
    <t>Wahl2014_189.ii</t>
  </si>
  <si>
    <t>Schuepbach2015_167</t>
  </si>
  <si>
    <t>Schuepbach, S.; Kirchgeorg, T.; Colombaroli, D.; Beffa, G.; Radaelli, M.; Kehrwald, N. M.; Barbante, C.</t>
  </si>
  <si>
    <t>Combining charcoal sediment and molecular markers to infer a Holocene fire history in the Maya Lowlands of Peten, Guatemala</t>
  </si>
  <si>
    <t>10.1016/j.quascirev.2015.03.004</t>
  </si>
  <si>
    <t>Vegetation changes in the Maya Lowlands during the Holocene are a result</t>
  </si>
  <si>
    <t>123-131</t>
  </si>
  <si>
    <t>Schuepbach2015_167.i</t>
  </si>
  <si>
    <t>Colombaroli et al. (2014)</t>
  </si>
  <si>
    <t>Schuepbach2015_167.ii</t>
  </si>
  <si>
    <t>Organic Carbon</t>
  </si>
  <si>
    <t>TOC 5050, Shimadzu, LOI</t>
  </si>
  <si>
    <t>Kovacs2017_106</t>
  </si>
  <si>
    <t>Kovacs, S. E.; Reinhardt, E. G.; Chatters, J. C.; Rissolo, D.; Schwarcz, H. P.; Collins, S. V.; Kim, S. T.; Blank, A. N.; Luna Erreguerena, P.</t>
  </si>
  <si>
    <t>Calcite raft geochemistry as a hydrological proxy for Holocene aquifer conditions in Hoyo Negro and Ich Balam (Sac Actun Cave System), Quintana Roo, Mexico</t>
  </si>
  <si>
    <t>10.1016/j.quascirev.2017.09.006</t>
  </si>
  <si>
    <t>Two cores from calcite rafts deposits located in Cenote Ich Balam and Hoyo Negro were dated and analyzed for Sr-87/Sr-86, delta O-18, delta C-13, Sr/Ca and Cl/Ca. The geochemical records show changing aquifer salinity spanning the last similar to 8.5 cal kyrs BP and interrelationships with Holocene climate trends (wet and dry periods). During the wet mid-Holocene, the salinity of the meteoric Water Mass (WM; at 7.8-8.3 cal kyrs BP) was relatively high at 1.5-2.7 ppt and then became less saline (1.0-1.5 ppt) during the last similar to 7000 yrs as climate became progressively drier. High salinity of the meteoric WM during the wet mid-Holocene is attributed to increased turbulent mixing between the meteoric and underlying marine WM. Increased precipitation, in terms of amount, frequency, and intensity (e.g. hurricanes) causes higher flow of meteoric water towards the coast and mixing at the halocline, a phenomenon recorded with recent instrumental monitoring of the aquifer. Conversely, during dry periods reduced precipitation and flow in the meteoric WM would result in lower salinity. Karst properties and Holocene sea-level rise also seem to have an effect on the aquifer. When the regionally extensive network of shallow cave passages (similar to 10-12 m water depth) are flooded at similar to 8000 cal yrs BP, there is a rapid shift in salinity. This study demonstrates that calcite raft deposits can be used as paleo-environmental recorders documenting the effects of sea level and climate change on aquifer condition. (C) 2017 Elsevier Ltd. All rights reserved.</t>
  </si>
  <si>
    <t>97-111</t>
  </si>
  <si>
    <t>Kovacs2017_106.i</t>
  </si>
  <si>
    <t>Hoyo Negro</t>
  </si>
  <si>
    <t>100 mg CaCO3</t>
  </si>
  <si>
    <t>Calcite rafts, seeds</t>
  </si>
  <si>
    <t>Kovacs2017_106.ii</t>
  </si>
  <si>
    <t>Perkin Elmer Sciex ELAN 9000 Inductively Coupled Plasma Mass Spectrometry</t>
  </si>
  <si>
    <t>Franco-Gaviria2018_61</t>
  </si>
  <si>
    <t>Franco-Gaviria, F.; Correa-Metrio, A.; Cordero-Oviedo, C.; Lopez-Perez, M.; Cardenes-Sandi, G. M.; Romero, F. M.; López-Pérez, M.; Cárdenes-Sandí, G. M.; Romero, F. M.</t>
  </si>
  <si>
    <t>Effects of late Holocene climate variability and anthropogenic stressors on the vegetation of the Maya highlands</t>
  </si>
  <si>
    <t>10.1016/j.quascirev.2018.04.004</t>
  </si>
  <si>
    <t>Climate variability and human activities have shaped the vegetation communities of the Maya region of southern Mexico and Central America on centennial to millennial timescales. Most research efforts in the region have focused on the lowlands, with relatively little known about the environmental history of the regional highlands. Here we present data from two sediment sequences collected from lakes in the highlands of Chiapas, Mexico. Our aim was to disentangle the relative contributions of climate and human activities in the development of regional vegetation during the late Holocene. The records reveal a long-term trend towards drier conditions with superimposed centennial-scale droughts. A declining moisture trend from 3400 to 1500 cal yr BP is consistent with previously reported southward displacement of the Intertropical Convergence Zone, whereas periodic droughts were probably a consequence of drivers such as El Nino. These conditions, together with dense human occupation, converted the vegetation from forest to more open systems. According to the paleoecological records, cultural abandonment of the area occurred ca. 1500 cal yr BP, favoring forest recovery that was somewhat limited by low moisture availability. About 600 cal yr BP, wetter conditions promoted the establishment of modern montane cloud forests, which consist of a diverse mixture of temperate and tropical elements. The vegetation types that occupied the study area during the last few millennia have remained within the envelope defined by the modern vegetation mosaic. This finding highlights the importance of microhabitats in the maintenance biodiversity through time, even under scenarios of high climate variability and anthropogenic pressure. (C) 2018 Elsevier Ltd. All rights reserved.</t>
  </si>
  <si>
    <t>76-90</t>
  </si>
  <si>
    <t>Franco-Gaviria2018_61.i</t>
  </si>
  <si>
    <t>Franco-Gaviria2018_61.ii</t>
  </si>
  <si>
    <t>Esmeralda</t>
  </si>
  <si>
    <t>Faegri and Iversen, 1989</t>
  </si>
  <si>
    <t>Charcoal, Plant remains, Wood</t>
  </si>
  <si>
    <t>Franco-Gaviria2018_61.iii</t>
  </si>
  <si>
    <t>Grauel2016_67</t>
  </si>
  <si>
    <t>Grauel, A. L.; Hodell, D. A.; Bernasconi, S. M.</t>
  </si>
  <si>
    <t>Quantitative estimates of tropical temperature change in lowland Central America during the last 42 ka</t>
  </si>
  <si>
    <t>10.1016/j.epsl.2016.01.001</t>
  </si>
  <si>
    <t>Determining the magnitude of tropical temperature change during the last glacial period is a fundamental problem in paleoclimate research. Large discrepancies exist in estimates of tropical cooling inferred from marine and terrestrial archives. Here we present a reconstruction of temperature for the last 42 ka from a lake sediment core from Lake Pet \' e n Itz \' a , Guatemala, located at 17°N in lowland Central America. We compared three independent methods of glacial temperature reconstruction: pollen-based temperature estimates, tandem measurements of $\delta$18O in biogenic carbonate and gypsum hydration water, and clumped isotope thermometry. Pollen provides a near-continuous record of temperature change for most of the glacial period but the occurrence of a no-analog pollen assemblage during cold, dry stadials renders temperature estimates unreliable for these intervals. In contrast, the gypsum hydration and clumped isotope methods are limited mainly to the stadial periods when gypsum and biogenic carbonate co-occur. The combination of palynological and geochemical methods leads to a continuous record of tropical temperature change in lowland Central America over the last 42 ka. Furthermore, the gypsum hydration water method and clumped isotope thermometry provide independent estimates of not only temperature, but also the $\delta$18O of lake water that is dependent on the hydrologic balance between evaporation and precipitation over the lake surface and its catchment. The results show that average glacial temperature was cooler in lowland Central America by 5-10 °C relative to the Holocene. The coldest and driest times occurred during North Atlantic stadial events, particularly Heinrich stadials (HSs), when temperature decreased by up to 6 to 10 °C relative to today. This magnitude of cooling is much greater than estimates derived from Caribbean marine records and model simulations.The extreme dry and cold conditions during HSs in the lowland Central America were associated with fresh water forcing in the North Atlantic, which led to reduced Atlantic Meridional Overturning Circulation, cooling of the North Atlantic, southern advance of sea-ice, and southward shift of the Intertropical Convergence Zone. Although some models correctly predict the sign of temperature and precipitation changes, they consistently underestimate the degree of observed cooling and decreased precipitation over land in lowland Central America. \textcopyright 2016 Elsevier B.V.</t>
  </si>
  <si>
    <t>37-46</t>
  </si>
  <si>
    <t>Franco-Gaviria2018_61.iv</t>
  </si>
  <si>
    <t>Aragon-Moreno2012_16</t>
  </si>
  <si>
    <t>Aragon-Moreno, A. A.; Islebe, G. A.; Torrescano-Valle, N.; Aragn-Moreno, A. A.; Islebe, G. A.; Torrescano-Valle, N.</t>
  </si>
  <si>
    <t>A ~3800-yr, high-resolution record of vegetation and climate change on the north coast of the Yucatan Peninsula</t>
  </si>
  <si>
    <t>Review of Palaeobotany and Palynology</t>
  </si>
  <si>
    <t>10.1016/j.revpalbo.2012.04.002</t>
  </si>
  <si>
    <t>A 1.9-m mangrove sediment core from the Ria Lagartos Biosphere Reserve was used to study climate and vegetation change over the past \~ 3800 years on the northern Yucatan Peninsula. Fossil pollen and charcoal analysis were conducted to make paleoecologic inferences. Changes in vegetation composition were associated with shifts in rainfall amount, documented previously at the regional scale. Wet climate prevailed until \~ 3500 cal yr BP, after which changing plant species composition indicates a decrease in precipitation. Conditions, however, remained favourable for development of tropical forest vegetation until \~ 1600 cal yr BP, when species composition indicates drier climate. The vegetation composition shows the driest conditions of the last 3800 at 960 cal yr BP (ca. 1000 AD), coincident with the demise of Classic Maya civilization. Subsequent conditions during the Postclassic show a trend toward wetter conditions, with increases of tropical forest coverage about 770 cal yr BP, corresponding to the Medieval Warm Period. Paleoclimate inference from the terminal Postclassic to present is confounded by intensive human land use, especially after the arrival of the Spanish in the 15th century AD. Our results from this coastal site in northern Yucatan correspond closely with the findings of other studies on late Holocene paleoenvironmental changes in the Caribbean region.</t>
  </si>
  <si>
    <t>35-42</t>
  </si>
  <si>
    <t>Aragon-Moreno2012_16.i</t>
  </si>
  <si>
    <t>Ria Lagartos Biosphere Reserve</t>
  </si>
  <si>
    <t>KOH, HCL</t>
  </si>
  <si>
    <t>Aragon-Moreno2012_16.ii</t>
  </si>
  <si>
    <t>Stevenson and Haberle (2005)</t>
  </si>
  <si>
    <t>Torrescano-Valle2015_182</t>
  </si>
  <si>
    <t>Torrescano-Valle, N.; Islebe, G. A.</t>
  </si>
  <si>
    <t>Holocene paleoecology, climate history and human influence in the southwestern Yucatan Peninsula</t>
  </si>
  <si>
    <t>https://doi.org/10.1016/j.revpalbo.2015.03.003</t>
  </si>
  <si>
    <t>Centennial resolution pollen analysis of a record from Lake Silvituc, Yucatan Peninsula, provides a 7900 cal yr BP record of vegetation history and climate change in the Maya lowlands. Several droughts occurred during this interval, some of which are evident in other paleoclimatic records from the Caribbean region. We identified taxa that are characteristic of paleoecological change, such as Moraceae, Ficus and Asteraceae, among others. Zea mays and other taxa reflect the Maya occupation and its impact on the landscape. Droughts, as inferred from vegetational and sedimentary changes, occurred during the intervals of 4700-3600 cal yr BP, 3400-2500 cal yr BP, 2300-2100 cal yr BP, 1900-1700 cal yr BP, 1400-1300 cal yr BP, 730 cal yr BP and 560 cal yr BP. During these periods, tropical forest taxa elements declined (Moraceae, Brosimum alicastrum, Ficus and Fabaceae) and secondary elements increased (Asteraceae, Mimosoidae-Acacia, Chenopodiaceae Vent. and Poaceae), as did local aquatic elements (Botryococcus). Zea mays appeared 4100 cal yr BP, and other secondary elements, such as Asteraceae, Mimosoideae-Acacia, and Chenopodiaceae Vent, increased. The Preclassic abandonment is represented in the record as a shift to drier conditions and a strong decrease in forest taxa.</t>
  </si>
  <si>
    <t>Silvituc</t>
  </si>
  <si>
    <t>Acetolysis, HCL</t>
  </si>
  <si>
    <t>Organic material</t>
  </si>
  <si>
    <t>Perez2010_142.ii</t>
  </si>
  <si>
    <t>63 μm mesh sieve</t>
  </si>
  <si>
    <t>g-1</t>
  </si>
  <si>
    <t>Perez2010_142.iii</t>
  </si>
  <si>
    <t>Catchment Erosion;Climate;Precipitation;Tropic Status</t>
  </si>
  <si>
    <t>ppm</t>
  </si>
  <si>
    <t>Perez2010_142.iv</t>
  </si>
  <si>
    <t>Perez2010_142.vi</t>
  </si>
  <si>
    <t>HEKAtech GmbH, Euro EA 3000</t>
  </si>
  <si>
    <t>Perez2010_142.vii</t>
  </si>
  <si>
    <t>HEKAtech GmbH, Euro EA 3001</t>
  </si>
  <si>
    <t>mass</t>
  </si>
  <si>
    <t>Gutiérrez-Ayala2012_68</t>
  </si>
  <si>
    <t>Gutiérrez-Ayala, L. V.; Torrescano-Valle, N.; Islebe, G. A.</t>
  </si>
  <si>
    <t>Reconstrucción paleoambiental del holoceno tardío de la reserva los petenes, Península de Yucatán, México</t>
  </si>
  <si>
    <t>Revista Mexicana de Ciencias Geologicas</t>
  </si>
  <si>
    <t>Changes in climate and ecological dynamics of the Biosphere Reserve of Los Petenes, located in northwestern Yucatan Peninsula, were identified through high-resolution pollen analysis of a core of 2.2 m depth. The reconstruction of the history of vegetation, hydrology and climate that occurred during the last 4000 years was based on fossil pollen analysis, total organic carbon (TOC) and calcium carbonate (CaCO3). The results show changes in the stratigraphy and the percentage of mangrove elements, wich are interpreted as rapid increases in sea level during the middle to late Holocene transition (4095-3100 cal BP). From 3000 cal year BP, considerably decreases of mangroves and changes in COT, suggest a strong hydrological variability. Increase of the tropical forest and disturbance elements shows changes inthe distribution of vegetation. The landscape is dominate by tropical forest and secondary vegetation. The accumulation of gastropods and foraminifera, reveals marine transgressions, and periods of deacresed precipitation and sea level. High percentages in the carbonate signal (12, 20 and 40%), mangrove elements and fungal spores decrease, disturbance elements and Cyperaceae increase, indicating around 600 cal dC, the decrease in precipitation and climatic deterioration is significant. The changes, coincide with changes in other circumcaribbean signals, associated with the Medieval Warming and the minimum of solar activity, recorded during the Little Ice Age. The paleoenvironmental record provides information about the environmental history of RBLP, establishing bases for understanding ecological processes and the implications they may have for conservation.</t>
  </si>
  <si>
    <t>749-763</t>
  </si>
  <si>
    <t>Gutiérrez-Ayala2012_68.i</t>
  </si>
  <si>
    <t>Spanish</t>
  </si>
  <si>
    <t>Biosphere Reserve of Los Petenes</t>
  </si>
  <si>
    <t>Faegrie and Iversen 1989</t>
  </si>
  <si>
    <t>Gutiérrez-Ayala2012_68.ii</t>
  </si>
  <si>
    <t>Gutiérrez-Ayala2012_68.iii</t>
  </si>
  <si>
    <t>Gutiérrez-Ayala2012_68.iv</t>
  </si>
  <si>
    <t>LOI</t>
  </si>
  <si>
    <t>Deevey1979_202</t>
  </si>
  <si>
    <t>Deevey, E., Rice, D.S., Rice, P.M., Vaughan, H.H., Brenner, M. and Flannery, M.S.</t>
  </si>
  <si>
    <t>Mayan urbanism: impact on a tropical karst environment</t>
  </si>
  <si>
    <t>Science</t>
  </si>
  <si>
    <t>298-306</t>
  </si>
  <si>
    <t>Deevey1979_202.i</t>
  </si>
  <si>
    <t>Lago Yaxha</t>
  </si>
  <si>
    <t>Deevey1979_202.ii</t>
  </si>
  <si>
    <t>Lago Sacnab</t>
  </si>
  <si>
    <t>Deevey1979_202.iii</t>
  </si>
  <si>
    <t>Trophic Status</t>
  </si>
  <si>
    <t>mg cm-2 yr-1</t>
  </si>
  <si>
    <t>Deevey1979_202.iv</t>
  </si>
  <si>
    <t>Deevey1979_202.v</t>
  </si>
  <si>
    <t>Deevey1979_202.vi</t>
  </si>
  <si>
    <t>Hodell2001_79</t>
  </si>
  <si>
    <t>Hodell, D. A.; Brenner, M.; Curtis, J. H.; Guilderson, T.</t>
  </si>
  <si>
    <t>Solar forcing of drought frequency in the Maya lowlands</t>
  </si>
  <si>
    <t>10.1126/science.1057759</t>
  </si>
  <si>
    <t>We analyzed lake-sediment cores from the Yucatan Peninsula, Mexico, to reconstruct the climate history of the region over the past 2600 years. Time series analysis of sediment proxies, which are sensitive to the changing ratio of evaporation to precipitation (oxygen isotopes and gypsum precipitation), reveal a recurrent pattern of drought with a dominant periodicity of 208 years. This cycle is similar to the documented 206-year period in records of cosmogenic nuclide production (carbon-14 and beryllium-10) that is thought to reflect variations in solar activity. We conclude that a significant component of century-scale variability in Yucatan droughts is explained by solar forcing. Furthermore, some of the maxima in the 208-year drought cycle correspond with discontinuities in Maya cultural evolution, suggesting that the Maya were affected by these bicentennial oscillations in precipitation.</t>
  </si>
  <si>
    <t>1367-1370</t>
  </si>
  <si>
    <t>Hodell2001_79.i</t>
  </si>
  <si>
    <t>Hodell2001_79.ii</t>
  </si>
  <si>
    <t>Coulumetric titration</t>
  </si>
  <si>
    <t>Pope2001_150</t>
  </si>
  <si>
    <t>Pope, K. O.; Pohl, M. E. D.; Jones, J. C.; Lentz, D. L. a.</t>
  </si>
  <si>
    <t>Origin and environmental setting of ancient agriculture in the lowlands of Mesoamerica</t>
  </si>
  <si>
    <t>10.1126/science.292.5520.1370</t>
  </si>
  <si>
    <t>Archaeological research in the Gulf Coast of Tabasco reveals the earliest record of maize cultivation in Mexico. The first farmers settled along beach ridges and lagoons of the Grijalva River delta. Pollen from cultivated Zea appears with evidence of forest clearing about 5100 calendar years B.C. (yr B.C.) [6200 14C years before the present (yr B.P.)]. Large Zea sp. pollen, typical of domesticated maize (Zea mays), appears about 5000 calendar yr B.C. (6000 yr B.P.). A Manihot sp. pollen grain dated to 4600 calendar yr B.C. (5800 yr B.P.) may be from domesticated manioc. About 2500 calendar yr B.C. (4000 yr B.P.), domesticated sunflower seeds and cotton pollen appear as farming expanded.</t>
  </si>
  <si>
    <t>1370-1373</t>
  </si>
  <si>
    <t>Sediment,charcoal,phaseolus seed, zea mays cob, wood,cionosicyos seed, helianthus fruit, cucurbitaceae seed</t>
  </si>
  <si>
    <t>Kennett2012_104</t>
  </si>
  <si>
    <t>Kennett, D. J.; Breitenbach, S. F. M.; Aquino, V. V.; Asmerom, Y.; Awe, J.; Baldini, J. U. L.; Bartlein, P.; Culleton, B. J.; Ebert, C.; Jazwa, C.; Macri, M. J.; Marwan, N.; Polyak, V.; Prufer, K. M.; Ridley, H. E.; Sodemann, H.; Winterhalder, B.; Haug, G. H.</t>
  </si>
  <si>
    <t>Development and disintegration of maya political systems in response to climate change</t>
  </si>
  <si>
    <t>10.1126/science.1226299</t>
  </si>
  <si>
    <t>The role of climate change in the development and demise of Classic Maya civilization (300 to 1000 C.E.) remains controversial because of the absence of well-dated climate and archaeological sequences. We present a precisely dated subannual climate record for the past 2000 years from Yok Balum Cave, Belize. From comparison of this record with historical events compiled from well-dated stone monuments, we propose that anomalously high rainfall favored unprecedented population expansion and the proliferation of political centers between 440 and 660 C.E. This was followed by a drying trend between 660 and 1000 C.E. that triggered the balkanization of polities, increased warfare, and the asynchronous disintegration of polities, followed by population collapse in the context of an extended drought between 1020 and 1100 C.E.</t>
  </si>
  <si>
    <t>788-791</t>
  </si>
  <si>
    <t>Kennett2012_104.i</t>
  </si>
  <si>
    <t>Continuous flow isotope ratio mass spectrometry</t>
  </si>
  <si>
    <t>Kennett2012_104.ii</t>
  </si>
  <si>
    <t>Ruiz-Fernández2018_164</t>
  </si>
  <si>
    <t>Ruiz-Fernández, A. C.; Carnero-Bravo, V.; Sanchez-Cabeza, J. A.; Pérez-Bernal, L. H.; Amaya-Monterrosa, O. A.; Bojórquez-Sánchez, S.; López-Mendoza, P. G.; Cardoso-Mohedano, J. G.; Dunbar, R. B.; Mucciarone, D. A.; Marmolejo-Rodríguez, A. J.; Ruiz-Fernandez, A. C.; Carnero-Bravo, V.; Sanchez-Cabeza, J. A.; Perez-Bernal, L. H.; Amaya-Monterrosa, O. A.; Bojorquez-Sanchez, S.; Lopez-Mendoza, P. G.; Cardoso-Mohedano, J. G.; Dunbar, R. B.; Mucciarone, D. A.; Marmolejo-Rodriguez, A. J.</t>
  </si>
  <si>
    <t>Carbon burial and storage in tropical salt marshes under the influence of sea level rise</t>
  </si>
  <si>
    <t>Science of the Total Environment</t>
  </si>
  <si>
    <t>http://dx.doi.org/10.1016/j.scitotenv.2018.02.246</t>
  </si>
  <si>
    <t>Coastal vegetated habitats can be important sinks of organic carbon (Corg) and mitigate global warming by sequestering significant quantities of atmospheric CO2 and storing sedimentary Corg for long periods, although their Corg burial and storage capacity may be affected by on-going sea level rise and human intervention. Geochemical data from published 210Pb-dated sediment cores, collected from low-energy microtidal coastal wetlands in El Salvador (Jiquilisco Bay) and in Mexico (Salada Lagoon; Estero de Urias Lagoon; Sian Ka'an Biosphere Reserve) were revisited to assess temporal changes (within the last 100 years) of Corg concentrations, storage and burial rates in tropical salt marshes under the influence of sea level rise and contrasting anthropization degree. Grain size distribution was used to identify hydrodynamic changes, and delta 13C to distinguish terrigenous sediments from those accumulated under the influence of marine transgression. Although the accretion rate ranges in all sediment records were comparable, Corg concentrations (0.2-30%), stocks (30-465 Mg ha-1, by extrapolation to 1 m depth), and burial rates (3-378 g m-2 year-1) varied widely within and among the study areas. However, in most sites sea level rise decreased Corg concentrations and stocks in sediments, but increased Corg burial rates. Lower Corg concentrations were attributed to the input of reworked marine particles, which contribute with a lower amount of Corg than terrigenous sediments; whereas higher Corg burial rates were driven by higher mass accumulation rates, influenced by increased flooding and human interventions in the surroundings. Corg accumulation and long-term preservation in tropical salt marshes can be as high as in mangrove or temperate salt marsh areas and, besides the reduction of Corg stocks by ongoing sea level rise, the disturbance of the long-term buried Corg inventories might cause high CO2 releases, for which they must be protected as a part of climate change mitigation efforts.</t>
  </si>
  <si>
    <t>1628-1640</t>
  </si>
  <si>
    <t>Ruiz-Fernández2018_164.i</t>
  </si>
  <si>
    <t>Jiquilisco Bay</t>
  </si>
  <si>
    <t>Saltmarsh Sediment Core</t>
  </si>
  <si>
    <t>Elemental analyser</t>
  </si>
  <si>
    <t>Ruiz-Fernández2018_164.ii</t>
  </si>
  <si>
    <t>Ruiz-Fernández2018_164.iii</t>
  </si>
  <si>
    <t>Sian Ka'an Biosphere Reserve</t>
  </si>
  <si>
    <t>Ruiz-Fernández2018_164.iv</t>
  </si>
  <si>
    <t>PUPA</t>
  </si>
  <si>
    <t>Islebe1996_92</t>
  </si>
  <si>
    <t>Islebe, G. A.; Hooghiemstra, H.; van't Veer, R.</t>
  </si>
  <si>
    <t>Holocene vegetation and water level history in two bogs of the Cordillera de Talamanca, Costa Rica</t>
  </si>
  <si>
    <t>Vegetatio</t>
  </si>
  <si>
    <t>https://doi.org/10.1007/BF00045491</t>
  </si>
  <si>
    <t>Pollen records of Holocene sediment cores from the Costa Rican Cordillera de Talamanca (La Chonta bog, 2310 m and La Trinidad bog, 2700 m) show the postglacial development of the montane oak forest zone from ca. 9500 to 1500 yr BP. During the early Holocene (ca. 9500-7000 yr BP), alder vegetation covered the La Chonta and La Trinidad bogs and their adjacent hills. The upper forest line is inferred to be at 2800-3000 m altitude. A Podocarpus-Quercus forest characterized the middle Holocene (ca. 7000-4500 yr BP). The upper forest line is located at \textgreater 3000 m reaching the present-day altitudinal distribution. A Quercus forest characterized the late Holocene (ca. 4500-1500 yr BP). Compared to modern conditions, the early Holocene has similar average temperatures, but the moisture level was probably higher. Pollen evidence for the late Holocene indicates drier environmental conditions than today. In order to improve the palaeoecological interpretation, the local vegetation was described and moss samples were used as pollen traps at both montane bogs along strong soil moisture gradients.</t>
  </si>
  <si>
    <t>155-171</t>
  </si>
  <si>
    <t>Islebe1996_92.i</t>
  </si>
  <si>
    <t>KOH, Acetolysis</t>
  </si>
  <si>
    <t>Islebe1996_92.ii</t>
  </si>
  <si>
    <t>Dominguez-Vazquez2008_41</t>
  </si>
  <si>
    <t>Dominguez-Vazquez, G.; Islebe, G. A.; Domnguez-Vzquez, G.; Islebe, G. A.</t>
  </si>
  <si>
    <t>Protracted drought during the late Holocene in the Lacandon rain forrest, Mexico</t>
  </si>
  <si>
    <t>Vegetation History and Archaeobotany</t>
  </si>
  <si>
    <t>10.1007/s00334-007-0131-9</t>
  </si>
  <si>
    <t>A 3.4 m core was obtained for paleoecological analysis from Naja Lake in the Lacandon region of southeastern Mexico. This is the first study of the Lacandon area aimed at reconstructing late Holocene environmental history. The basal section of the core yielded an AMS date of 2020 14C years B.P. The Naja pollen record shows that the lower montane rain forest characterized by Moraceae, Mimosoideae, Leguminosae and Combretaceae/Melastomataceae, coexisted with a pine-oak forest throughout the late Holocene. No Zea mays pollen was found during routine pollen counts, but the presence of both secondary pollen taxa and abundant charcoal particles suggest some degree of regional human impact. A marked increase in Pinus pollen, together with a reduction in lower montane rain forest taxa, is interpreted as evidence for a strong, protracted drought from 1260 to 730 14C years B.P.</t>
  </si>
  <si>
    <t>327-333</t>
  </si>
  <si>
    <t>Lago Naja</t>
  </si>
  <si>
    <t>Acetolysis, ZnCl₂</t>
  </si>
  <si>
    <t>Harvey2020_207</t>
  </si>
  <si>
    <t>Harvey, W J; Nogué, S; Stansell, N; Adolf, C; Long, P R; Willis, K</t>
  </si>
  <si>
    <t>A palynological perspective on the impacts of European contact: Historic deforestation, ranching and agriculture surrounding the Cuchumatanes Highlands, Guatemala</t>
  </si>
  <si>
    <t>https://doi.org/10.1007/s00334-020-00790-2</t>
  </si>
  <si>
    <t>The Spanish conquest of the Cuchumatanes Highlands (1524–1541 ce) led to dramatic land use changes adhering to colonial practices and values, which included the rearing of livestock, agriculture, timber extraction, mining, and the relocation of indigenous populations to new settlements. These changes are often recorded in historical accounts and official records; however, these are sparse, incomplete, and have been lost over the passage of time. Here, we present a high-resolution palaeoenvironmental reconstruction for Cenote Kail (Guatemala) since the Spanish Conquest, to provide additional evidence of land use changes from an integrated multi-proxy perspective. We analysed: (i) fossil pollen; (ii) macroscopic and microscopic charcoal; and (iii) dung fungal spores (Sporormiella) from a lake sediment core extracted from Cenote Kail in the Cuchumatanes highlands, combining these analyses with remotely sensed satellite data. We reconstructed: (i) forest composition and dynamics; (ii) burning, (iii) fauna abundance, and (iv) agricultural activities. High resolution age-depth modelling was conducted using a combination of 210Pb and 14C dates. The high temporal resolution enabled a novel integrated validation of the charcoal data sets with remotely sensed satellite data and the historical record. Three stages of floral compositional change were discerned from the palynological assemblage data encompassing: (i) the decline of mixed hard wood forests (MHWF), associated with the building of new settlements, agriculture and timber extraction for fuel (1550–1675 ce); (ii) pastoral expansions involving the rearing of livestock (1700–1800 ce); and (iii) the expansions of urban settlements and increasing management of the land (1821–2015 ce). Seed predation is suggested as the dominant factor preventing MHWF from re-establishing in the Cuchumatanes Highlands over the past 500 years. Burning is limited locally and regionally and in line with the modern regime, which suggests that fire has been managed and controlled since European contact. © 2020, The Author(s).</t>
  </si>
  <si>
    <t>Harvey2020_207.i</t>
  </si>
  <si>
    <t>Harvey2020_207.ii</t>
  </si>
  <si>
    <t>Harvey2020_207.iii</t>
  </si>
  <si>
    <t>Harvey2020_207.iv</t>
  </si>
  <si>
    <t>Kerr2020_105</t>
  </si>
  <si>
    <t>Kerr, M. T.; Horn, S. P.; Lane, C. S.</t>
  </si>
  <si>
    <t>Stable isotope analysis of vegetation history and land use change at Laguna Santa Elena in southern Pacific Costa Rica</t>
  </si>
  <si>
    <t>10.1007/s00334-019-00755-0</t>
  </si>
  <si>
    <t>Laguna Santa Elena (8.9290 degrees N, 82.9257 degrees W, 1055 m a.s.l.) is a small lake in the Diquis archaeological sub-region of southern Pacific Costa Rica. Previous analyses of pollen and charcoal in a sediment core from Santa Elena revealed a nearly 2,000 year history of vegetation change, maize cultivation and site occupation that is consistent with the archaeological record from the lake basin and surrounding area. Here we present the results of new loss-on-ignition, geochemical and bulk stable carbon (delta C-13) and nitrogen (delta N-15) isotope analyses of the Santa Elena sediments that supplement and refine the previous reconstruction. Like many lakes in Central America and the Caribbean, Laguna Santa Elena was a magnet for humans throughout its history. As a result, the lake experienced vegetation modification by humans and maize cultivation at varying intensities over a long duration. The Santa Elena sediments provide a record of palaeoenvironmental change during times of major culture change and increasing cultural complexity in the Diquis region, which occurred during intervals of broader changes driven by external forcing mechanisms, including the Terminal Classic Drought (TCD), the Little Ice Age (LIA) and the Spanish Conquest. Our high resolution lake sediment study from Santa Elena reveals details of these events at the local scale that are unobtainable by other means, including the timing of the initial intensification of maize cultivation at ca. 1,570 cal bp (ad 380) and two intervals of population decline coinciding with the TCD at ca. 1,085 cal bp (ad 865) and near the start of the LIA at ca. 683 cal bp (ad 1267).</t>
  </si>
  <si>
    <t>477-492</t>
  </si>
  <si>
    <t>Kerr2020_105.i</t>
  </si>
  <si>
    <t>Leaf fragments, Wood, Charcoal</t>
  </si>
  <si>
    <t>Kerr2020_105.ii</t>
  </si>
  <si>
    <t>Kerr2020_105.iii</t>
  </si>
  <si>
    <t>Land Use Change;Vegetation</t>
  </si>
  <si>
    <t>Standard laboratory protocol of the University of North Carolina Wilmington (UNCW) Stable Isotope Facility.</t>
  </si>
  <si>
    <t>Kerr2020_105.iv</t>
  </si>
  <si>
    <t>Piperno1990_144</t>
  </si>
  <si>
    <t>Piperno, D. R.; Bush, M. B.; Colinvaux, P. A.</t>
  </si>
  <si>
    <t>Paleoenvironments and human occupation in late-glacial Panama</t>
  </si>
  <si>
    <t>The first pollen and phytolith data covering the entire Pleistocene/Holocene transition from the lowlands of the Central American isthmus indicate that the forests of late-glacial Panama at an altitude of 650 m resembled those currently found at about 1500-1800 m. A temperature depression of approximately 5 degrees C and reduced precipitation/evaporation ratios in the late-glacial period are suggested. Forest composition from 14 000 to 10 500 BP, although primarily montane in character, contained a low biomass of species segregated today in lowland forests and, hence, a floral assemblage with no modern analogue. The sudden appearance of carbon and burnt, weedy plant material at 11 000 BP is attributed to the earliest human influence yet recorded from tropical America and may perhaps have been associated with the first human occupation of the region.</t>
  </si>
  <si>
    <t>108-116</t>
  </si>
  <si>
    <t>Piperno1990_144.i</t>
  </si>
  <si>
    <t>Piperno1990_144.ii</t>
  </si>
  <si>
    <t>Piperno1990_144.iii</t>
  </si>
  <si>
    <t>Bush1994_22</t>
  </si>
  <si>
    <t>Bush, M. B.; Colinvaux, P. A.</t>
  </si>
  <si>
    <t>Tropical forest disturbance: paleoecological records from Darien, Panama</t>
  </si>
  <si>
    <t>Ecology</t>
  </si>
  <si>
    <t>The first paleoecological data from the Darien of Panama, a remote region rich in endemic species and purported to be one of the last untouched neotropical wildernesses, demonstrate a 4000-yr history of human disturbance. Unstable climate is recorded as changes in precipitation inferred from the diatom record, but a more important source of disturbance has been human activity. Pollen analysis and phytoliths of Zea mays, and charcoal fragments (from grass fires) appear to confirm historical and archaeological judgments that the region has a long history of human settlement. The data are consistent with depopulation and abandonment of most agriculture following the Spanish conquest, showing that the local modern forest has developed in recent centuries: apparently pristine forests appear to have regrown in just 350 yr, probably from populations fragmented by previous agricultural disturbance. However, the modern richness of the Darien forests suggests that local biodiversity was maintained throughout 4000 yr of indigenous agriculture.</t>
  </si>
  <si>
    <t>1761-1768</t>
  </si>
  <si>
    <t>Bush1994_22.i</t>
  </si>
  <si>
    <t>Lago Wodehouse</t>
  </si>
  <si>
    <t>HNO3, Norland optical adhesive</t>
  </si>
  <si>
    <t>Chocó-Darién moist forests</t>
  </si>
  <si>
    <t>Bush1994_22.ii</t>
  </si>
  <si>
    <t>KOH, acetolysis, HF</t>
  </si>
  <si>
    <t>Bush1994_22.iii</t>
  </si>
  <si>
    <t>Cana Swamp</t>
  </si>
  <si>
    <t>Luzzadder-Beach2017_120.xi</t>
  </si>
  <si>
    <t>Magnetic Susceptibility Meter SM-20</t>
  </si>
  <si>
    <t>Luzzadder-Beach2017_120.xii</t>
  </si>
  <si>
    <t>Magnetic Susceptibility Meter SM-21</t>
  </si>
  <si>
    <t>Luzzadder-Beach2017_120.xiii</t>
  </si>
  <si>
    <t>Magnetic Susceptibility Meter SM-22</t>
  </si>
  <si>
    <t>Luzzadder-Beach2017_120.xiv</t>
  </si>
  <si>
    <t>Magnetic Susceptibility Meter SM-23</t>
  </si>
  <si>
    <t>Luzzadder-Beach2017_120.xv</t>
  </si>
  <si>
    <t>Magnetic Susceptibility Meter SM-24</t>
  </si>
  <si>
    <t>Islebe1996_90</t>
  </si>
  <si>
    <t>Islebe, G. A.; Hooghiemstra, H.; Brenner, M.; Curtis, J. H.; Hodell, D. A.</t>
  </si>
  <si>
    <t>A Holocene vegetation history from lowland Guatemala</t>
  </si>
  <si>
    <t>The Holocene</t>
  </si>
  <si>
    <t>A 5.45-m core from Lake Peten-Itza, lowland Guatemala, contains a near-complete record of Holocene sedimentation spanning approx. the last 9000 years. The age-depth relationship for the core is based on AMS 14C dating of terrestrial wood fragments and provides a reliable chronology in this karst region where hard-water lake error has typically confounded sediment geochronology. In the basal part of the sequence, pollen of the Moraceae-Urticaceae group dominates, indicating the presence of widespread tropical forest during the early Holocene (8600-5600 yr BP). Relative abundance of pollen of high forest taxa declined beginning as early as 5600 yr BP, indicating climatic drying or perhaps initial land clearance. Deforestation by prehistoric Mayan inhabitants is documented clearly in the pollen record, beginning from about 2000 yr BP, by the appearance of disturbance taxa (e.g. Ambrosia and Poaceae) and the presence of Zea sp. Forest regrowth occurred following the Classic Maya collapse, from about AD 900, indicated by a relative increase in Moraceae-Urticaceae pollen.</t>
  </si>
  <si>
    <t>265-271</t>
  </si>
  <si>
    <t>Islebe1996_90.i</t>
  </si>
  <si>
    <t>UIC/Coulometrics Model 2011 coulometer and a System 140 prep line (Huffman, 1977)., LOI</t>
  </si>
  <si>
    <t>Islebe1996_90.ii</t>
  </si>
  <si>
    <t>Faegri and Iversen, 1975</t>
  </si>
  <si>
    <t>Islebe1996_90.iii</t>
  </si>
  <si>
    <t>Northrop1996_135.i</t>
  </si>
  <si>
    <t>Northrop1996_135.ii</t>
  </si>
  <si>
    <t>HCl, HF, KOH, acetolysis, silicone mount</t>
  </si>
  <si>
    <t>Northrop1996_135.iii</t>
  </si>
  <si>
    <t>HCI, HF, KOH, acetolysis, silicone mount</t>
  </si>
  <si>
    <t>Northrop1996_135.vi</t>
  </si>
  <si>
    <t>Northrop1996_135.vii</t>
  </si>
  <si>
    <t>Northrop1996_135.viii</t>
  </si>
  <si>
    <t>Northrop1996_135.ix</t>
  </si>
  <si>
    <t>Whitmore1996_196.i</t>
  </si>
  <si>
    <t>600-900 ◦C, LOI</t>
  </si>
  <si>
    <t>Whitmore1996_196.iii</t>
  </si>
  <si>
    <t>Mays2017_121.v</t>
  </si>
  <si>
    <t>Whitmore1996_196.iv</t>
  </si>
  <si>
    <t>K 2Cr 2O 7, H2O2, HCL</t>
  </si>
  <si>
    <t>Whitmore1996_196.v</t>
  </si>
  <si>
    <t>Clement2001_29.v</t>
  </si>
  <si>
    <t>Dull2004_47.iii</t>
  </si>
  <si>
    <t>Wu2017_199</t>
  </si>
  <si>
    <t>Wu, J.; Porinchu, D. F.; Horn, S. P.</t>
  </si>
  <si>
    <t>A chironomid-based reconstruction of late-Holocene climate and environmental change for southern Pacific Costa Rica</t>
  </si>
  <si>
    <t>10.1177/0959683616652702</t>
  </si>
  <si>
    <t>A lake sediment profile spanning the last \~ 3200 years from Laguna Zoncho in the southern Pacific region of Costa Rica was analyzed for sub-fossil chironomids. Notable shifts in chironomid assemblages occurred during the late-Holocene. A distinct chironomid community, dominated by Tanypodinae such as Procladius and Labrundinia, appeared after \~ 550 cal. yr BP ( \~ 1400 CE). Prior to this time, the chironomid assemblage was more diverse, with taxa such as Paratanytarsus, Tanytarsus type N, and Cladotanytarsus important constituents of the chironomid community. A chironomid-based inference model for mean annual air temperature (MAAT), developed using partial least squares (PLS 2-component), was applied to sub-fossil chironomid assemblages from Laguna Zoncho to reconstruct late-Holocene thermal variability for the region. The key findings from this study are as follows: (1) chironomid-inferred MAAT at \~ 2740–1220 cal. yr BP (790 BCE–730 CE) was 1.2°C higher than the late-Holocene ( \~ 3200 cal. yr BP to present in this study) average of 21.3°C; (2) MAAT at \~ 470–90 cal. yr BP (1480–1860 CE) was 1.3°C lower than the late-Holocene average, potentially reflecting ‘Little Ice Age' (LIA) cooling; and (3) evidence for an extended period of low lake levels between 1220 and 840 cal. yr BP (730–1110 CE) possibly indicated the influence of the Terminal Classic Drought (TCD) in southern Costa Rica. This study pioneers the use of sub-fossil chironomid remains to develop quantitative estimates of Holocene thermal variability and environmental change in Central America. \textcopyright 2016, \textcopyright The Author(s) 2016.</t>
  </si>
  <si>
    <t>73-84</t>
  </si>
  <si>
    <t>Climate;Temperature</t>
  </si>
  <si>
    <t>Small wood fragments, charcoal, seeds and leaf fragments</t>
  </si>
  <si>
    <t>Acosta2018_1.i</t>
  </si>
  <si>
    <t>Dull2004_47.v</t>
  </si>
  <si>
    <t>Hodell2005_80</t>
  </si>
  <si>
    <t>Hodell, D. A.; Brenner, M.; Curtis, J. H.; Medina-Gonzalez, R.; Can, E. I. C.; Albornaz-Pat, A.; Guilderson, T. P.</t>
  </si>
  <si>
    <t>Climate change on the Yucatan Peninsula during the Little Ice Age</t>
  </si>
  <si>
    <t>We studied a 5.1-m sediment core from Aguada X'caamal (20 degrees 36.6'N, 89 degrees 42.9'W), a small sinkhole lake in northwest Yucatan, Mexico. Between 1400 and 1500 A.D., oxygen isotope ratios of ostracod and gastropod carbonate increased by an average of 2.2 per mil and the benthic foraminifer Ammonia beccarii parkinsoniana appeared in the sediment profile, indicating a hydrologic change that included increased lake water salinity. Pollen from a core in nearby Cenote San Jose Chulchaca showed a decrease in mesic forest taxa during the same period. Oxygen isotopes of shell carbonate in sediment cores from Lakes Chichancanab (19 degrees 53.0'N, 88 degrees 46.0'W) and Salpeten (16 degrees 58.6'N, 89 degrees 40.5'W) to the south also increased in the mid-15th century, but less so than in Aguada X'caamal. Climate change in the 15th century is also supported by historical accounts of cold and famine described in Maya and Aztec chronicles. We conclude that climate became drier on the Yucatan Peninsula in the 15th century A.D. near the onset of the Little Ice Age (LIA). Comparison of results from the Yucatan Peninsula with other circum-Caribbean paleoclimate records indicates a coherent climate response for this region at the beginning of the LIA. At that time, sea surface temperatures cooled and aridity in the circum-Caribbean region increased.</t>
  </si>
  <si>
    <t>109-121</t>
  </si>
  <si>
    <t>Hodell2005_80.i</t>
  </si>
  <si>
    <t>Aguada X'caamal</t>
  </si>
  <si>
    <t>Climate;Ground Water;Precipitation</t>
  </si>
  <si>
    <t>Seeds, charcoal, bulk sediment</t>
  </si>
  <si>
    <t>Hodell2005_80.ii</t>
  </si>
  <si>
    <t>Acosta2018_1.v</t>
  </si>
  <si>
    <t>Arcaheozoological</t>
  </si>
  <si>
    <t>Aragon-Moreno2018_15.i</t>
  </si>
  <si>
    <t>Hodell2005_80.iii</t>
  </si>
  <si>
    <t>Torrescano2006_181</t>
  </si>
  <si>
    <t>Torrescano, N.; Islebe, G. A.</t>
  </si>
  <si>
    <t>Tropical forest and mangrove history from southeastern Mexico: a 5000 yr pollen record and implications for sea level rise</t>
  </si>
  <si>
    <t>A 250 cm long core from El Palmar, a swamp area located along the Rio Hondo river in the south of the Yucatan Peninsula, near the Belizean border, reveals the environmental history of the mangrove and tropical forest of the last 5000 years. The period between 5000 and 4600 b.p. shows sandy deposits, which form the early infill and development of the swamp. A medium-statured tropical forest covered the area and members of the Moraceae and Fabacaeae dominated this early forest. The period between 4600 and 4000 b.p. presents a clear change to a mangrove system with Conocarpus erecta and Rhizophora mangle as dominant trees. This vegetational change is due to flooding of the Rio Hondo river, which deposits sediments of high salinity due to higher sea-level. The medium-statured forest became established at some distance from the swamp area. After 4400 b.p. C. erecta appears as the dominant mangrove species and the R. mangle stands are less predominant in the area. The tropical forest was close to the swamp area and was mainly composed of members of the Moraceae, Arecaceae and Fabaceae as dominant taxa of this vegetational mosaic.</t>
  </si>
  <si>
    <t>191-195</t>
  </si>
  <si>
    <t>Acetolysis techniques and heavy liquid separation with bromoform. Glycerine.</t>
  </si>
  <si>
    <t>Wahl2006_190.i</t>
  </si>
  <si>
    <t>Wahl2006_190.iii</t>
  </si>
  <si>
    <t>Annals of the Association of American Geographers</t>
  </si>
  <si>
    <t>Dull2007_48.i</t>
  </si>
  <si>
    <t>Dull2007_48.ii</t>
  </si>
  <si>
    <t>Bartington MS2C magnetic susceptibility meter</t>
  </si>
  <si>
    <t>C(10-7 m3 kg-1)</t>
  </si>
  <si>
    <t>Dull2007_48.v</t>
  </si>
  <si>
    <t>HCl, KOH, HF, HNO3, Acetolysis</t>
  </si>
  <si>
    <t>Webster2007_203</t>
  </si>
  <si>
    <t>Webster, J.W., Brook, G.A., Railsback, L.B., Cheng, H., Edwards, R.L., Alexander, C. and Reeder, P.P.</t>
  </si>
  <si>
    <t>Stalagmite evidence from Belize indicating significant droughts at the time of Preclassic Abandonment, the Maya Hiatus, and the Classic Maya collapse.</t>
  </si>
  <si>
    <t>Webster2007_203.i</t>
  </si>
  <si>
    <t>229Th–233U–236U tracer</t>
  </si>
  <si>
    <t>Webster2007_203.ii</t>
  </si>
  <si>
    <t>Kennedy2008_103.i</t>
  </si>
  <si>
    <t>Kennedy2008_103.ii</t>
  </si>
  <si>
    <t>HCl, HF, KOH, acetolysis, safranin stain</t>
  </si>
  <si>
    <t>Kennedy2008_103.iv</t>
  </si>
  <si>
    <t>Kennedy2008_103.v</t>
  </si>
  <si>
    <t>Metcalfe2009_127.i</t>
  </si>
  <si>
    <t>McCrea,1980; Wachter and Hayes,1985</t>
  </si>
  <si>
    <t>Metcalfe2009_127.ii</t>
  </si>
  <si>
    <t>McCrea,1980; Wachter and Hayes,1986</t>
  </si>
  <si>
    <t>Temoltzin-Loranca2018_180.iii</t>
  </si>
  <si>
    <t>Metcalfe2009_127.iii</t>
  </si>
  <si>
    <t>McCrea,1980; Wachter and Hayes,1987</t>
  </si>
  <si>
    <t>Metcalfe2009_127.iv</t>
  </si>
  <si>
    <t>Hydrological System (Open vs Closed);Water Level</t>
  </si>
  <si>
    <t>McCrea,1980; Wachter and Hayes,1988</t>
  </si>
  <si>
    <t>Metcalfe2009_127.v</t>
  </si>
  <si>
    <t>McCrea,1980; Wachter and Hayes,1989</t>
  </si>
  <si>
    <t>Metcalfe2009_127.vi</t>
  </si>
  <si>
    <t>McCrea,1980; Wachter and Hayes,1990</t>
  </si>
  <si>
    <t>Metcalfe2009_127.vii</t>
  </si>
  <si>
    <t>Hydrological System (Open vs Closed);Salinity</t>
  </si>
  <si>
    <t>Battarbee, 1986</t>
  </si>
  <si>
    <t>Metcalfe2009_127.ix</t>
  </si>
  <si>
    <t>Bartington Instruments</t>
  </si>
  <si>
    <t>Metcalfe2009_127.x</t>
  </si>
  <si>
    <t>Metcalfe2009_127.xiv</t>
  </si>
  <si>
    <t>Johanson2019_98.i</t>
  </si>
  <si>
    <t>Johanson2019_98.ii</t>
  </si>
  <si>
    <t>Metcalfe2009_127.xv</t>
  </si>
  <si>
    <t>Metcalfe2009_127.xvi</t>
  </si>
  <si>
    <t>Johanson2019_98.v</t>
  </si>
  <si>
    <t>Metcalfe2009_127.xvii</t>
  </si>
  <si>
    <t>Monacci2009_129</t>
  </si>
  <si>
    <t>Monacci, N. M.; Meier-Grunhagen, U.; Finney, B. P.; Behling, H.; Wooller, M. J.</t>
  </si>
  <si>
    <t>Mangrove ecosystem changes during the Holocene at Spanish Lookout Cay, Belize</t>
  </si>
  <si>
    <t>Mangroves are halophytic plants living at the land-sea interface and are therefore natural trackers of sea-level. Multiple proxies of a continuous (8 m) mangrove peat core (BT-79) from Spanish Lookout Cay, Belize illustrate mangrove ecosystem changes during the Holocene. Radiocarbon measurements show this site was colonized by mangroves \~ 8000 cal. yrs BP, with a significant decrease in the peat accumulation rate from \~ 6000 to 1000 cal. yrs BP. Stratigraphic characteristics of this peat core such as bulk density, magnetic susceptibility, and loss on ignition show relative uniformity, inferring an uninterrupted mangrove ecosystem during a majority of the Holocene. This is supported by pollen data from BT-79 that show that the site has been consistently dominated by Rhizophora mangle (red mangrove), with Avicennia germinans (black mangrove) and Laguncularia racemosa (white mangrove) present as well. Subfossil R. mangle leaves are used for stable nitrogen, carbon, and oxygen isotope ( delta 15N, delta 13C, and delta 18O) analyses. delta 15N and delta 13C values provide a proxy of this plant's past physiology and stand structure showing that dwarf ( delta 15N \textless -3 per mil) and tall ( delta 13C \textless -27 per mil) R. mangle stands were previously present at the site, which are a result of nutrient limitations that we equate with seawater inundation. delta 18O values show differences in source water of R. mangle, with higher values attributed to the source water being composed of a greater proportion of seawater relative to precipitation. A decrease in inundation at the site is shown by lower delta 18O values ( \textless 19 per mil) from \~ 7000 to \~ 1000 cal. yrs BP that covary with the decreased sedimentation rate. Existing Caribbean sea-level data do not show evidence of a decrease in the rate of relative sea-level rise or fluctuations that we take to be the major causes of environmental changes at site BT-79.</t>
  </si>
  <si>
    <t>Monacci2009_129.i</t>
  </si>
  <si>
    <t>Spanish Lookout Kay</t>
  </si>
  <si>
    <t>Dean, 1974; Heiri et al., 2001, LOI</t>
  </si>
  <si>
    <t>Leaf, Wood, Roots</t>
  </si>
  <si>
    <t>Monacci2009_129.ii</t>
  </si>
  <si>
    <t>Monacci2009_129.iii</t>
  </si>
  <si>
    <t>Dean, 1974; Heiri et al., 2003, LOI</t>
  </si>
  <si>
    <t>Monacci2009_129.iv</t>
  </si>
  <si>
    <t>Woolleret al., 2004, 2007</t>
  </si>
  <si>
    <t>Monacci2009_129.v</t>
  </si>
  <si>
    <t>Woolleret al., 2004, 2008</t>
  </si>
  <si>
    <t>Monacci2009_129.vi</t>
  </si>
  <si>
    <t>Nutrient Availability</t>
  </si>
  <si>
    <t>Woolleret al., 2004, 2009</t>
  </si>
  <si>
    <t>Monacci2009_129.vii</t>
  </si>
  <si>
    <t>Woolleret al., 2004, 2010</t>
  </si>
  <si>
    <t>Mueller2009_133.i</t>
  </si>
  <si>
    <t>Climate;Land Use Change;Vegetation</t>
  </si>
  <si>
    <t>KOH, HCL, acetolysis</t>
  </si>
  <si>
    <t>Mueller2009_133.ii</t>
  </si>
  <si>
    <t>Mueller2009_133.iii</t>
  </si>
  <si>
    <t>Mueller2009_133.iv</t>
  </si>
  <si>
    <t>Coulometric Titration</t>
  </si>
  <si>
    <t>Mueller2009_133.v</t>
  </si>
  <si>
    <t>Mueller2009_133.vi</t>
  </si>
  <si>
    <t>Mueller2009_133.x</t>
  </si>
  <si>
    <t>Avaatech X-ray fluorescence XRF</t>
  </si>
  <si>
    <t>Ratio;%</t>
  </si>
  <si>
    <t>Carrillo-Bastos2010_27</t>
  </si>
  <si>
    <t>Carrillo-Bastos, A.; Islebe, G. A.; Torrescano-Valle, N.; Gonzalez, N. E.</t>
  </si>
  <si>
    <t>Holocene vegetation and climate history of central Quintana Roo, Yucatán Península, Mexico</t>
  </si>
  <si>
    <t>Pollen analysis and oxygen isotope measurements on a sediment core recovered from Lake Tzib, revealed the vegetation and climate history of central Quintana Roo, southeast Mexico for the last \~ 7900 cal yr. During the early Holocene (7900-7000 cal yr BP), vegetation changed from medium- and low-stature forest with nearby mangroves, to medium-stature forest. Between 6500 and 4700 cal yr BP, climate proxies indicate a transition from relatively moist to drier environmental conditions. Around 3500 cal yr BP, even drier conditions prevailed. These dry conditions correspond to the onset of dry phases identified elsewhere in Mexico and Central America. An inferred dry event at 1200 cal yr BP is correlated temporally with dry conditions inferred from a marine core taken in the Cariaco Basin, north of Venezuela. The dry episode falls within the ancient Maya Terminal Classic archaeological period. We found evidence for strong forest disturbance during that period. Around 700 cal yr BP (1200 AD), sediment variables indicate moister environmental conditions that fall within the period of the medieval climate optimum.</t>
  </si>
  <si>
    <t>189-196</t>
  </si>
  <si>
    <t>Carrillo-Bastos2010_27.i</t>
  </si>
  <si>
    <t>Lago Tzib</t>
  </si>
  <si>
    <t>Climate;Flooding;Precipitation;Vegetation;Agriculture</t>
  </si>
  <si>
    <t>Takeshi et al. 1998</t>
  </si>
  <si>
    <t>Stuiver et al., 1986–2006</t>
  </si>
  <si>
    <t>Carrillo-Bastos2010_27.ii</t>
  </si>
  <si>
    <t>Finnigan MAT 252 mass spectrometer</t>
  </si>
  <si>
    <t>Carrillo-Bastos2010_27.iii</t>
  </si>
  <si>
    <t>Avnery2011_18</t>
  </si>
  <si>
    <t>Avnery, S.; Dull, R. A.; Keitt, T. H.</t>
  </si>
  <si>
    <t>Human versus climatic influences on late-Holocene fire regimes in southwestern Nicaragua</t>
  </si>
  <si>
    <t>Fire regimes in the lowland Neotropics are affected both by anthropogenic land use practices and natural climate variability. In Central America it is widely recognized that fire has been used as an agricultural tool for thousands of years, but the role of anthropogenic ignition as a determinant of past biomass burning frequency and magnitude has been debated. Little is known about the effects of short-term climate variability on fire regimes in this region of the world because of both the low temporal resolution of the available charcoal records and the obfuscating effects of anthropogenic burning throughout the late Holocene. Here we reconstruct 1400 years of fire history and environmental change on Ometepe Island, Lake Nicaragua, and perform statistical wavelet analysis on multiple proxy records to identify natural cycles of environmental variability possibly related to climate forcing. Our results indicate that extensive indigenous burning and landscape modification largely mask any climate signal in the paleo-fire record from AD 580 to 1400, with the exception of the period AD 775-1000 where high wavelet power exists at scales of 2-24 years. This time period coincides with a severe, two-century long regional drought that has been identified at other locations in Central America. High wavelet power at climate-relevant scales after \~ AD 1400 in the Ometepe fire record suggests that periodic drought possibly caused by the El Nino Southern Oscillation and/or high-frequency solar cycles may have played a significant role in influencing the post-contact fire regime - a role that is largely concealed in the pre-European strata because of the overriding effects of anthropogenic burning.</t>
  </si>
  <si>
    <t>699-706</t>
  </si>
  <si>
    <t>Avnery2011_18.i</t>
  </si>
  <si>
    <t>Charco Verde</t>
  </si>
  <si>
    <t>Barrington MS2 and an MS2B sensor</t>
  </si>
  <si>
    <t>Terestrial Plant Macrofossils</t>
  </si>
  <si>
    <t>Avnery2011_18.ii</t>
  </si>
  <si>
    <t>Avnery2011_18.iii</t>
  </si>
  <si>
    <t>Monacci2011_130</t>
  </si>
  <si>
    <t>Paleoecology of mangroves along the Sibun River, Belize</t>
  </si>
  <si>
    <t>This study examines a sediment core (SR-63) from a mangrove ecosystem along the Sibun River in Belize, which is subject to both changes in sea-level and in the characteristics of the river's drainage basin. Radiocarbon dates from the core show a decreased sedimentation rate from \~ 6 ka to 1 cal ka BP and a marked change in lithology from primarily mangrove peat to fluvial-derived material at \~ 2.5 cal ka BP. Changes in the sedimentation rates observed in mangrove ecosystems offshore have previously been attributed to changes in relative sea-level and the rate of sea-level rise. Pollen analyses show a decreased abundance of Rhizophora (red mangrove) pollen and an increased abundance of Avicennia (black mangrove) pollen and non-mangrove pollen coeval with the decreased sedimentation rates. Elemental ratios ([N:C]a) and stable isotope analyses ( delta 15N and delta 13C) show that changes in the composition of the organic material are also coeval with the change in lithology. The decrease in sedimentation rate at the site of core SR-63 and at offshore sites supports the idea that regional changes in hydrology occurred during the Holocene in Belize, influencing both mainland and offshore mangrove ecosystems.</t>
  </si>
  <si>
    <t>220-228</t>
  </si>
  <si>
    <t>Monacci2011_130.i</t>
  </si>
  <si>
    <t>Sibun River</t>
  </si>
  <si>
    <t>Salinity;Sea Level;Vegetation</t>
  </si>
  <si>
    <t>Wood, roots, bulk peat</t>
  </si>
  <si>
    <t>Monacci2011_130.ii</t>
  </si>
  <si>
    <t>Monacci2011_130.iii</t>
  </si>
  <si>
    <t>Monacci2011_130.iv</t>
  </si>
  <si>
    <t>Monacci2011_130.v</t>
  </si>
  <si>
    <t>Monacci2011_130.vi</t>
  </si>
  <si>
    <t>Rushton2013_165</t>
  </si>
  <si>
    <t>Rushton, E. A. C.; Metcalfe, S. E.; Whitney, B. S.</t>
  </si>
  <si>
    <t>A late-Holocene vegetation history from the Maya lowlands, Lamanai, Northern Belize</t>
  </si>
  <si>
    <t>A 3 m core from the New River Lagoon, adjacent to the Maya city of Lamanai, Northern Belize, contains a continuous record of vegetation change between c. 1500 BC and AD 1500. Inferred changes in forest abundance and plant community assemblage build on previous palaeolimnological analysis of the same core reported by Metcalfe et al. (2009). A near-complete, abundant record of Zea mays grains provides a detailed account of field-based agriculture local to Lamanai, in the context of a regional record obtained from a large lake (13.5 km2) with a substantial catchment. Three periods (c. 170 BC-AD 150, c. AD 600-980 and c. AD 1500) of extraction of Pinus from pine savannas adjacent to the east of the New River Lagoon, can be distinguished from clearance of seasonal broadleaf forest for agriculture. An increased palm signal is observed during c. 1630-1150 BC and 100 BC-AD 1100 and may be indicative of Maya cultivation. This record shows that during the late Classic period the Maya actively managed the vegetation resources using a combination of field-based agriculture, arboreal resources and perhaps, palm cultivation. There is no evidence from the vegetation history of drying during the late Classic coincident with the Maya 'collapse' and this is consistent with the palaeolimnological and archaeological records of continuous occupation of the Maya at Lamanai. Both the decline in palms c. AD 1400 and the increase in Pinus extraction c. AD 1500 are consistent with changes in vegetation associated with European arrival, however further analysis of material from the last 1000 years will enable a better understanding of vegetation change pre- and post-European encounter.</t>
  </si>
  <si>
    <t>485-493</t>
  </si>
  <si>
    <t>Rushton2013_165.i</t>
  </si>
  <si>
    <t>New River Lagoon</t>
  </si>
  <si>
    <t>Plant macrofossils, gastrapods</t>
  </si>
  <si>
    <t>Rushton2013_165.ii</t>
  </si>
  <si>
    <t>Bennett and Willis, 2001; Faegri et al., 1989</t>
  </si>
  <si>
    <t>Obrist-Farner2019_136</t>
  </si>
  <si>
    <t>Obrist-Farner, J.; Brenner, M.; Curtis, J. H.; Kenney, W. F.; Salvinelli, C.</t>
  </si>
  <si>
    <t>Recent onset of eutrophication in Lake Izabal, the largest water body in Guatemala</t>
  </si>
  <si>
    <t>10.1007/s10933-019-00091-3</t>
  </si>
  <si>
    <t>Recent human population growth has contributed to the degradation of environmental resources in Guatemala. Since 1900, the population of the country grew from &lt; 1 to &gt; 17 million inhabitants. The watershed of Lake Izabal, eastern Guatemala, also experienced rapid population growth, and with it, development of intensive agriculture in areas adjacent to the lake. These recent demographic and land-use changes altered anthropogenic nutrient inputs to the water body, through delivery of raw sewage, and agricultural practices that include excessive use of fertilizers. Currently, Lake Izabal is marked by frequent algal blooms and associated fish-kill events. It also hosts a number of invasive, and in some cases, exotic plant and animal species. We used data from a sediment core collected in the western end of the lake to link past anthropogenic activities in the watershed to the deterioration of water quality and shifts in aquatic ecosystem functioning. We measured total organic carbon (TOC), total nitrogen (TN), and delta C-13 and delta N-15 of organic matter in a Cs-137- and C-14-dated sediment core from the Polochic Delta in Lake Izabal to infer past limnological changes. The core chronology indicates that 505 cm of sediment accumulated in only the last 370 years ( 1.4 cm a(-1)). TOC and TN concentrations increased since about 1950, a time during which the TOC:TN ratio decreased, indicating a relatively greater contribution of phytoplankton to the sediment organic matter. Stratigraphic shifts in delta C-13 and delta N-15 indicate recent increasing inputs of raw sewage and fertilizer to the lake during the same time period. Lake Izabal, like many other water bodies in Guatemala, is starting to undergo cultural eutrophication, which probably accounts for the frequent algal blooms, proliferation of invasive species (e.g. Hydrilla verticillata), and decline in fish abundance.</t>
  </si>
  <si>
    <t>359-372</t>
  </si>
  <si>
    <t>Obrist-Farner2019_136.i</t>
  </si>
  <si>
    <t>Lake Izabal</t>
  </si>
  <si>
    <t>Thermo Electron DeltaV Advantage isotope ratio mass spectrometer</t>
  </si>
  <si>
    <t>Obrist-Farner2019_136.ii</t>
  </si>
  <si>
    <t>Obrist-Farner2019_136.iii</t>
  </si>
  <si>
    <t>Obrist-Farner2019_136.iv</t>
  </si>
  <si>
    <t>GeoTek multi-sensor core logger</t>
  </si>
  <si>
    <t>Obrist-Farner2019_137</t>
  </si>
  <si>
    <t>Obrist-Farner, J.; Rice, P. M.</t>
  </si>
  <si>
    <t>Nixtun-Ch'ich' and its environmental impact: Sedimentological and archaeological correlates in a core from Lake Peten Itza in the southern Maya lowlands, Guatemala</t>
  </si>
  <si>
    <t>Journal of Archaeological Science: Reports</t>
  </si>
  <si>
    <t>10.1016/j.jasrep.2019.05.033</t>
  </si>
  <si>
    <t>Sedimentological information obtained from lake sediment cores has long been used to show how the Maya impacted their environment. Although general trends are usually observed, direct correlation of construction, deforestation, and abandonment of cities is hindered by poor chronological correlation between sedimentary and archaeological data. We report on findings from a 515-cm core covering the last -7000 years of sedimentation that displays remarkable correlation between the two. The core was extracted from Lake Peten Itza (Department of El Peten, northern Guatemala) immediately adjacent to Nixtun-Ch'ich', a long-lived (ca. 1300 BCE-1750 CE) southern lowland Maya site. Chronological precision for the core was achieved by an age-depth model based on Bayesian statistics and corroborated by dates from archaeological excavations. This model, based on six radiocarbon dates and integrated with physical (magnetic susceptibility) properties and scanning XRF analysis of elemental (Si, Fe, and Ti; also Sr and Ca) constituents, permits exceptionally precise correlations with independently dated constructional activity at Nixtun-Ch'ich'. Erosion resulting from the Middle Preclassic (800 to 500 BCE) creation of the site's atypical urban gridded landscape is prominently registered in the core. Other sediment changes at the end of the Late Preclassic period (ca. 50-200 CE) may be drought-related and reflect local expression of a ``Late Preclassic Maya collapse,{''} suggesting new avenues for archaeological exploration. This study highlights the potential of lake sediments, continuously recording human activities in the catchment, as faithful registers of subtleties unrecovered archaeologically. Detailed analyses of sediments deposited close to sites' drainage pathways may reveal intricate correlations such as those observed here, and shed light on cultural activities and environmental and living conditions undetected in the archaeological record.</t>
  </si>
  <si>
    <t>Obrist-Farner2019_137.i</t>
  </si>
  <si>
    <t>Peten Itza</t>
  </si>
  <si>
    <t>Woody Debris</t>
  </si>
  <si>
    <t>Obrist-Farner2019_137.ii</t>
  </si>
  <si>
    <t>ITRAX XRF</t>
  </si>
  <si>
    <t>counts/second</t>
  </si>
  <si>
    <t>Wu2019_198.i</t>
  </si>
  <si>
    <t>Temperature;Climate</t>
  </si>
  <si>
    <t>Walker (2001)</t>
  </si>
  <si>
    <t>Taylor2013_177</t>
  </si>
  <si>
    <t>Maize pollen concentrations in Neotropical lake sediments as an indicator of the scale of prehistoric agriculture</t>
  </si>
  <si>
    <t>We evaluated the potential of maize pollen concentrations in lake sediment profiles to serve as indicators of the extent of prehistoric agriculture in neotropical lake basins using records from a network of five sediment cores recovered from Laguna Zoncho, Costa Rica. The watershed of this small (0.75 ha) lake in the Diquis archaeological region has a c. 3000 year history of prehistoric agriculture and subsequent forest recovery, as documented through previous studies of pollen, charcoal, diatoms, and phosphorus fractions in a single core recovered from the center of the lake. In our new network of cores, we compared maize pollen concentrations with two independent proxies for the scale of agriculture in the same cores: abundance of organic matter (OM), which is an indicator of soil erosion, and bulk sediment stable carbon isotope ratios of organic matter ( delta 13COM), which reflect the proportion of forested and cleared land within the watershed. In none of the five cores did maize pollen concentrations correspond with either OM or delta 13COM, suggesting that sedimentary maize pollen concentrations are not sensitive to the scale of maize agriculture in small neotropical watersheds. We found maize pollen in relatively high concentrations in two of the four cores taken near the lakeshore, but the others contained little or no maize pollen. The core from the center of the lake consistently recorded maize pollen, a finding that we attribute to sediment-focusing processes.</t>
  </si>
  <si>
    <t>78-84</t>
  </si>
  <si>
    <t>Taylor2013_177.i</t>
  </si>
  <si>
    <t>Wu2019_198.iii</t>
  </si>
  <si>
    <t>Taylor2013_177.ii</t>
  </si>
  <si>
    <t>Wu2019_198.v</t>
  </si>
  <si>
    <t>Wu2019_200</t>
  </si>
  <si>
    <t>Late Holocene hydroclimate variability in Costa Rica: Signature of the terminal classic drought and the Medieval Climate Anomaly in the northern tropical Americas</t>
  </si>
  <si>
    <t>10.1016/j.quascirev.2019.04.023</t>
  </si>
  <si>
    <t>In the northern tropical Americas (Neotropics), notable hydrological variability has been documented in multi-proxy paleoclimate records between similar to 600 and 1200 CE. This interval generally overlaps with the Maya Terminal Classic Drought (TCD: similar to 770-1100 CE) and the Medieval Climate Anomaly (MCA:-950 -1250 CE). There is, however, limited paleoclimate data that provide reliable estimates of terrestrial thermal variability in southern Central America during this time. In this study, we present chironomid-based temperature reconstructions, developed from sediment cores from two lakes: (1) Lago Morrenas 3C, a high-elevation glacial lake located on the crest of the Atlantic slope of the Cordillera Talamanca, Costa Rica, and (2) Laguna Zoncho, a mid-elevation lake located on the Pacific slope in southern Costa Rica. Distinctive shifts in the chironomid assemblages occurred at both sites between similar to 610 and 1230 CE. These changes are inferred to reflect an similar to 600-year interval characterized by depressed mean annual temperatures at Lago Morrenas 3C and dry conditions and lake level decline at Laguna Zoncho. Taken together, the multi-proxy paleoclimate records from these two lakes, including stable carbon isotope (delta C-13) and charcoal data, suggest that middle elevations on the Pacific slope and high elevations on the Atlantic slope of Costa Rica experienced sustained drought, and possible cooling coeval with the TCD-MCA interval. The timing of hydroclimate variability in these records provides support for the hypothesis that cooling and drought in the northern tropical Americas during the TCD and early MCA were linked to thermal changes in the tropical North Atlantic. (C) 2019 Elsevier Ltd. All rights reserved.</t>
  </si>
  <si>
    <t>144-159</t>
  </si>
  <si>
    <t>Taylor2013_177.iii</t>
  </si>
  <si>
    <t>Taylor2013_177.iv</t>
  </si>
  <si>
    <t>Taylor2013_177.v</t>
  </si>
  <si>
    <t>Taylor2013_177.vi</t>
  </si>
  <si>
    <t>HCl, HF, KOH, acetolysis, silicone oil</t>
  </si>
  <si>
    <t>Taylor2013_177.vii</t>
  </si>
  <si>
    <t>Taylor2013_177.viii</t>
  </si>
  <si>
    <t>Taylor2013_177.ix</t>
  </si>
  <si>
    <t>Taylor2013_177.x</t>
  </si>
  <si>
    <t>Joo-Chang2015_102.i</t>
  </si>
  <si>
    <t>Climate;Precipitation;Sea Level;Temperature;Vegetation</t>
  </si>
  <si>
    <t>HCl, KOH and acetolysis</t>
  </si>
  <si>
    <t>Anderson2016_13</t>
  </si>
  <si>
    <t>Anderson, L.; Wahl, D.</t>
  </si>
  <si>
    <t>Two Holocene paleofire records from Peten, Guatemala: implications for natural fire regime and prehispanic Maya land use</t>
  </si>
  <si>
    <t>Although fire was arguably the primary tool used by the Maya to alter the landscape and extract resources, little attention has been paid to biomass burning in paleoenvironmental reconstructions from the Maya lowlands. Here we report two new well-dated, high-resolution records of biomass burning based on analysis of macroscopic fossil charcoal recovered from lacustrine sediment cores. The records extend from the early Holocene, through the full arc of Maya prehistory, the Colonial, and post-Colonial periods ( \~ 9000 cal yr BP to the present). (Hereafter BP) The study sites, Lago Paixban and Lago Puerto Arturo, are located in northern Peten, Guatemala. Results provide the first quantitative analysis from the region demonstrating that frequent fires have occurred in the closed canopy forests since at least the early Holocene ( \~ 9000 BP), prior to occupation by sedentary agriculturalists. Following the arrival of agriculture around 4600 BP, the system transitioned from climate controlled to anthropogenic control. During the Maya period, changes in fire regime are muted and do not appear to be driven by changes in climate conditions. Low charcoal influx and fire frequency in the Earliest Preclassic period suggest that land use strategies may have included intensive agriculture much earlier than previously thought. Preliminary results showing concentrations of soot/black-carbon during the middle and late Preclassic periods are lower than modern background values, providing intriguing implications regarding the efficiency of Maya fuel consumption.</t>
  </si>
  <si>
    <t>82-92</t>
  </si>
  <si>
    <t>Anderson2016_13.i</t>
  </si>
  <si>
    <t>Anderson2016_13.ii</t>
  </si>
  <si>
    <t>Lago Paixban</t>
  </si>
  <si>
    <t>Anderson2016_13.iii</t>
  </si>
  <si>
    <t>Anderson2016_13.iv</t>
  </si>
  <si>
    <t>Whitlock and Larsen, 2001</t>
  </si>
  <si>
    <t>BCHAR</t>
  </si>
  <si>
    <t>Anderson2016_13.v</t>
  </si>
  <si>
    <t>Whitlock and Larsen, 2002</t>
  </si>
  <si>
    <t>Correa-Metrio2016_34</t>
  </si>
  <si>
    <t>Correa-Metrio, A.; Velez, M. I.; Escobar, J.; St-Jacques, J. M.; Lopez-Perez, M.; Curtis, J.; Cosford, J.</t>
  </si>
  <si>
    <t>Mid-elevation ecosystems of Panama: future uncertainties in light of past global climatic variability</t>
  </si>
  <si>
    <t>Modern changes in regional climates will result in high ecosystem turnover and substantial biodiversity rearrangements. Understanding these changes requires palaeoecological studies at temporal resolutions comparable to the time window at which modern climate change is occurring. Here we present a multi-proxy, high-resolution record of forest and lake ecosystem change that occurred during the last 1100 years at middle elevations in Panama. From \~ 900 to 1400 CE, regional forest and lake ecosystems were characterized by high seasonality, probably associated with both high El Nino activity and higher global temperatures. At \~ 1400 CE, an abrupt transition marked the decoupling of forest and lake responses, with forest responding mostly to local patterns of human occupation, and lake trophic status being controlled mostly by the regional precipitation-evaporation balance, possibly associated with solar irradiance. Factors that played important roles in shaping regional ecosystems during the last 1100 years will probably again play critical roles within the coming decades, i.e. higher precipitation seasonality and higher temperatures. Past responses of the system, together with pervasive human activities, suggest that future conditions will simplify mid-elevation forests. Given the importance of these geographical locations as hotspots of biological diversity, substantial losses of global biodiversity are foreseen.</t>
  </si>
  <si>
    <t>731-740</t>
  </si>
  <si>
    <t>Correa-Metrio2016_34.i</t>
  </si>
  <si>
    <t>Lago San Carlos</t>
  </si>
  <si>
    <t>Correa-Metrio2016_34.ii</t>
  </si>
  <si>
    <t>Carlo Erba NA 1500 elemental analyser</t>
  </si>
  <si>
    <t>Correa-Metrio2016_34.iii</t>
  </si>
  <si>
    <t>Correa-Metrio2016_34.iv</t>
  </si>
  <si>
    <t>Clark, 1988</t>
  </si>
  <si>
    <t>Wahl2016_193</t>
  </si>
  <si>
    <t>Wahl, D.; Hansen, R. D.; Byrne, R.; Anderson, L.; Schreiner, T.</t>
  </si>
  <si>
    <t>Holocene climate variability and anthropogenic impacts from Lago Paixban, a perennial wetland in Peten, Guatemala</t>
  </si>
  <si>
    <t>Analyses of an \~ 6 m sediment core from Lago Paixban in Peten, Guatemala, document the complex evolution of a perennial wetland over the last 10,300 years. The basal sediment is comprised of alluvial/colluvial fill deposited in the early Holocene. The absence of pollen and gastropods in the basal sediments suggests intermittently dry conditions until \~ 9000 cal yr. BP (henceforth BP) when the basin began to hold water perennially. Lowland tropical forest taxa dominated the local vegetation at this time. A distinct band of carbonate dating to \~ 8200 BP suggests regionally dry conditions, possibly associated with the 8.2 ka event. Wetter conditions during the Holocene Thermal Maximum are indicated by evidence of a raised water level and an open water lake. The timing of this interval coincides with strengthening of the Central American Monsoon. An abrupt change at 5500 BP involved the development of a sawgrass marsh and onset of peat deposition. The lowest recorded water levels date to 5500-4500 BP. Pollen, isotope, geochemical, and sedimentological data indicate that the coring site was near the edge of the marsh during this period. A rise in the water table after 4500 BP persisted until around 3500 BP. Clay marl deposition from 3500 to 210 BP corresponds to the period of Maya settlement. An increase in delta 13C, the presence of Zea pollen, and a reduction in the percentage of forest taxa pollen indicate agricultural activity at this time. In contrast to several nearby paleoenvironmental studies, proxy evidence from Lago Paixban indicates human presence through the Classic/Postclassic period transition ( \~ 1000 BP) and persisting until the arrival of Europeans. Cessation of human activity around 210 BP resulted in local afforestation and the re-establishment of the current sawgrass marsh at Lago Paixban.</t>
  </si>
  <si>
    <t>70-81</t>
  </si>
  <si>
    <t>Wahl2016_193.i</t>
  </si>
  <si>
    <t>Emergent aquatic plant fragments, wood, seeds, and insect fragments</t>
  </si>
  <si>
    <t>Wahl2016_193.ii</t>
  </si>
  <si>
    <t>Wahl2016_193.iii</t>
  </si>
  <si>
    <t>Wahl2016_193.iv</t>
  </si>
  <si>
    <t>Wahl2016_193.v</t>
  </si>
  <si>
    <t>Wu2020_197</t>
  </si>
  <si>
    <t>Wu, J.; Porinchu, D. F.</t>
  </si>
  <si>
    <t>A high-resolution sedimentary charcoal- and geochemistry-based reconstruction of late Holocene fire regimes in the páramo of Chirripó National Park, Costa Rica</t>
  </si>
  <si>
    <t>10.1017/qua.2019.64</t>
  </si>
  <si>
    <t>Multiproxy analysis of two sediment cores recovered from lagos Morrenas 3C and Ditkebi, located in the páramo of Costa Rica's Chirripó National Park, was undertaken to develop multidecadal-scale reconstructions of late Holocene fire regimes for the region. Analysis of macroscopic charcoal and sediment geochemistry (C%, N%, δ13C, δ15N, and C/N ratios) documents periodic burning of the páramo in Chirripó National Park during the past ∼1700 yr. The charcoal records provide evidence of high fire frequency between AD ∼560 and 720 and between AD ∼980 and 1230. Severe fire episodes are reflected by a rapid increase in the flux of carbon (C) and nitrogen (N) from the surrounding catchment because of the volatilization of páramo vegetation. Additionally, δ15N, which sharply increases following local fire events, captures postfire changes in nutrient loading and, likely, the decadal-scale rate of postfire recovery of páramo vegetation. The consistently high δ13C and C/N values observed between AD ∼700 and 1100 suggest an expansion of Muhlenbergia, a native C4 grass growing near shore, suggesting that the interval between AD ∼700 and 1100, broadly corresponding to the Terminal Classic Drought and Medieval Climate Anomaly, was characterized by a decrease in effective moisture and temperature. © Copyright University of Washington. Published by Cambridge University Press, 2019.</t>
  </si>
  <si>
    <t>314-329</t>
  </si>
  <si>
    <t>Wu2020_197.i</t>
  </si>
  <si>
    <t xml:space="preserve">Charcoal (Microscopic) </t>
  </si>
  <si>
    <t>Wu2020_197.ii</t>
  </si>
  <si>
    <t>Freeze Dried, HCL</t>
  </si>
  <si>
    <t>Wu2020_197.iii</t>
  </si>
  <si>
    <t>Wu2020_197.iv</t>
  </si>
  <si>
    <t>Charcoal, Aquatic Moss</t>
  </si>
  <si>
    <t>Wu2020_197.v</t>
  </si>
  <si>
    <t>Wu2020_197.vi</t>
  </si>
  <si>
    <t>No. Studies</t>
  </si>
  <si>
    <t>Total No. Forest Proxies</t>
  </si>
  <si>
    <t>Total No. Land Use Change</t>
  </si>
  <si>
    <t>Total No. Water</t>
  </si>
  <si>
    <t>Total</t>
  </si>
  <si>
    <t>Total Number of Proxies</t>
  </si>
  <si>
    <t>Year</t>
  </si>
  <si>
    <t>Total No. Studies</t>
  </si>
  <si>
    <t>Good Dating Practice (Bottom of Sequence Dated Only, No Hiatus or Hiatus Constained), Raw Data Not Available</t>
  </si>
  <si>
    <t>Less Good Dating Practice (Bottom of Sequence Not Dated)</t>
  </si>
  <si>
    <t>Best Dating Practice (Constrained Sequence, Raw Data Available)</t>
  </si>
  <si>
    <t>Best Dating Practice (Constrained Sequence, Raw Data Not Available)</t>
  </si>
  <si>
    <t>Low Risk of Bias</t>
  </si>
  <si>
    <t>PDF Found</t>
  </si>
  <si>
    <t>Splits</t>
  </si>
  <si>
    <t xml:space="preserve">Proxy resolution (max time step est) </t>
  </si>
  <si>
    <t xml:space="preserve">Proxy resolution (min time step est) </t>
  </si>
  <si>
    <t>Proxy resolution (average time step est.)</t>
  </si>
  <si>
    <t>Cultigen (spp.)</t>
  </si>
  <si>
    <t>Date of earliest evidence of agriculture</t>
  </si>
  <si>
    <t>Morphological characterisation (macroscopic charcoal)</t>
  </si>
  <si>
    <t>Size of sieves used μm (charcoal)</t>
  </si>
  <si>
    <t>Suitable for meta analysis with raw data?</t>
  </si>
  <si>
    <t>Other Raw Data Notes</t>
  </si>
  <si>
    <t>Will</t>
  </si>
  <si>
    <t>Leo</t>
  </si>
  <si>
    <t>Zea Mays</t>
  </si>
  <si>
    <t>Zea Mays|Manihot esculentum|Gossypium|Capsicum</t>
  </si>
  <si>
    <t>&gt;500</t>
  </si>
  <si>
    <t>Zea mays</t>
  </si>
  <si>
    <t>Charcoal (Macro)</t>
  </si>
  <si>
    <r>
      <rPr>
        <rFont val="Arial"/>
        <color rgb="FF1155CC"/>
        <u/>
      </rPr>
      <t>https://doi.org/10.1006/qres.2001.2305</t>
    </r>
    <r>
      <rPr>
        <rFont val="Arial"/>
        <color rgb="FF1155CC"/>
        <u/>
      </rPr>
      <t>5</t>
    </r>
  </si>
  <si>
    <r>
      <rPr>
        <rFont val="Arial"/>
        <color rgb="FF1155CC"/>
        <u/>
      </rPr>
      <t>https://doi.org/10.1006/qres.2001.2305</t>
    </r>
    <r>
      <rPr>
        <rFont val="Arial"/>
        <color rgb="FF1155CC"/>
        <u/>
      </rPr>
      <t>5</t>
    </r>
  </si>
  <si>
    <t>Metcalfe2009_127.viii</t>
  </si>
  <si>
    <t>Carlo-Elba NA 1500 Elemental Analyser</t>
  </si>
  <si>
    <t>Ratio</t>
  </si>
  <si>
    <t>Climate;Flooding;Precipitation;Vegetation</t>
  </si>
  <si>
    <t>Data probably the same as Douglas2014_44 and is available</t>
  </si>
  <si>
    <t>Data probably the same as Douglas2014_44</t>
  </si>
  <si>
    <t>Catchment Erosion;Land Use Change;Vegetation</t>
  </si>
  <si>
    <t>Sediment Core</t>
  </si>
  <si>
    <t>Trophic Status;Water Level</t>
  </si>
  <si>
    <t>Capsicum|Zea mays</t>
  </si>
  <si>
    <t xml:space="preserve">Fire </t>
  </si>
  <si>
    <t>&lt;150</t>
  </si>
  <si>
    <t>&gt;150</t>
  </si>
  <si>
    <t>&gt;10 - &lt;150</t>
  </si>
  <si>
    <t>Proxy Interpretation</t>
  </si>
  <si>
    <t>Vegetation;Land Use Change;Agriculture</t>
  </si>
  <si>
    <t>Agriculture;Land Use Change;Vegetation</t>
  </si>
  <si>
    <t>Climate;Precipitation;Vegetation;Land Use Change;Agriculture</t>
  </si>
  <si>
    <t>Agriculture;Climate;Land Use Change;Precipitation;Vegetation</t>
  </si>
  <si>
    <t>Vegetation;Water Level;Land Use Change;Agriculture</t>
  </si>
  <si>
    <t>Agriculture;Land Use Change;Vegetation;Water Level</t>
  </si>
  <si>
    <t>Climate;Flooding;Precipitation;Vegetation;Land Use Change;Agriculture</t>
  </si>
  <si>
    <t>Agriculture;Climate;Flooding;Land Use Change;Precipitation;Vegetation</t>
  </si>
  <si>
    <t>Climate;Vegetation;Land Use Change;Agriculture</t>
  </si>
  <si>
    <t>Agriculture;Climate;Land Use Change;Vegetation</t>
  </si>
  <si>
    <t>Land Use Change;Vegetation;Land Use Change;Agriculture</t>
  </si>
  <si>
    <t>Agriculture;Land Use Change;Land Use Change;Vegetation</t>
  </si>
  <si>
    <t>Productivity;Water Level</t>
  </si>
  <si>
    <t>Climate;Precipitation;Sea Level;Temperature;Vegetation;Land Use Change;Agriculture</t>
  </si>
  <si>
    <t>Agriculture;Climate;Land Use Change;Precipitation;Sea Level;Temperature;Vegetation</t>
  </si>
  <si>
    <t>Climate;Land Use Change;Vegetation;Land Use Change;Agriculture</t>
  </si>
  <si>
    <t>Agriculture;Climate;Land Use Change;Land Use Change;Vegetation</t>
  </si>
  <si>
    <t>Alphabetised</t>
  </si>
  <si>
    <t>Water Level|Sedimentation</t>
  </si>
  <si>
    <t>Vegetation|Climate</t>
  </si>
  <si>
    <t>Vegetation|Water Level</t>
  </si>
  <si>
    <t>Vegetation|Climate|Water Level</t>
  </si>
  <si>
    <t>Climate|Water Level</t>
  </si>
  <si>
    <t>Precipitation|Climate</t>
  </si>
  <si>
    <t>Vegetation|Temperature</t>
  </si>
  <si>
    <t>Climate|Precipitation</t>
  </si>
  <si>
    <t>Land Use Change|Climate</t>
  </si>
  <si>
    <t>Precipitation|Climate|Seasonality</t>
  </si>
  <si>
    <t>Water Level|Salinity</t>
  </si>
  <si>
    <t>Water Level|Climate|Precipitation</t>
  </si>
  <si>
    <t>Climate|Vegetation</t>
  </si>
  <si>
    <t>Climate|Precipitation|Ground Water</t>
  </si>
  <si>
    <t>Vegetation|Land Use Change</t>
  </si>
  <si>
    <t>Climate|Precipitation|Tropical Cyclones</t>
  </si>
  <si>
    <t>Catchment Erosion|Climate</t>
  </si>
  <si>
    <t>Vegetation|Climate|Precipitation</t>
  </si>
  <si>
    <t>Vegetation|Sea Level|Flooding</t>
  </si>
  <si>
    <t>Sea Level|Flooding</t>
  </si>
  <si>
    <t>Hydrological System (Open vs Closed)|Salinity</t>
  </si>
  <si>
    <t>Climate|Precipitation|Sea Level</t>
  </si>
  <si>
    <t>Vegetation|Land Use Change|Climate</t>
  </si>
  <si>
    <t>Vegetation|Climate|Precipitation|Flooding</t>
  </si>
  <si>
    <t>Catchment Erosion|Climate|Precipitation</t>
  </si>
  <si>
    <t>Precipitation|Climate|Sea Level</t>
  </si>
  <si>
    <t>Vegetation|Climate|Temperature|Precipitation</t>
  </si>
  <si>
    <t>Vegetation|Sea Level|Salinity</t>
  </si>
  <si>
    <t>Catchment Erosion|Precipitation</t>
  </si>
  <si>
    <t>Water Level|Trophic Status|Conductivity</t>
  </si>
  <si>
    <t>Catchment Erosion|Volcanic Eruptions</t>
  </si>
  <si>
    <t>Climate|Precipitation|Water Level</t>
  </si>
  <si>
    <t>Tropical Cyclones|Precipitation|Climate</t>
  </si>
  <si>
    <t>Climate|Salinity|Trophic Status|Water Level</t>
  </si>
  <si>
    <t>Catchment Erosion|Land Use Change</t>
  </si>
  <si>
    <t>Flooding|Tropical Cyclones</t>
  </si>
  <si>
    <t>Vegetation|Climate|Temperature|Precipitation|Sea Level</t>
  </si>
  <si>
    <t>Climate|Precipitation|Vegetation</t>
  </si>
  <si>
    <t>Vegetation|Catchment Erosion|Land Use Change</t>
  </si>
  <si>
    <t>Vegetation|Catchment Erosion</t>
  </si>
  <si>
    <t>Climate|Temperature</t>
  </si>
  <si>
    <t>Climate|Precipitation|Catchment Erosion|Land Use Change</t>
  </si>
  <si>
    <t>Water Level|Trophic Status</t>
  </si>
  <si>
    <t>Water Level|Salinity|Sea Level</t>
  </si>
  <si>
    <t>Catchment Erosion|Trophic Status</t>
  </si>
  <si>
    <t>Water Level| Productivity</t>
  </si>
  <si>
    <t>FID</t>
  </si>
  <si>
    <t>Shape</t>
  </si>
  <si>
    <t>OBJECTID</t>
  </si>
  <si>
    <t>Study_ID</t>
  </si>
  <si>
    <t>Y</t>
  </si>
  <si>
    <t>X</t>
  </si>
  <si>
    <t>FID_1</t>
  </si>
  <si>
    <t>FID_Centra</t>
  </si>
  <si>
    <t>CNTRY_NAME</t>
  </si>
  <si>
    <t>FID_Ecoreg</t>
  </si>
  <si>
    <t>OBJECTID_1</t>
  </si>
  <si>
    <t>BIOME_NUM</t>
  </si>
  <si>
    <t>REALM</t>
  </si>
  <si>
    <t>ECO_BIOME_</t>
  </si>
  <si>
    <t>NNH</t>
  </si>
  <si>
    <t>ECO_ID</t>
  </si>
  <si>
    <t>SHAPE_LENG</t>
  </si>
  <si>
    <t>SHAPE_AREA</t>
  </si>
  <si>
    <t>LICENSE</t>
  </si>
  <si>
    <t>Distance</t>
  </si>
  <si>
    <t>Average_An</t>
  </si>
  <si>
    <t>Covariance</t>
  </si>
  <si>
    <t>Driest_Mon</t>
  </si>
  <si>
    <t>Driest_Qua</t>
  </si>
  <si>
    <t>Wettest_Mo</t>
  </si>
  <si>
    <t>Wettest_Qu</t>
  </si>
  <si>
    <t>Meters_Abo</t>
  </si>
  <si>
    <t>Point</t>
  </si>
  <si>
    <t>Neotropic</t>
  </si>
  <si>
    <t>NO07</t>
  </si>
  <si>
    <t>CC-BY 4.0</t>
  </si>
  <si>
    <t>NO14</t>
  </si>
  <si>
    <t>NO01</t>
  </si>
  <si>
    <t>NO02</t>
  </si>
  <si>
    <t>NO03</t>
  </si>
  <si>
    <t>Population (million)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</si>
</sst>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14">
    <font>
      <sz val="10.0"/>
      <color rgb="FF000000"/>
      <name val="Arial"/>
    </font>
    <font>
      <color theme="1"/>
      <name val="Arial"/>
    </font>
    <font>
      <b/>
      <color theme="1"/>
      <name val="Arial"/>
    </font>
    <font>
      <color rgb="FF000000"/>
      <name val="Roboto"/>
    </font>
    <font>
      <color rgb="FF000000"/>
      <name val="Arial"/>
    </font>
    <font>
      <sz val="11.0"/>
      <color rgb="FF000000"/>
      <name val="Inconsolata"/>
    </font>
    <font>
      <sz val="11.0"/>
      <color rgb="FF000000"/>
      <name val="Calibri"/>
    </font>
    <font>
      <b/>
      <sz val="11.0"/>
      <color theme="1"/>
      <name val="Calibri"/>
    </font>
    <font>
      <sz val="11.0"/>
      <color theme="1"/>
      <name val="Calibri"/>
    </font>
    <font>
      <u/>
      <color rgb="FF1155CC"/>
      <name val="Arial"/>
    </font>
    <font>
      <sz val="12.0"/>
      <color rgb="FF000000"/>
      <name val="Calibri"/>
    </font>
    <font>
      <u/>
      <color rgb="FF0000FF"/>
    </font>
    <font>
      <sz val="11.0"/>
      <color rgb="FF222222"/>
      <name val="Arial"/>
    </font>
    <font>
      <b/>
      <sz val="11.0"/>
      <color rgb="FF222222"/>
      <name val="Arial"/>
    </font>
  </fonts>
  <fills count="16">
    <fill>
      <patternFill patternType="none"/>
    </fill>
    <fill>
      <patternFill patternType="lightGray"/>
    </fill>
    <fill>
      <patternFill patternType="solid">
        <fgColor rgb="FFFFFF00"/>
        <bgColor rgb="FFFFFF00"/>
      </patternFill>
    </fill>
    <fill>
      <patternFill patternType="solid">
        <fgColor rgb="FFFFF2CC"/>
        <bgColor rgb="FFFFF2CC"/>
      </patternFill>
    </fill>
    <fill>
      <patternFill patternType="solid">
        <fgColor rgb="FFFFFFFF"/>
        <bgColor rgb="FFFFFFFF"/>
      </patternFill>
    </fill>
    <fill>
      <patternFill patternType="solid">
        <fgColor rgb="FFB6D7A8"/>
        <bgColor rgb="FFB6D7A8"/>
      </patternFill>
    </fill>
    <fill>
      <patternFill patternType="solid">
        <fgColor rgb="FF674EA7"/>
        <bgColor rgb="FF674EA7"/>
      </patternFill>
    </fill>
    <fill>
      <patternFill patternType="solid">
        <fgColor rgb="FFCFE2F3"/>
        <bgColor rgb="FFCFE2F3"/>
      </patternFill>
    </fill>
    <fill>
      <patternFill patternType="solid">
        <fgColor rgb="FFB7B7B7"/>
        <bgColor rgb="FFB7B7B7"/>
      </patternFill>
    </fill>
    <fill>
      <patternFill patternType="solid">
        <fgColor rgb="FFFF0000"/>
        <bgColor rgb="FFFF0000"/>
      </patternFill>
    </fill>
    <fill>
      <patternFill patternType="solid">
        <fgColor rgb="FFF4CCCC"/>
        <bgColor rgb="FFF4CCCC"/>
      </patternFill>
    </fill>
    <fill>
      <patternFill patternType="solid">
        <fgColor rgb="FFD9D2E9"/>
        <bgColor rgb="FFD9D2E9"/>
      </patternFill>
    </fill>
    <fill>
      <patternFill patternType="solid">
        <fgColor rgb="FFEAD1DC"/>
        <bgColor rgb="FFEAD1DC"/>
      </patternFill>
    </fill>
    <fill>
      <patternFill patternType="solid">
        <fgColor rgb="FFFF9900"/>
        <bgColor rgb="FFFF9900"/>
      </patternFill>
    </fill>
    <fill>
      <patternFill patternType="solid">
        <fgColor rgb="FFF9F9F9"/>
        <bgColor rgb="FFF9F9F9"/>
      </patternFill>
    </fill>
    <fill>
      <patternFill patternType="solid">
        <fgColor rgb="FFF5F5F5"/>
        <bgColor rgb="FFF5F5F5"/>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5">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0" xfId="0" applyAlignment="1" applyFont="1">
      <alignment readingOrder="0"/>
    </xf>
    <xf borderId="0" fillId="2" fontId="2" numFmtId="0" xfId="0" applyAlignment="1" applyFill="1" applyFont="1">
      <alignment vertical="bottom"/>
    </xf>
    <xf borderId="0" fillId="2" fontId="1" numFmtId="0" xfId="0" applyAlignment="1" applyFont="1">
      <alignment readingOrder="0" vertical="bottom"/>
    </xf>
    <xf borderId="0" fillId="3" fontId="1" numFmtId="0" xfId="0" applyAlignment="1" applyFill="1" applyFont="1">
      <alignment readingOrder="0" vertical="bottom"/>
    </xf>
    <xf borderId="0" fillId="2" fontId="1" numFmtId="0" xfId="0" applyFont="1"/>
    <xf borderId="0" fillId="4" fontId="3" numFmtId="0" xfId="0" applyAlignment="1" applyFill="1" applyFont="1">
      <alignment readingOrder="0"/>
    </xf>
    <xf borderId="0" fillId="2" fontId="1" numFmtId="0" xfId="0" applyAlignment="1" applyFont="1">
      <alignment readingOrder="0"/>
    </xf>
    <xf borderId="0" fillId="2" fontId="1" numFmtId="0" xfId="0" applyAlignment="1" applyFont="1">
      <alignment readingOrder="0"/>
    </xf>
    <xf borderId="0" fillId="4" fontId="4" numFmtId="0" xfId="0" applyAlignment="1" applyFont="1">
      <alignment horizontal="left" readingOrder="0"/>
    </xf>
    <xf borderId="0" fillId="0" fontId="1" numFmtId="0" xfId="0" applyAlignment="1" applyFont="1">
      <alignment vertical="bottom"/>
    </xf>
    <xf borderId="0" fillId="0" fontId="1" numFmtId="0" xfId="0" applyAlignment="1" applyFont="1">
      <alignment horizontal="right" vertical="bottom"/>
    </xf>
    <xf borderId="0" fillId="0" fontId="1" numFmtId="0" xfId="0" applyAlignment="1" applyFont="1">
      <alignment readingOrder="0" vertical="bottom"/>
    </xf>
    <xf borderId="0" fillId="3" fontId="1" numFmtId="0" xfId="0" applyAlignment="1" applyFont="1">
      <alignment vertical="bottom"/>
    </xf>
    <xf borderId="0" fillId="4" fontId="5" numFmtId="0" xfId="0" applyFont="1"/>
    <xf borderId="0" fillId="0" fontId="6" numFmtId="0" xfId="0" applyAlignment="1" applyFont="1">
      <alignment readingOrder="0" shrinkToFit="0" vertical="bottom" wrapText="0"/>
    </xf>
    <xf borderId="0" fillId="0" fontId="6" numFmtId="0" xfId="0" applyAlignment="1" applyFont="1">
      <alignment horizontal="right" readingOrder="0" shrinkToFit="0" vertical="bottom" wrapText="0"/>
    </xf>
    <xf borderId="0" fillId="0" fontId="2" numFmtId="0" xfId="0" applyAlignment="1" applyFont="1">
      <alignment horizontal="center" vertical="bottom"/>
    </xf>
    <xf borderId="0" fillId="5" fontId="2" numFmtId="0" xfId="0" applyAlignment="1" applyFill="1" applyFont="1">
      <alignment horizontal="center" vertical="bottom"/>
    </xf>
    <xf borderId="0" fillId="5" fontId="2" numFmtId="0" xfId="0" applyAlignment="1" applyFont="1">
      <alignment horizontal="center" readingOrder="0" vertical="bottom"/>
    </xf>
    <xf borderId="0" fillId="5" fontId="7" numFmtId="0" xfId="0" applyAlignment="1" applyFont="1">
      <alignment horizontal="center" readingOrder="0" vertical="bottom"/>
    </xf>
    <xf borderId="0" fillId="6" fontId="2" numFmtId="0" xfId="0" applyAlignment="1" applyFill="1" applyFont="1">
      <alignment horizontal="center" readingOrder="0" vertical="bottom"/>
    </xf>
    <xf borderId="0" fillId="7" fontId="7" numFmtId="0" xfId="0" applyAlignment="1" applyFill="1" applyFont="1">
      <alignment vertical="bottom"/>
    </xf>
    <xf borderId="0" fillId="3" fontId="2" numFmtId="0" xfId="0" applyAlignment="1" applyFont="1">
      <alignment readingOrder="0" vertical="bottom"/>
    </xf>
    <xf borderId="0" fillId="2" fontId="7" numFmtId="0" xfId="0" applyAlignment="1" applyFont="1">
      <alignment vertical="bottom"/>
    </xf>
    <xf borderId="0" fillId="5" fontId="2" numFmtId="0" xfId="0" applyAlignment="1" applyFont="1">
      <alignment vertical="bottom"/>
    </xf>
    <xf borderId="0" fillId="5" fontId="7" numFmtId="0" xfId="0" applyAlignment="1" applyFont="1">
      <alignment vertical="bottom"/>
    </xf>
    <xf borderId="0" fillId="8" fontId="7" numFmtId="0" xfId="0" applyAlignment="1" applyFill="1" applyFont="1">
      <alignment vertical="bottom"/>
    </xf>
    <xf borderId="0" fillId="9" fontId="7" numFmtId="0" xfId="0" applyAlignment="1" applyFill="1" applyFont="1">
      <alignment vertical="bottom"/>
    </xf>
    <xf borderId="0" fillId="3" fontId="2" numFmtId="0" xfId="0" applyAlignment="1" applyFont="1">
      <alignment vertical="bottom"/>
    </xf>
    <xf borderId="0" fillId="10" fontId="7" numFmtId="0" xfId="0" applyAlignment="1" applyFill="1" applyFont="1">
      <alignment vertical="bottom"/>
    </xf>
    <xf borderId="0" fillId="3" fontId="1" numFmtId="0" xfId="0" applyAlignment="1" applyFont="1">
      <alignment vertical="bottom"/>
    </xf>
    <xf borderId="0" fillId="3" fontId="1" numFmtId="0" xfId="0" applyAlignment="1" applyFont="1">
      <alignment horizontal="right" vertical="bottom"/>
    </xf>
    <xf borderId="0" fillId="3" fontId="1" numFmtId="0" xfId="0" applyAlignment="1" applyFont="1">
      <alignment horizontal="center" readingOrder="0" vertical="bottom"/>
    </xf>
    <xf borderId="0" fillId="3" fontId="8" numFmtId="0" xfId="0" applyAlignment="1" applyFont="1">
      <alignment vertical="bottom"/>
    </xf>
    <xf borderId="0" fillId="3" fontId="8" numFmtId="0" xfId="0" applyAlignment="1" applyFont="1">
      <alignment horizontal="right" vertical="bottom"/>
    </xf>
    <xf borderId="0" fillId="3" fontId="8" numFmtId="0" xfId="0" applyAlignment="1" applyFont="1">
      <alignment readingOrder="0" vertical="bottom"/>
    </xf>
    <xf borderId="0" fillId="11" fontId="1" numFmtId="0" xfId="0" applyAlignment="1" applyFill="1" applyFont="1">
      <alignment readingOrder="0" vertical="bottom"/>
    </xf>
    <xf borderId="0" fillId="9" fontId="1" numFmtId="0" xfId="0" applyAlignment="1" applyFont="1">
      <alignment readingOrder="0" vertical="bottom"/>
    </xf>
    <xf borderId="0" fillId="2" fontId="1" numFmtId="0" xfId="0" applyAlignment="1" applyFont="1">
      <alignment vertical="bottom"/>
    </xf>
    <xf borderId="0" fillId="2" fontId="8" numFmtId="0" xfId="0" applyAlignment="1" applyFont="1">
      <alignment horizontal="right" vertical="bottom"/>
    </xf>
    <xf borderId="0" fillId="2" fontId="8" numFmtId="0" xfId="0" applyAlignment="1" applyFont="1">
      <alignment vertical="bottom"/>
    </xf>
    <xf borderId="0" fillId="3" fontId="4" numFmtId="0" xfId="0" applyAlignment="1" applyFont="1">
      <alignment vertical="bottom"/>
    </xf>
    <xf borderId="1" fillId="3" fontId="1" numFmtId="0" xfId="0" applyAlignment="1" applyBorder="1" applyFont="1">
      <alignment shrinkToFit="0" vertical="bottom" wrapText="0"/>
    </xf>
    <xf borderId="1" fillId="3" fontId="1" numFmtId="0" xfId="0" applyAlignment="1" applyBorder="1" applyFont="1">
      <alignment vertical="bottom"/>
    </xf>
    <xf borderId="0" fillId="3" fontId="1" numFmtId="0" xfId="0" applyAlignment="1" applyFont="1">
      <alignment horizontal="right" vertical="bottom"/>
    </xf>
    <xf borderId="0" fillId="3" fontId="1" numFmtId="0" xfId="0" applyAlignment="1" applyFont="1">
      <alignment vertical="bottom"/>
    </xf>
    <xf borderId="1" fillId="3" fontId="1" numFmtId="0" xfId="0" applyAlignment="1" applyBorder="1" applyFont="1">
      <alignment shrinkToFit="0" vertical="bottom" wrapText="0"/>
    </xf>
    <xf borderId="0" fillId="3" fontId="9" numFmtId="0" xfId="0" applyAlignment="1" applyFont="1">
      <alignment vertical="bottom"/>
    </xf>
    <xf borderId="0" fillId="3" fontId="1" numFmtId="0" xfId="0" applyAlignment="1" applyFont="1">
      <alignment horizontal="right" readingOrder="0" vertical="bottom"/>
    </xf>
    <xf borderId="0" fillId="3" fontId="8" numFmtId="0" xfId="0" applyAlignment="1" applyFont="1">
      <alignment horizontal="center" readingOrder="0" vertical="bottom"/>
    </xf>
    <xf borderId="0" fillId="2" fontId="8" numFmtId="0" xfId="0" applyAlignment="1" applyFont="1">
      <alignment horizontal="center" readingOrder="0" vertical="bottom"/>
    </xf>
    <xf borderId="0" fillId="2" fontId="8" numFmtId="0" xfId="0" applyAlignment="1" applyFont="1">
      <alignment readingOrder="0" vertical="bottom"/>
    </xf>
    <xf borderId="0" fillId="3" fontId="4" numFmtId="0" xfId="0" applyAlignment="1" applyFont="1">
      <alignment vertical="bottom"/>
    </xf>
    <xf borderId="0" fillId="3" fontId="1" numFmtId="164" xfId="0" applyAlignment="1" applyFont="1" applyNumberFormat="1">
      <alignment horizontal="right" vertical="bottom"/>
    </xf>
    <xf borderId="1" fillId="2" fontId="1" numFmtId="0" xfId="0" applyAlignment="1" applyBorder="1" applyFont="1">
      <alignment readingOrder="0" shrinkToFit="0" vertical="bottom" wrapText="0"/>
    </xf>
    <xf borderId="1" fillId="3" fontId="1" numFmtId="0" xfId="0" applyAlignment="1" applyBorder="1" applyFont="1">
      <alignment readingOrder="0" shrinkToFit="0" vertical="bottom" wrapText="0"/>
    </xf>
    <xf borderId="0" fillId="3" fontId="1" numFmtId="14" xfId="0" applyAlignment="1" applyFont="1" applyNumberFormat="1">
      <alignment horizontal="right" vertical="bottom"/>
    </xf>
    <xf borderId="1" fillId="2" fontId="1" numFmtId="0" xfId="0" applyAlignment="1" applyBorder="1" applyFont="1">
      <alignment readingOrder="0" vertical="bottom"/>
    </xf>
    <xf borderId="0" fillId="2" fontId="8" numFmtId="0" xfId="0" applyAlignment="1" applyFont="1">
      <alignment horizontal="right" readingOrder="0" vertical="bottom"/>
    </xf>
    <xf borderId="0" fillId="3" fontId="1" numFmtId="0" xfId="0" applyAlignment="1" applyFont="1">
      <alignment readingOrder="0" shrinkToFit="0" vertical="bottom" wrapText="0"/>
    </xf>
    <xf borderId="0" fillId="3" fontId="4" numFmtId="0" xfId="0" applyAlignment="1" applyFont="1">
      <alignment readingOrder="0" vertical="bottom"/>
    </xf>
    <xf borderId="0" fillId="2" fontId="4" numFmtId="0" xfId="0" applyAlignment="1" applyFont="1">
      <alignment vertical="bottom"/>
    </xf>
    <xf borderId="1" fillId="3" fontId="8" numFmtId="0" xfId="0" applyAlignment="1" applyBorder="1" applyFont="1">
      <alignment shrinkToFit="0" vertical="bottom" wrapText="0"/>
    </xf>
    <xf borderId="0" fillId="3" fontId="3" numFmtId="0" xfId="0" applyAlignment="1" applyFont="1">
      <alignment vertical="bottom"/>
    </xf>
    <xf borderId="0" fillId="3" fontId="1" numFmtId="164" xfId="0" applyAlignment="1" applyFont="1" applyNumberFormat="1">
      <alignment readingOrder="0" vertical="bottom"/>
    </xf>
    <xf borderId="0" fillId="2" fontId="1" numFmtId="0" xfId="0" applyAlignment="1" applyFont="1">
      <alignment horizontal="right" vertical="bottom"/>
    </xf>
    <xf borderId="0" fillId="3" fontId="1" numFmtId="164" xfId="0" applyAlignment="1" applyFont="1" applyNumberFormat="1">
      <alignment vertical="bottom"/>
    </xf>
    <xf borderId="0" fillId="3" fontId="1" numFmtId="0" xfId="0" applyAlignment="1" applyFont="1">
      <alignment horizontal="center" vertical="bottom"/>
    </xf>
    <xf borderId="0" fillId="3" fontId="4" numFmtId="0" xfId="0" applyAlignment="1" applyFont="1">
      <alignment horizontal="right" vertical="bottom"/>
    </xf>
    <xf borderId="0" fillId="12" fontId="1" numFmtId="0" xfId="0" applyAlignment="1" applyFill="1" applyFont="1">
      <alignment readingOrder="0" vertical="bottom"/>
    </xf>
    <xf borderId="0" fillId="0" fontId="10" numFmtId="0" xfId="0" applyAlignment="1" applyFont="1">
      <alignment readingOrder="0" shrinkToFit="0" vertical="bottom" wrapText="0"/>
    </xf>
    <xf borderId="0" fillId="13" fontId="7" numFmtId="0" xfId="0" applyAlignment="1" applyFill="1" applyFont="1">
      <alignment vertical="bottom"/>
    </xf>
    <xf borderId="0" fillId="0" fontId="2" numFmtId="0" xfId="0" applyFont="1"/>
    <xf borderId="0" fillId="0" fontId="2" numFmtId="0" xfId="0" applyAlignment="1" applyFont="1">
      <alignment readingOrder="0"/>
    </xf>
    <xf borderId="0" fillId="13" fontId="1" numFmtId="0" xfId="0" applyAlignment="1" applyFont="1">
      <alignment vertical="bottom"/>
    </xf>
    <xf borderId="0" fillId="0" fontId="11" numFmtId="0" xfId="0" applyAlignment="1" applyFont="1">
      <alignment readingOrder="0"/>
    </xf>
    <xf borderId="0" fillId="14" fontId="12" numFmtId="0" xfId="0" applyAlignment="1" applyFill="1" applyFont="1">
      <alignment horizontal="right" readingOrder="0" vertical="top"/>
    </xf>
    <xf borderId="0" fillId="14" fontId="13" numFmtId="3" xfId="0" applyAlignment="1" applyFont="1" applyNumberFormat="1">
      <alignment horizontal="right" readingOrder="0" vertical="top"/>
    </xf>
    <xf borderId="0" fillId="4" fontId="12" numFmtId="0" xfId="0" applyAlignment="1" applyFont="1">
      <alignment horizontal="right" readingOrder="0" vertical="top"/>
    </xf>
    <xf borderId="0" fillId="4" fontId="13" numFmtId="3" xfId="0" applyAlignment="1" applyFont="1" applyNumberFormat="1">
      <alignment horizontal="right" readingOrder="0" vertical="top"/>
    </xf>
    <xf borderId="0" fillId="15" fontId="12" numFmtId="0" xfId="0" applyAlignment="1" applyFill="1" applyFont="1">
      <alignment horizontal="right" readingOrder="0" vertical="top"/>
    </xf>
    <xf borderId="0" fillId="15" fontId="13" numFmtId="3" xfId="0" applyAlignment="1" applyFont="1" applyNumberFormat="1">
      <alignment horizontal="right" readingOrder="0"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4" Type="http://schemas.openxmlformats.org/officeDocument/2006/relationships/worksheet" Target="worksheets/sheet11.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col"/>
        <c:ser>
          <c:idx val="0"/>
          <c:order val="0"/>
          <c:tx>
            <c:strRef>
              <c:f>'Source of Studies'!$B$1</c:f>
            </c:strRef>
          </c:tx>
          <c:spPr>
            <a:solidFill>
              <a:schemeClr val="accent1"/>
            </a:solidFill>
            <a:ln cmpd="sng">
              <a:solidFill>
                <a:srgbClr val="000000"/>
              </a:solidFill>
            </a:ln>
          </c:spPr>
          <c:trendline>
            <c:name/>
            <c:spPr>
              <a:ln w="19050">
                <a:solidFill>
                  <a:srgbClr val="000000"/>
                </a:solidFill>
              </a:ln>
            </c:spPr>
            <c:trendlineType val="linear"/>
            <c:dispRSqr val="0"/>
            <c:dispEq val="0"/>
          </c:trendline>
          <c:cat>
            <c:strRef>
              <c:f>'Source of Studies'!$A$2:$A$33</c:f>
            </c:strRef>
          </c:cat>
          <c:val>
            <c:numRef>
              <c:f>'Source of Studies'!$B$2:$B$33</c:f>
              <c:numCache/>
            </c:numRef>
          </c:val>
        </c:ser>
        <c:axId val="1343838593"/>
        <c:axId val="1487460782"/>
      </c:barChart>
      <c:catAx>
        <c:axId val="1343838593"/>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487460782"/>
      </c:catAx>
      <c:valAx>
        <c:axId val="14874607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3838593"/>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'Source of Studies'!$G$2:$G$3</c:f>
            </c:strRef>
          </c:cat>
          <c:val>
            <c:numRef>
              <c:f>'Source of Studies'!$H$2:$H$3</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No. Studies vs Journal / Secondary Title</a:t>
            </a:r>
          </a:p>
        </c:rich>
      </c:tx>
      <c:overlay val="0"/>
    </c:title>
    <c:plotArea>
      <c:layout/>
      <c:barChart>
        <c:barDir val="bar"/>
        <c:ser>
          <c:idx val="0"/>
          <c:order val="0"/>
          <c:tx>
            <c:strRef>
              <c:f>'Source of Studies'!$N$1</c:f>
            </c:strRef>
          </c:tx>
          <c:spPr>
            <a:solidFill>
              <a:schemeClr val="accent1"/>
            </a:solidFill>
            <a:ln cmpd="sng">
              <a:solidFill>
                <a:srgbClr val="000000"/>
              </a:solidFill>
            </a:ln>
          </c:spPr>
          <c:cat>
            <c:strRef>
              <c:f>'Source of Studies'!$M$2:$M$11</c:f>
            </c:strRef>
          </c:cat>
          <c:val>
            <c:numRef>
              <c:f>'Source of Studies'!$N$2:$N$11</c:f>
              <c:numCache/>
            </c:numRef>
          </c:val>
        </c:ser>
        <c:axId val="1072948202"/>
        <c:axId val="2123939752"/>
      </c:barChart>
      <c:catAx>
        <c:axId val="1072948202"/>
        <c:scaling>
          <c:orientation val="maxMin"/>
        </c:scaling>
        <c:delete val="0"/>
        <c:axPos val="l"/>
        <c:title>
          <c:tx>
            <c:rich>
              <a:bodyPr/>
              <a:lstStyle/>
              <a:p>
                <a:pPr lvl="0">
                  <a:defRPr b="0">
                    <a:solidFill>
                      <a:srgbClr val="000000"/>
                    </a:solidFill>
                    <a:latin typeface="+mn-lt"/>
                  </a:defRPr>
                </a:pPr>
                <a:r>
                  <a:rPr b="0">
                    <a:solidFill>
                      <a:srgbClr val="000000"/>
                    </a:solidFill>
                    <a:latin typeface="+mn-lt"/>
                  </a:rPr>
                  <a:t>Journal / Secondary Title</a:t>
                </a:r>
              </a:p>
            </c:rich>
          </c:tx>
          <c:overlay val="0"/>
        </c:title>
        <c:numFmt formatCode="General" sourceLinked="1"/>
        <c:majorTickMark val="none"/>
        <c:minorTickMark val="none"/>
        <c:spPr/>
        <c:txPr>
          <a:bodyPr/>
          <a:lstStyle/>
          <a:p>
            <a:pPr lvl="0">
              <a:defRPr b="0">
                <a:solidFill>
                  <a:srgbClr val="000000"/>
                </a:solidFill>
                <a:latin typeface="+mn-lt"/>
              </a:defRPr>
            </a:pPr>
          </a:p>
        </c:txPr>
        <c:crossAx val="2123939752"/>
      </c:catAx>
      <c:valAx>
        <c:axId val="2123939752"/>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No. Studies</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072948202"/>
        <c:crosses val="max"/>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Lbls>
            <c:showLegendKey val="0"/>
            <c:showVal val="0"/>
            <c:showCatName val="0"/>
            <c:showSerName val="0"/>
            <c:showPercent val="0"/>
            <c:showBubbleSize val="0"/>
            <c:showLeaderLines val="1"/>
          </c:dLbls>
          <c:cat>
            <c:strRef>
              <c:f>'Source of Studies'!$P$2:$P$9</c:f>
            </c:strRef>
          </c:cat>
          <c:val>
            <c:numRef>
              <c:f>'Source of Studies'!$R$2:$R$9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tx>
            <c:strRef>
              <c:f>'Type of Environmnetal Archieve'!$B$1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Pt>
            <c:idx val="10"/>
            <c:spPr>
              <a:solidFill>
                <a:srgbClr val="FF994D"/>
              </a:solidFill>
            </c:spPr>
          </c:dPt>
          <c:dPt>
            <c:idx val="11"/>
            <c:spPr>
              <a:solidFill>
                <a:srgbClr val="7ED1D7"/>
              </a:solidFill>
            </c:spPr>
          </c:dPt>
          <c:dPt>
            <c:idx val="12"/>
            <c:spPr>
              <a:solidFill>
                <a:srgbClr val="B3CEFB"/>
              </a:solidFill>
            </c:spPr>
          </c:dPt>
          <c:dPt>
            <c:idx val="13"/>
            <c:spPr>
              <a:solidFill>
                <a:srgbClr val="F7B4AE"/>
              </a:solidFill>
            </c:spPr>
          </c:dPt>
          <c:dPt>
            <c:idx val="14"/>
            <c:spPr>
              <a:solidFill>
                <a:srgbClr val="FDE49B"/>
              </a:solidFill>
            </c:spPr>
          </c:dPt>
          <c:dPt>
            <c:idx val="15"/>
            <c:spPr>
              <a:solidFill>
                <a:srgbClr val="AEDCBA"/>
              </a:solidFill>
            </c:spPr>
          </c:dPt>
          <c:dPt>
            <c:idx val="16"/>
          </c:dPt>
          <c:dPt>
            <c:idx val="17"/>
          </c:dPt>
          <c:dPt>
            <c:idx val="18"/>
          </c:dPt>
          <c:dPt>
            <c:idx val="19"/>
          </c:dPt>
          <c:dPt>
            <c:idx val="20"/>
          </c:dPt>
          <c:dPt>
            <c:idx val="21"/>
          </c:dPt>
          <c:dPt>
            <c:idx val="22"/>
          </c:dPt>
          <c:dPt>
            <c:idx val="23"/>
          </c:dPt>
          <c:dPt>
            <c:idx val="24"/>
          </c:dPt>
          <c:dPt>
            <c:idx val="25"/>
          </c:dPt>
          <c:dPt>
            <c:idx val="26"/>
          </c:dPt>
          <c:dPt>
            <c:idx val="27"/>
          </c:dPt>
          <c:dLbls>
            <c:showLegendKey val="0"/>
            <c:showVal val="0"/>
            <c:showCatName val="0"/>
            <c:showSerName val="0"/>
            <c:showPercent val="0"/>
            <c:showBubbleSize val="0"/>
            <c:showLeaderLines val="1"/>
          </c:dLbls>
          <c:cat>
            <c:strRef>
              <c:f>'Type of Environmnetal Archieve'!$A$2:$A$29</c:f>
            </c:strRef>
          </c:cat>
          <c:val>
            <c:numRef>
              <c:f>'Type of Environmnetal Archieve'!$B$2:$B$29</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Total No. Studies</a:t>
            </a:r>
          </a:p>
        </c:rich>
      </c:tx>
      <c:overlay val="0"/>
    </c:title>
    <c:plotArea>
      <c:layout/>
      <c:pieChart>
        <c:varyColors val="1"/>
        <c:ser>
          <c:idx val="0"/>
          <c:order val="0"/>
          <c:tx>
            <c:strRef>
              <c:f>'Temporal Coverage'!$I$1</c:f>
            </c:strRef>
          </c:tx>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dPt>
          <c:dLbls>
            <c:showLegendKey val="0"/>
            <c:showVal val="0"/>
            <c:showCatName val="0"/>
            <c:showSerName val="0"/>
            <c:showPercent val="0"/>
            <c:showBubbleSize val="0"/>
            <c:showLeaderLines val="1"/>
          </c:dLbls>
          <c:cat>
            <c:strRef>
              <c:f>'Temporal Coverage'!$H$2:$H$6</c:f>
            </c:strRef>
          </c:cat>
          <c:val>
            <c:numRef>
              <c:f>'Temporal Coverage'!$I$2:$I$6</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'World Pop Data'!$C$1</c:f>
            </c:strRef>
          </c:tx>
          <c:spPr>
            <a:ln cmpd="sng">
              <a:solidFill>
                <a:srgbClr val="000000"/>
              </a:solidFill>
              <a:prstDash val="sysDot"/>
            </a:ln>
          </c:spPr>
          <c:marker>
            <c:symbol val="circle"/>
            <c:size val="10"/>
            <c:spPr>
              <a:solidFill>
                <a:srgbClr val="000000"/>
              </a:solidFill>
              <a:ln cmpd="sng">
                <a:solidFill>
                  <a:srgbClr val="000000"/>
                </a:solidFill>
              </a:ln>
            </c:spPr>
          </c:marker>
          <c:dPt>
            <c:idx val="0"/>
            <c:marker>
              <c:symbol val="none"/>
            </c:marker>
          </c:dPt>
          <c:dPt>
            <c:idx val="1"/>
            <c:marker>
              <c:symbol val="none"/>
            </c:marker>
          </c:dPt>
          <c:dPt>
            <c:idx val="2"/>
            <c:marker>
              <c:symbol val="none"/>
            </c:marker>
          </c:dPt>
          <c:dPt>
            <c:idx val="3"/>
            <c:marker>
              <c:symbol val="none"/>
            </c:marker>
          </c:dPt>
          <c:dPt>
            <c:idx val="4"/>
            <c:marker>
              <c:symbol val="none"/>
            </c:marker>
          </c:dPt>
          <c:dPt>
            <c:idx val="5"/>
            <c:marker>
              <c:symbol val="none"/>
            </c:marker>
          </c:dPt>
          <c:dPt>
            <c:idx val="6"/>
            <c:marker>
              <c:symbol val="circle"/>
              <c:size val="10"/>
              <c:spPr>
                <a:solidFill>
                  <a:srgbClr val="FFD966"/>
                </a:solidFill>
                <a:ln cmpd="sng">
                  <a:solidFill>
                    <a:srgbClr val="FFD966"/>
                  </a:solidFill>
                </a:ln>
              </c:spPr>
            </c:marker>
          </c:dPt>
          <c:cat>
            <c:strRef>
              <c:f>'World Pop Data'!$A$2:$A$25</c:f>
            </c:strRef>
          </c:cat>
          <c:val>
            <c:numRef>
              <c:f>'World Pop Data'!$C$2:$C$25</c:f>
              <c:numCache/>
            </c:numRef>
          </c:val>
          <c:smooth val="0"/>
        </c:ser>
        <c:axId val="276631885"/>
        <c:axId val="1940667351"/>
      </c:lineChart>
      <c:catAx>
        <c:axId val="27663188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Year</a:t>
                </a:r>
              </a:p>
            </c:rich>
          </c:tx>
          <c:overlay val="0"/>
        </c:title>
        <c:numFmt formatCode="General" sourceLinked="1"/>
        <c:majorTickMark val="none"/>
        <c:minorTickMark val="none"/>
        <c:spPr/>
        <c:txPr>
          <a:bodyPr/>
          <a:lstStyle/>
          <a:p>
            <a:pPr lvl="0">
              <a:defRPr b="0">
                <a:solidFill>
                  <a:srgbClr val="000000"/>
                </a:solidFill>
                <a:latin typeface="+mn-lt"/>
              </a:defRPr>
            </a:pPr>
          </a:p>
        </c:txPr>
        <c:crossAx val="1940667351"/>
      </c:catAx>
      <c:valAx>
        <c:axId val="1940667351"/>
        <c:scaling>
          <c:orientation val="minMax"/>
        </c:scaling>
        <c:delete val="0"/>
        <c:axPos val="l"/>
        <c:title>
          <c:tx>
            <c:rich>
              <a:bodyPr/>
              <a:lstStyle/>
              <a:p>
                <a:pPr lvl="0">
                  <a:defRPr b="0">
                    <a:solidFill>
                      <a:srgbClr val="000000"/>
                    </a:solidFill>
                    <a:latin typeface="+mn-lt"/>
                  </a:defRPr>
                </a:pPr>
                <a:r>
                  <a:rPr b="0">
                    <a:solidFill>
                      <a:srgbClr val="000000"/>
                    </a:solidFill>
                    <a:latin typeface="+mn-lt"/>
                  </a:rPr>
                  <a:t>Population (million)</a:t>
                </a:r>
              </a:p>
            </c:rich>
          </c:tx>
          <c:overlay val="0"/>
        </c:title>
        <c:numFmt formatCode="General" sourceLinked="1"/>
        <c:majorTickMark val="cross"/>
        <c:minorTickMark val="cross"/>
        <c:tickLblPos val="nextTo"/>
        <c:spPr>
          <a:ln/>
        </c:spPr>
        <c:txPr>
          <a:bodyPr/>
          <a:lstStyle/>
          <a:p>
            <a:pPr lvl="0">
              <a:defRPr b="0">
                <a:solidFill>
                  <a:srgbClr val="000000"/>
                </a:solidFill>
                <a:latin typeface="+mn-lt"/>
              </a:defRPr>
            </a:pPr>
          </a:p>
        </c:txPr>
        <c:crossAx val="276631885"/>
      </c:valAx>
    </c:plotArea>
    <c:legend>
      <c:legendPos val="r"/>
      <c:overlay val="0"/>
      <c:txPr>
        <a:bodyPr/>
        <a:lstStyle/>
        <a:p>
          <a:pPr lvl="0">
            <a:defRPr b="0">
              <a:solidFill>
                <a:srgbClr val="1A1A1A"/>
              </a:solidFill>
              <a:latin typeface="+mn-lt"/>
            </a:defRPr>
          </a:pPr>
        </a:p>
      </c:txPr>
    </c:legend>
    <c:plotVisOnly val="1"/>
  </c:chart>
  <c:spPr>
    <a:solidFill>
      <a:srgbClr val="FFFFFF"/>
    </a:solidFill>
  </c:spPr>
</c:chartSpace>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5</xdr:col>
      <xdr:colOff>866775</xdr:colOff>
      <xdr:row>5</xdr:row>
      <xdr:rowOff>76200</xdr:rowOff>
    </xdr:from>
    <xdr:ext cx="2819400" cy="2057400"/>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495300</xdr:colOff>
      <xdr:row>9</xdr:row>
      <xdr:rowOff>57150</xdr:rowOff>
    </xdr:from>
    <xdr:ext cx="6048375" cy="37338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xdr:col>
      <xdr:colOff>581025</xdr:colOff>
      <xdr:row>4</xdr:row>
      <xdr:rowOff>152400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3</xdr:col>
      <xdr:colOff>419100</xdr:colOff>
      <xdr:row>7</xdr:row>
      <xdr:rowOff>133350</xdr:rowOff>
    </xdr:from>
    <xdr:ext cx="10858500" cy="353377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11</xdr:col>
      <xdr:colOff>200025</xdr:colOff>
      <xdr:row>9</xdr:row>
      <xdr:rowOff>161925</xdr:rowOff>
    </xdr:from>
    <xdr:ext cx="5715000" cy="3533775"/>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438150</xdr:colOff>
      <xdr:row>3</xdr:row>
      <xdr:rowOff>9525</xdr:rowOff>
    </xdr:from>
    <xdr:ext cx="5715000" cy="353377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38100</xdr:colOff>
      <xdr:row>8</xdr:row>
      <xdr:rowOff>104775</xdr:rowOff>
    </xdr:from>
    <xdr:ext cx="12639675"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johnston2001_100.vi" TargetMode="External"/><Relationship Id="rId22" Type="http://schemas.openxmlformats.org/officeDocument/2006/relationships/hyperlink" Target="http://hillesheim2005_75.vi" TargetMode="External"/><Relationship Id="rId21" Type="http://schemas.openxmlformats.org/officeDocument/2006/relationships/hyperlink" Target="http://rosenmeier2002_158.vi" TargetMode="External"/><Relationship Id="rId24" Type="http://schemas.openxmlformats.org/officeDocument/2006/relationships/hyperlink" Target="http://perez2010_142.vi" TargetMode="External"/><Relationship Id="rId23" Type="http://schemas.openxmlformats.org/officeDocument/2006/relationships/hyperlink" Target="http://mueller2009_133.vi" TargetMode="External"/><Relationship Id="rId1" Type="http://schemas.openxmlformats.org/officeDocument/2006/relationships/hyperlink" Target="http://monacci2009_129.vi" TargetMode="External"/><Relationship Id="rId2" Type="http://schemas.openxmlformats.org/officeDocument/2006/relationships/hyperlink" Target="http://monacci2011_130.vi" TargetMode="External"/><Relationship Id="rId3" Type="http://schemas.openxmlformats.org/officeDocument/2006/relationships/hyperlink" Target="http://jaegeun2002_96.vi" TargetMode="External"/><Relationship Id="rId4" Type="http://schemas.openxmlformats.org/officeDocument/2006/relationships/hyperlink" Target="http://metcalfe2009_127.vi" TargetMode="External"/><Relationship Id="rId9" Type="http://schemas.openxmlformats.org/officeDocument/2006/relationships/hyperlink" Target="http://northrop1996_135.vi" TargetMode="External"/><Relationship Id="rId26" Type="http://schemas.openxmlformats.org/officeDocument/2006/relationships/hyperlink" Target="http://luzzadder-beach2017_120.vi" TargetMode="External"/><Relationship Id="rId25" Type="http://schemas.openxmlformats.org/officeDocument/2006/relationships/hyperlink" Target="http://wahl2013_192.vi" TargetMode="External"/><Relationship Id="rId28" Type="http://schemas.openxmlformats.org/officeDocument/2006/relationships/hyperlink" Target="http://hodell2007_78.vi" TargetMode="External"/><Relationship Id="rId27" Type="http://schemas.openxmlformats.org/officeDocument/2006/relationships/hyperlink" Target="http://neff2006_134.vi" TargetMode="External"/><Relationship Id="rId5" Type="http://schemas.openxmlformats.org/officeDocument/2006/relationships/hyperlink" Target="http://adomat2017_5.vi" TargetMode="External"/><Relationship Id="rId6" Type="http://schemas.openxmlformats.org/officeDocument/2006/relationships/hyperlink" Target="http://krause2019_108.vi" TargetMode="External"/><Relationship Id="rId29" Type="http://schemas.openxmlformats.org/officeDocument/2006/relationships/hyperlink" Target="http://gabriel2009_66.vi" TargetMode="External"/><Relationship Id="rId7" Type="http://schemas.openxmlformats.org/officeDocument/2006/relationships/hyperlink" Target="http://krause2019_109.vi" TargetMode="External"/><Relationship Id="rId8" Type="http://schemas.openxmlformats.org/officeDocument/2006/relationships/hyperlink" Target="http://johanson2019_98.vi" TargetMode="External"/><Relationship Id="rId31" Type="http://schemas.openxmlformats.org/officeDocument/2006/relationships/hyperlink" Target="http://bush1992_23.vi" TargetMode="External"/><Relationship Id="rId30" Type="http://schemas.openxmlformats.org/officeDocument/2006/relationships/hyperlink" Target="http://mccloskey2012_122.vi" TargetMode="External"/><Relationship Id="rId11" Type="http://schemas.openxmlformats.org/officeDocument/2006/relationships/hyperlink" Target="http://johanson2020_99.vi" TargetMode="External"/><Relationship Id="rId10" Type="http://schemas.openxmlformats.org/officeDocument/2006/relationships/hyperlink" Target="http://anchukaitis2005_11.vi" TargetMode="External"/><Relationship Id="rId32" Type="http://schemas.openxmlformats.org/officeDocument/2006/relationships/drawing" Target="../drawings/drawing10.xml"/><Relationship Id="rId13" Type="http://schemas.openxmlformats.org/officeDocument/2006/relationships/hyperlink" Target="http://taylor2015_179.vi" TargetMode="External"/><Relationship Id="rId12" Type="http://schemas.openxmlformats.org/officeDocument/2006/relationships/hyperlink" Target="http://taylor2013_177.vi" TargetMode="External"/><Relationship Id="rId15" Type="http://schemas.openxmlformats.org/officeDocument/2006/relationships/hyperlink" Target="http://dull2004_46.vi" TargetMode="External"/><Relationship Id="rId14" Type="http://schemas.openxmlformats.org/officeDocument/2006/relationships/hyperlink" Target="http://wu2020_197.vi" TargetMode="External"/><Relationship Id="rId17" Type="http://schemas.openxmlformats.org/officeDocument/2006/relationships/hyperlink" Target="http://deevey1979_202.vi" TargetMode="External"/><Relationship Id="rId16" Type="http://schemas.openxmlformats.org/officeDocument/2006/relationships/hyperlink" Target="http://caffrey2011_25.vi" TargetMode="External"/><Relationship Id="rId19" Type="http://schemas.openxmlformats.org/officeDocument/2006/relationships/hyperlink" Target="http://curtis1998_36.vi" TargetMode="External"/><Relationship Id="rId18" Type="http://schemas.openxmlformats.org/officeDocument/2006/relationships/hyperlink" Target="http://brenner1990_21.vi"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oi.org/10.1007/BF00045491" TargetMode="External"/><Relationship Id="rId2" Type="http://schemas.openxmlformats.org/officeDocument/2006/relationships/hyperlink" Target="https://doi.org/10.1007/BF00045491" TargetMode="External"/><Relationship Id="rId3" Type="http://schemas.openxmlformats.org/officeDocument/2006/relationships/hyperlink" Target="http://northrop1996_135.vi" TargetMode="External"/><Relationship Id="rId4" Type="http://schemas.openxmlformats.org/officeDocument/2006/relationships/hyperlink" Target="https://doi.org/10.1006/qres.2001.2305" TargetMode="External"/><Relationship Id="rId11" Type="http://schemas.openxmlformats.org/officeDocument/2006/relationships/hyperlink" Target="https://doi.org/10.1016/j.revpalbo.2015.03.003" TargetMode="External"/><Relationship Id="rId10" Type="http://schemas.openxmlformats.org/officeDocument/2006/relationships/hyperlink" Target="https://doi.org/10.1007/s00382-014-2407-y" TargetMode="External"/><Relationship Id="rId12" Type="http://schemas.openxmlformats.org/officeDocument/2006/relationships/drawing" Target="../drawings/drawing6.xml"/><Relationship Id="rId9" Type="http://schemas.openxmlformats.org/officeDocument/2006/relationships/hyperlink" Target="https://doi.org/10.1016/j.gca.2014.06.030" TargetMode="External"/><Relationship Id="rId5" Type="http://schemas.openxmlformats.org/officeDocument/2006/relationships/hyperlink" Target="https://doi.org/10.1006/qres.2001.2305" TargetMode="External"/><Relationship Id="rId6" Type="http://schemas.openxmlformats.org/officeDocument/2006/relationships/hyperlink" Target="https://doi.org/10.1006/qres.2001.2305" TargetMode="External"/><Relationship Id="rId7" Type="http://schemas.openxmlformats.org/officeDocument/2006/relationships/hyperlink" Target="https://doi.org/10.1016/j.yqres.2007.03.002" TargetMode="External"/><Relationship Id="rId8" Type="http://schemas.openxmlformats.org/officeDocument/2006/relationships/hyperlink" Target="https://doi.org/10.1073/pnas.0904760107"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86"/>
    <col customWidth="1" min="4" max="4" width="20.14"/>
  </cols>
  <sheetData>
    <row r="1">
      <c r="A1" s="1" t="s">
        <v>0</v>
      </c>
      <c r="B1" s="1" t="s">
        <v>1</v>
      </c>
      <c r="C1" s="1" t="s">
        <v>2</v>
      </c>
      <c r="D1" s="1" t="s">
        <v>3</v>
      </c>
      <c r="E1" s="1" t="s">
        <v>4</v>
      </c>
      <c r="F1" s="1" t="s">
        <v>5</v>
      </c>
      <c r="G1" s="1" t="s">
        <v>6</v>
      </c>
      <c r="H1" s="1" t="s">
        <v>7</v>
      </c>
      <c r="I1" s="1" t="s">
        <v>8</v>
      </c>
      <c r="J1" s="1" t="s">
        <v>9</v>
      </c>
      <c r="K1" s="2" t="s">
        <v>10</v>
      </c>
      <c r="L1" s="2" t="s">
        <v>11</v>
      </c>
      <c r="M1" s="2" t="s">
        <v>12</v>
      </c>
      <c r="N1" s="1" t="s">
        <v>13</v>
      </c>
      <c r="O1" s="1" t="s">
        <v>14</v>
      </c>
      <c r="P1" s="1" t="s">
        <v>15</v>
      </c>
      <c r="Q1" s="1" t="s">
        <v>16</v>
      </c>
      <c r="R1" s="1" t="s">
        <v>17</v>
      </c>
      <c r="S1" s="1" t="s">
        <v>18</v>
      </c>
      <c r="T1" s="2" t="s">
        <v>19</v>
      </c>
      <c r="U1" s="1" t="s">
        <v>20</v>
      </c>
      <c r="V1" s="3" t="s">
        <v>21</v>
      </c>
      <c r="W1" s="1" t="s">
        <v>22</v>
      </c>
      <c r="X1" s="1" t="s">
        <v>23</v>
      </c>
      <c r="Y1" s="4" t="s">
        <v>24</v>
      </c>
      <c r="Z1" s="4"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row>
    <row r="2">
      <c r="A2" s="1" t="s">
        <v>52</v>
      </c>
      <c r="B2" s="1" t="s">
        <v>53</v>
      </c>
      <c r="C2" s="1">
        <v>2002.0</v>
      </c>
      <c r="D2" s="1" t="s">
        <v>54</v>
      </c>
      <c r="E2" s="1" t="s">
        <v>55</v>
      </c>
      <c r="F2" s="1" t="s">
        <v>56</v>
      </c>
      <c r="G2" s="1" t="s">
        <v>57</v>
      </c>
      <c r="H2" s="1" t="s">
        <v>58</v>
      </c>
      <c r="I2" s="1">
        <v>13.0</v>
      </c>
      <c r="J2" s="1">
        <v>2.0</v>
      </c>
      <c r="K2" s="2" t="s">
        <v>59</v>
      </c>
      <c r="L2" s="2" t="s">
        <v>60</v>
      </c>
      <c r="M2" s="1" t="s">
        <v>61</v>
      </c>
      <c r="N2" s="1" t="s">
        <v>62</v>
      </c>
      <c r="O2" s="1" t="s">
        <v>63</v>
      </c>
      <c r="P2" s="1" t="s">
        <v>64</v>
      </c>
      <c r="Q2" s="1">
        <v>14.867</v>
      </c>
      <c r="R2" s="1">
        <v>-89.125</v>
      </c>
      <c r="S2" s="1" t="s">
        <v>65</v>
      </c>
      <c r="T2" s="2" t="s">
        <v>66</v>
      </c>
      <c r="U2" s="3" t="s">
        <v>67</v>
      </c>
      <c r="V2" s="3" t="s">
        <v>68</v>
      </c>
      <c r="W2" s="1" t="s">
        <v>69</v>
      </c>
      <c r="X2" s="1" t="s">
        <v>70</v>
      </c>
      <c r="Y2" s="5" t="s">
        <v>60</v>
      </c>
      <c r="Z2" s="3" t="s">
        <v>71</v>
      </c>
      <c r="AB2" s="1">
        <v>8.0</v>
      </c>
      <c r="AI2" s="2" t="s">
        <v>72</v>
      </c>
      <c r="AJ2" s="1">
        <v>-3637.0</v>
      </c>
      <c r="AK2" s="1">
        <v>1989.0</v>
      </c>
      <c r="AL2" s="3" t="s">
        <v>73</v>
      </c>
      <c r="AM2" s="2" t="s">
        <v>72</v>
      </c>
      <c r="AN2" s="1" t="s">
        <v>74</v>
      </c>
      <c r="AO2" s="2" t="s">
        <v>72</v>
      </c>
      <c r="AQ2" s="2" t="s">
        <v>75</v>
      </c>
      <c r="AR2" s="2" t="s">
        <v>76</v>
      </c>
      <c r="AS2" s="1">
        <v>1510.0</v>
      </c>
      <c r="AT2" s="1">
        <v>1510.0</v>
      </c>
      <c r="AU2" s="1">
        <v>719.0</v>
      </c>
      <c r="AV2" s="1">
        <v>20.0</v>
      </c>
      <c r="AW2" s="1">
        <v>74.0</v>
      </c>
      <c r="AX2" s="1">
        <v>7799.0</v>
      </c>
      <c r="AY2" s="1">
        <v>784.0</v>
      </c>
      <c r="AZ2" s="1" t="s">
        <v>77</v>
      </c>
      <c r="BA2" s="1" t="s">
        <v>78</v>
      </c>
    </row>
    <row r="3">
      <c r="A3" s="1" t="s">
        <v>52</v>
      </c>
      <c r="B3" s="1" t="s">
        <v>53</v>
      </c>
      <c r="C3" s="1">
        <v>2002.0</v>
      </c>
      <c r="D3" s="1" t="s">
        <v>54</v>
      </c>
      <c r="E3" s="1" t="s">
        <v>55</v>
      </c>
      <c r="F3" s="1" t="s">
        <v>56</v>
      </c>
      <c r="G3" s="1" t="s">
        <v>57</v>
      </c>
      <c r="H3" s="1" t="s">
        <v>58</v>
      </c>
      <c r="I3" s="1">
        <v>13.0</v>
      </c>
      <c r="J3" s="1">
        <v>2.0</v>
      </c>
      <c r="K3" s="2" t="s">
        <v>59</v>
      </c>
      <c r="L3" s="2" t="s">
        <v>60</v>
      </c>
      <c r="M3" s="1" t="s">
        <v>79</v>
      </c>
      <c r="N3" s="1" t="s">
        <v>62</v>
      </c>
      <c r="O3" s="1" t="s">
        <v>63</v>
      </c>
      <c r="P3" s="1" t="s">
        <v>64</v>
      </c>
      <c r="Q3" s="1">
        <v>14.867</v>
      </c>
      <c r="R3" s="1">
        <v>-89.125</v>
      </c>
      <c r="S3" s="1" t="s">
        <v>65</v>
      </c>
      <c r="T3" s="2" t="s">
        <v>80</v>
      </c>
      <c r="U3" s="3" t="s">
        <v>81</v>
      </c>
      <c r="V3" s="3" t="s">
        <v>68</v>
      </c>
      <c r="W3" s="1" t="s">
        <v>82</v>
      </c>
      <c r="X3" s="2" t="s">
        <v>83</v>
      </c>
      <c r="Y3" s="6" t="s">
        <v>76</v>
      </c>
      <c r="Z3" s="3" t="s">
        <v>84</v>
      </c>
      <c r="AB3" s="1">
        <v>8.0</v>
      </c>
      <c r="AI3" s="2" t="s">
        <v>72</v>
      </c>
      <c r="AJ3" s="1">
        <v>-3637.0</v>
      </c>
      <c r="AK3" s="1">
        <v>1989.0</v>
      </c>
      <c r="AL3" s="3" t="s">
        <v>73</v>
      </c>
      <c r="AM3" s="2" t="s">
        <v>72</v>
      </c>
      <c r="AN3" s="1" t="s">
        <v>74</v>
      </c>
      <c r="AO3" s="2" t="s">
        <v>72</v>
      </c>
      <c r="AQ3" s="2" t="s">
        <v>75</v>
      </c>
      <c r="AR3" s="2" t="s">
        <v>76</v>
      </c>
      <c r="AS3" s="1">
        <v>1510.0</v>
      </c>
      <c r="AT3" s="1">
        <v>1510.0</v>
      </c>
      <c r="AU3" s="1">
        <v>719.0</v>
      </c>
      <c r="AV3" s="1">
        <v>20.0</v>
      </c>
      <c r="AW3" s="1">
        <v>74.0</v>
      </c>
      <c r="AX3" s="1">
        <v>7799.0</v>
      </c>
      <c r="AY3" s="1">
        <v>784.0</v>
      </c>
      <c r="AZ3" s="1" t="s">
        <v>77</v>
      </c>
      <c r="BA3" s="1" t="s">
        <v>78</v>
      </c>
    </row>
    <row r="4">
      <c r="A4" s="1" t="s">
        <v>85</v>
      </c>
      <c r="B4" s="1" t="s">
        <v>53</v>
      </c>
      <c r="C4" s="1">
        <v>2017.0</v>
      </c>
      <c r="D4" s="1" t="s">
        <v>86</v>
      </c>
      <c r="E4" s="1" t="s">
        <v>87</v>
      </c>
      <c r="F4" s="1" t="s">
        <v>88</v>
      </c>
      <c r="G4" s="1" t="s">
        <v>89</v>
      </c>
      <c r="H4" s="1" t="s">
        <v>90</v>
      </c>
      <c r="I4" s="1">
        <v>91.0</v>
      </c>
      <c r="J4" s="1">
        <v>356.0</v>
      </c>
      <c r="K4" s="2" t="s">
        <v>91</v>
      </c>
      <c r="L4" s="2" t="s">
        <v>76</v>
      </c>
      <c r="M4" s="1" t="s">
        <v>85</v>
      </c>
      <c r="N4" s="1" t="s">
        <v>62</v>
      </c>
      <c r="O4" s="1" t="s">
        <v>92</v>
      </c>
      <c r="P4" s="1" t="s">
        <v>93</v>
      </c>
      <c r="Q4" s="1">
        <v>20.372967</v>
      </c>
      <c r="R4" s="1">
        <v>-89.569194</v>
      </c>
      <c r="S4" s="1" t="s">
        <v>94</v>
      </c>
      <c r="T4" s="2" t="s">
        <v>95</v>
      </c>
      <c r="U4" s="2" t="s">
        <v>96</v>
      </c>
      <c r="V4" s="3" t="s">
        <v>97</v>
      </c>
      <c r="W4" s="1" t="s">
        <v>98</v>
      </c>
      <c r="X4" s="2" t="s">
        <v>99</v>
      </c>
      <c r="Y4" s="6" t="s">
        <v>76</v>
      </c>
      <c r="Z4" s="3" t="s">
        <v>76</v>
      </c>
      <c r="AA4" s="1">
        <v>1.0</v>
      </c>
      <c r="AJ4" s="1">
        <v>500.0</v>
      </c>
      <c r="AK4" s="1">
        <v>1500.0</v>
      </c>
      <c r="AL4" s="2" t="s">
        <v>100</v>
      </c>
      <c r="AM4" s="2" t="s">
        <v>72</v>
      </c>
      <c r="AN4" s="2" t="s">
        <v>72</v>
      </c>
      <c r="AO4" s="2" t="s">
        <v>101</v>
      </c>
      <c r="AQ4" s="2" t="s">
        <v>102</v>
      </c>
      <c r="AR4" s="2" t="s">
        <v>76</v>
      </c>
      <c r="AS4" s="1">
        <v>1104.0</v>
      </c>
      <c r="AT4" s="1">
        <v>1104.0</v>
      </c>
      <c r="AU4" s="1">
        <v>530.0</v>
      </c>
      <c r="AV4" s="1">
        <v>24.0</v>
      </c>
      <c r="AW4" s="1">
        <v>89.0</v>
      </c>
      <c r="AX4" s="1">
        <v>7058.0</v>
      </c>
      <c r="AY4" s="1">
        <v>77.0</v>
      </c>
      <c r="AZ4" s="1" t="s">
        <v>103</v>
      </c>
      <c r="BA4" s="1" t="s">
        <v>104</v>
      </c>
    </row>
    <row r="5">
      <c r="A5" s="1" t="s">
        <v>105</v>
      </c>
      <c r="B5" s="1" t="s">
        <v>53</v>
      </c>
      <c r="C5" s="1">
        <v>2001.0</v>
      </c>
      <c r="D5" s="1" t="s">
        <v>106</v>
      </c>
      <c r="E5" s="1" t="s">
        <v>107</v>
      </c>
      <c r="F5" s="1" t="s">
        <v>108</v>
      </c>
      <c r="G5" s="1" t="s">
        <v>109</v>
      </c>
      <c r="H5" s="1" t="s">
        <v>110</v>
      </c>
      <c r="I5" s="1">
        <v>33.0</v>
      </c>
      <c r="K5" s="2" t="s">
        <v>111</v>
      </c>
      <c r="L5" s="2" t="s">
        <v>76</v>
      </c>
      <c r="M5" s="1" t="s">
        <v>105</v>
      </c>
      <c r="N5" s="1" t="s">
        <v>62</v>
      </c>
      <c r="O5" s="1" t="s">
        <v>112</v>
      </c>
      <c r="P5" s="1" t="s">
        <v>113</v>
      </c>
      <c r="Q5" s="1">
        <v>10.433333</v>
      </c>
      <c r="R5" s="1">
        <v>-83.983333</v>
      </c>
      <c r="S5" s="1" t="s">
        <v>114</v>
      </c>
      <c r="T5" s="2" t="s">
        <v>66</v>
      </c>
      <c r="U5" s="3" t="s">
        <v>115</v>
      </c>
      <c r="V5" s="3" t="s">
        <v>116</v>
      </c>
      <c r="W5" s="1" t="s">
        <v>117</v>
      </c>
      <c r="X5" s="2" t="s">
        <v>83</v>
      </c>
      <c r="Y5" s="5" t="s">
        <v>60</v>
      </c>
      <c r="Z5" s="3" t="s">
        <v>118</v>
      </c>
      <c r="AB5" s="1">
        <v>1.0</v>
      </c>
      <c r="AI5" s="2" t="s">
        <v>72</v>
      </c>
      <c r="AJ5" s="1">
        <v>-770.0</v>
      </c>
      <c r="AK5" s="1">
        <v>1992.0</v>
      </c>
      <c r="AL5" s="2" t="s">
        <v>72</v>
      </c>
      <c r="AM5" s="2" t="s">
        <v>72</v>
      </c>
      <c r="AN5" s="1" t="s">
        <v>119</v>
      </c>
      <c r="AO5" s="2" t="s">
        <v>72</v>
      </c>
      <c r="AQ5" s="2" t="s">
        <v>75</v>
      </c>
      <c r="AR5" s="2" t="s">
        <v>76</v>
      </c>
      <c r="AS5" s="1">
        <v>3724.0</v>
      </c>
      <c r="AT5" s="1">
        <v>3724.0</v>
      </c>
      <c r="AU5" s="1">
        <v>1231.0</v>
      </c>
      <c r="AV5" s="1">
        <v>127.0</v>
      </c>
      <c r="AW5" s="1">
        <v>471.0</v>
      </c>
      <c r="AX5" s="1">
        <v>3850.0</v>
      </c>
      <c r="AY5" s="1">
        <v>50.0</v>
      </c>
      <c r="AZ5" s="1" t="s">
        <v>120</v>
      </c>
      <c r="BA5" s="1" t="s">
        <v>121</v>
      </c>
    </row>
    <row r="6">
      <c r="A6" s="1" t="s">
        <v>122</v>
      </c>
      <c r="B6" s="1" t="s">
        <v>53</v>
      </c>
      <c r="C6" s="1">
        <v>2018.0</v>
      </c>
      <c r="D6" s="1" t="s">
        <v>123</v>
      </c>
      <c r="E6" s="1" t="s">
        <v>124</v>
      </c>
      <c r="F6" s="1" t="s">
        <v>125</v>
      </c>
      <c r="G6" s="1" t="s">
        <v>126</v>
      </c>
      <c r="H6" s="1" t="s">
        <v>127</v>
      </c>
      <c r="I6" s="1">
        <v>70.0</v>
      </c>
      <c r="J6" s="1">
        <v>1.0</v>
      </c>
      <c r="K6" s="2" t="s">
        <v>128</v>
      </c>
      <c r="L6" s="2" t="s">
        <v>60</v>
      </c>
      <c r="M6" s="1" t="s">
        <v>129</v>
      </c>
      <c r="N6" s="1" t="s">
        <v>62</v>
      </c>
      <c r="O6" s="1" t="s">
        <v>92</v>
      </c>
      <c r="P6" s="1" t="s">
        <v>130</v>
      </c>
      <c r="Q6" s="1">
        <v>16.859733</v>
      </c>
      <c r="R6" s="1">
        <v>-93.398911</v>
      </c>
      <c r="S6" s="1" t="s">
        <v>131</v>
      </c>
      <c r="T6" s="2" t="s">
        <v>95</v>
      </c>
      <c r="U6" s="2" t="s">
        <v>96</v>
      </c>
      <c r="V6" s="3" t="s">
        <v>97</v>
      </c>
      <c r="W6" s="2" t="s">
        <v>72</v>
      </c>
      <c r="X6" s="2" t="s">
        <v>99</v>
      </c>
      <c r="Y6" s="6" t="s">
        <v>76</v>
      </c>
      <c r="Z6" s="3" t="s">
        <v>76</v>
      </c>
      <c r="AB6" s="1">
        <v>13.0</v>
      </c>
      <c r="AI6" s="2" t="s">
        <v>72</v>
      </c>
      <c r="AJ6" s="1">
        <v>10440.0</v>
      </c>
      <c r="AK6" s="1">
        <v>-4590.0</v>
      </c>
      <c r="AL6" s="2" t="s">
        <v>100</v>
      </c>
      <c r="AM6" s="2" t="s">
        <v>76</v>
      </c>
      <c r="AN6" s="2" t="s">
        <v>132</v>
      </c>
      <c r="AO6" s="2" t="s">
        <v>72</v>
      </c>
      <c r="AQ6" s="2" t="s">
        <v>102</v>
      </c>
      <c r="AR6" s="2" t="s">
        <v>76</v>
      </c>
      <c r="AS6" s="1">
        <v>1183.0</v>
      </c>
      <c r="AT6" s="1">
        <v>1183.0</v>
      </c>
      <c r="AU6" s="1">
        <v>569.0</v>
      </c>
      <c r="AV6" s="1">
        <v>18.0</v>
      </c>
      <c r="AW6" s="1">
        <v>65.0</v>
      </c>
      <c r="AX6" s="1">
        <v>7652.0</v>
      </c>
      <c r="AY6" s="1">
        <v>887.0</v>
      </c>
      <c r="AZ6" s="1" t="s">
        <v>133</v>
      </c>
      <c r="BA6" s="1" t="s">
        <v>121</v>
      </c>
    </row>
    <row r="7">
      <c r="A7" s="1" t="s">
        <v>122</v>
      </c>
      <c r="B7" s="1" t="s">
        <v>53</v>
      </c>
      <c r="C7" s="1">
        <v>2018.0</v>
      </c>
      <c r="D7" s="1" t="s">
        <v>123</v>
      </c>
      <c r="E7" s="1" t="s">
        <v>124</v>
      </c>
      <c r="F7" s="1" t="s">
        <v>125</v>
      </c>
      <c r="G7" s="1" t="s">
        <v>126</v>
      </c>
      <c r="H7" s="1" t="s">
        <v>127</v>
      </c>
      <c r="I7" s="1">
        <v>70.0</v>
      </c>
      <c r="J7" s="1">
        <v>1.0</v>
      </c>
      <c r="K7" s="2" t="s">
        <v>128</v>
      </c>
      <c r="L7" s="2" t="s">
        <v>60</v>
      </c>
      <c r="M7" s="1" t="s">
        <v>134</v>
      </c>
      <c r="N7" s="1" t="s">
        <v>62</v>
      </c>
      <c r="O7" s="1" t="s">
        <v>92</v>
      </c>
      <c r="P7" s="1" t="s">
        <v>130</v>
      </c>
      <c r="Q7" s="1">
        <v>16.859733</v>
      </c>
      <c r="R7" s="1">
        <v>-93.398911</v>
      </c>
      <c r="S7" s="1" t="s">
        <v>131</v>
      </c>
      <c r="T7" s="2" t="s">
        <v>135</v>
      </c>
      <c r="U7" s="2" t="s">
        <v>96</v>
      </c>
      <c r="V7" s="3" t="s">
        <v>97</v>
      </c>
      <c r="W7" s="2" t="s">
        <v>72</v>
      </c>
      <c r="X7" s="2" t="s">
        <v>99</v>
      </c>
      <c r="Y7" s="6" t="s">
        <v>76</v>
      </c>
      <c r="Z7" s="3" t="s">
        <v>76</v>
      </c>
      <c r="AB7" s="1">
        <v>13.0</v>
      </c>
      <c r="AI7" s="2" t="s">
        <v>72</v>
      </c>
      <c r="AJ7" s="1">
        <v>10440.0</v>
      </c>
      <c r="AK7" s="1">
        <v>-4590.0</v>
      </c>
      <c r="AL7" s="2" t="s">
        <v>100</v>
      </c>
      <c r="AM7" s="2" t="s">
        <v>76</v>
      </c>
      <c r="AN7" s="2" t="s">
        <v>132</v>
      </c>
      <c r="AO7" s="2" t="s">
        <v>72</v>
      </c>
      <c r="AQ7" s="2" t="s">
        <v>102</v>
      </c>
      <c r="AR7" s="2" t="s">
        <v>76</v>
      </c>
      <c r="AS7" s="1">
        <v>1183.0</v>
      </c>
      <c r="AT7" s="1">
        <v>1183.0</v>
      </c>
      <c r="AU7" s="1">
        <v>569.0</v>
      </c>
      <c r="AV7" s="1">
        <v>18.0</v>
      </c>
      <c r="AW7" s="1">
        <v>65.0</v>
      </c>
      <c r="AX7" s="1">
        <v>7652.0</v>
      </c>
      <c r="AY7" s="1">
        <v>887.0</v>
      </c>
      <c r="AZ7" s="1" t="s">
        <v>133</v>
      </c>
      <c r="BA7" s="1" t="s">
        <v>121</v>
      </c>
    </row>
    <row r="8">
      <c r="A8" s="1" t="s">
        <v>122</v>
      </c>
      <c r="B8" s="1" t="s">
        <v>53</v>
      </c>
      <c r="C8" s="1">
        <v>2018.0</v>
      </c>
      <c r="D8" s="1" t="s">
        <v>123</v>
      </c>
      <c r="E8" s="1" t="s">
        <v>124</v>
      </c>
      <c r="F8" s="1" t="s">
        <v>125</v>
      </c>
      <c r="G8" s="1" t="s">
        <v>126</v>
      </c>
      <c r="H8" s="1" t="s">
        <v>127</v>
      </c>
      <c r="I8" s="1">
        <v>70.0</v>
      </c>
      <c r="J8" s="1">
        <v>1.0</v>
      </c>
      <c r="K8" s="2" t="s">
        <v>128</v>
      </c>
      <c r="L8" s="2" t="s">
        <v>60</v>
      </c>
      <c r="M8" s="1" t="s">
        <v>136</v>
      </c>
      <c r="N8" s="1" t="s">
        <v>62</v>
      </c>
      <c r="O8" s="1" t="s">
        <v>92</v>
      </c>
      <c r="P8" s="1" t="s">
        <v>130</v>
      </c>
      <c r="Q8" s="1">
        <v>16.859733</v>
      </c>
      <c r="R8" s="1">
        <v>-93.398911</v>
      </c>
      <c r="S8" s="1" t="s">
        <v>131</v>
      </c>
      <c r="T8" s="2" t="s">
        <v>66</v>
      </c>
      <c r="U8" s="2" t="s">
        <v>137</v>
      </c>
      <c r="V8" s="3" t="s">
        <v>138</v>
      </c>
      <c r="W8" s="2" t="s">
        <v>72</v>
      </c>
      <c r="X8" s="1" t="s">
        <v>70</v>
      </c>
      <c r="Y8" s="5" t="s">
        <v>76</v>
      </c>
      <c r="Z8" s="3" t="s">
        <v>76</v>
      </c>
      <c r="AB8" s="1">
        <v>13.0</v>
      </c>
      <c r="AI8" s="2" t="s">
        <v>72</v>
      </c>
      <c r="AJ8" s="1">
        <v>10440.0</v>
      </c>
      <c r="AK8" s="1">
        <v>-4590.0</v>
      </c>
      <c r="AL8" s="2" t="s">
        <v>100</v>
      </c>
      <c r="AM8" s="2" t="s">
        <v>76</v>
      </c>
      <c r="AN8" s="2" t="s">
        <v>132</v>
      </c>
      <c r="AO8" s="2" t="s">
        <v>72</v>
      </c>
      <c r="AQ8" s="2" t="s">
        <v>102</v>
      </c>
      <c r="AR8" s="2" t="s">
        <v>76</v>
      </c>
      <c r="AS8" s="1">
        <v>1183.0</v>
      </c>
      <c r="AT8" s="1">
        <v>1183.0</v>
      </c>
      <c r="AU8" s="1">
        <v>569.0</v>
      </c>
      <c r="AV8" s="1">
        <v>18.0</v>
      </c>
      <c r="AW8" s="1">
        <v>65.0</v>
      </c>
      <c r="AX8" s="1">
        <v>7652.0</v>
      </c>
      <c r="AY8" s="1">
        <v>887.0</v>
      </c>
      <c r="AZ8" s="1" t="s">
        <v>133</v>
      </c>
      <c r="BA8" s="1" t="s">
        <v>121</v>
      </c>
    </row>
    <row r="9">
      <c r="A9" s="1" t="s">
        <v>139</v>
      </c>
      <c r="B9" s="1" t="s">
        <v>53</v>
      </c>
      <c r="C9" s="1">
        <v>2018.0</v>
      </c>
      <c r="D9" s="1" t="s">
        <v>140</v>
      </c>
      <c r="E9" s="1" t="s">
        <v>141</v>
      </c>
      <c r="F9" s="1" t="s">
        <v>125</v>
      </c>
      <c r="G9" s="1" t="s">
        <v>142</v>
      </c>
      <c r="H9" s="1" t="s">
        <v>143</v>
      </c>
      <c r="I9" s="1">
        <v>70.0</v>
      </c>
      <c r="J9" s="1">
        <v>1.0</v>
      </c>
      <c r="K9" s="2" t="s">
        <v>144</v>
      </c>
      <c r="L9" s="2" t="s">
        <v>60</v>
      </c>
      <c r="M9" s="1" t="s">
        <v>145</v>
      </c>
      <c r="N9" s="1" t="s">
        <v>62</v>
      </c>
      <c r="O9" s="1" t="s">
        <v>146</v>
      </c>
      <c r="P9" s="1" t="s">
        <v>147</v>
      </c>
      <c r="Q9" s="1">
        <v>8.88582</v>
      </c>
      <c r="R9" s="1">
        <v>-82.499791</v>
      </c>
      <c r="S9" s="1" t="s">
        <v>148</v>
      </c>
      <c r="T9" s="2" t="s">
        <v>149</v>
      </c>
      <c r="U9" s="3" t="s">
        <v>150</v>
      </c>
      <c r="V9" s="3" t="s">
        <v>97</v>
      </c>
      <c r="W9" s="1" t="s">
        <v>151</v>
      </c>
      <c r="X9" s="1" t="s">
        <v>70</v>
      </c>
      <c r="Y9" s="6" t="s">
        <v>76</v>
      </c>
      <c r="Z9" s="3" t="s">
        <v>76</v>
      </c>
      <c r="AB9" s="1">
        <v>3.0</v>
      </c>
      <c r="AI9" s="1" t="s">
        <v>152</v>
      </c>
      <c r="AJ9" s="1">
        <v>-892.0</v>
      </c>
      <c r="AK9" s="1">
        <v>1752.0</v>
      </c>
      <c r="AL9" s="2" t="s">
        <v>153</v>
      </c>
      <c r="AM9" s="2" t="s">
        <v>72</v>
      </c>
      <c r="AN9" s="2" t="s">
        <v>132</v>
      </c>
      <c r="AO9" s="2" t="s">
        <v>72</v>
      </c>
      <c r="AQ9" s="2" t="s">
        <v>75</v>
      </c>
      <c r="AR9" s="2" t="s">
        <v>76</v>
      </c>
      <c r="AS9" s="1">
        <v>3751.0</v>
      </c>
      <c r="AT9" s="1">
        <v>3751.0</v>
      </c>
      <c r="AU9" s="1">
        <v>1320.0</v>
      </c>
      <c r="AV9" s="1">
        <v>102.0</v>
      </c>
      <c r="AW9" s="1">
        <v>466.0</v>
      </c>
      <c r="AX9" s="1">
        <v>3973.0</v>
      </c>
      <c r="AY9" s="1">
        <v>1859.0</v>
      </c>
      <c r="AZ9" s="1" t="s">
        <v>154</v>
      </c>
      <c r="BA9" s="1" t="s">
        <v>121</v>
      </c>
    </row>
    <row r="10">
      <c r="A10" s="1" t="s">
        <v>139</v>
      </c>
      <c r="B10" s="1" t="s">
        <v>53</v>
      </c>
      <c r="C10" s="1">
        <v>2018.0</v>
      </c>
      <c r="D10" s="1" t="s">
        <v>140</v>
      </c>
      <c r="E10" s="1" t="s">
        <v>141</v>
      </c>
      <c r="F10" s="1" t="s">
        <v>125</v>
      </c>
      <c r="G10" s="1" t="s">
        <v>142</v>
      </c>
      <c r="H10" s="1" t="s">
        <v>143</v>
      </c>
      <c r="I10" s="1">
        <v>70.0</v>
      </c>
      <c r="J10" s="1">
        <v>1.0</v>
      </c>
      <c r="K10" s="2" t="s">
        <v>144</v>
      </c>
      <c r="L10" s="2" t="s">
        <v>60</v>
      </c>
      <c r="M10" s="1" t="s">
        <v>155</v>
      </c>
      <c r="N10" s="1" t="s">
        <v>62</v>
      </c>
      <c r="O10" s="1" t="s">
        <v>146</v>
      </c>
      <c r="P10" s="1" t="s">
        <v>147</v>
      </c>
      <c r="Q10" s="1">
        <v>8.88582</v>
      </c>
      <c r="R10" s="1">
        <v>-82.499791</v>
      </c>
      <c r="S10" s="1" t="s">
        <v>148</v>
      </c>
      <c r="T10" s="3" t="s">
        <v>80</v>
      </c>
      <c r="U10" s="1" t="s">
        <v>156</v>
      </c>
      <c r="V10" s="3" t="s">
        <v>68</v>
      </c>
      <c r="W10" s="1" t="s">
        <v>157</v>
      </c>
      <c r="X10" s="2" t="s">
        <v>158</v>
      </c>
      <c r="Y10" s="6" t="s">
        <v>76</v>
      </c>
      <c r="Z10" s="3" t="s">
        <v>84</v>
      </c>
      <c r="AB10" s="1">
        <v>3.0</v>
      </c>
      <c r="AI10" s="1" t="s">
        <v>152</v>
      </c>
      <c r="AJ10" s="1">
        <v>-892.0</v>
      </c>
      <c r="AK10" s="1">
        <v>1752.0</v>
      </c>
      <c r="AL10" s="2" t="s">
        <v>153</v>
      </c>
      <c r="AM10" s="2" t="s">
        <v>72</v>
      </c>
      <c r="AN10" s="2" t="s">
        <v>132</v>
      </c>
      <c r="AO10" s="2" t="s">
        <v>72</v>
      </c>
      <c r="AQ10" s="2" t="s">
        <v>75</v>
      </c>
      <c r="AR10" s="2" t="s">
        <v>76</v>
      </c>
      <c r="AS10" s="1">
        <v>3751.0</v>
      </c>
      <c r="AT10" s="1">
        <v>3751.0</v>
      </c>
      <c r="AU10" s="1">
        <v>1320.0</v>
      </c>
      <c r="AV10" s="1">
        <v>102.0</v>
      </c>
      <c r="AW10" s="1">
        <v>466.0</v>
      </c>
      <c r="AX10" s="1">
        <v>3973.0</v>
      </c>
      <c r="AY10" s="1">
        <v>1859.0</v>
      </c>
      <c r="AZ10" s="1" t="s">
        <v>154</v>
      </c>
      <c r="BA10" s="1" t="s">
        <v>121</v>
      </c>
    </row>
    <row r="11">
      <c r="A11" s="1" t="s">
        <v>159</v>
      </c>
      <c r="B11" s="1" t="s">
        <v>53</v>
      </c>
      <c r="C11" s="1">
        <v>2020.0</v>
      </c>
      <c r="D11" s="1" t="s">
        <v>160</v>
      </c>
      <c r="E11" s="1" t="s">
        <v>161</v>
      </c>
      <c r="F11" s="1" t="s">
        <v>162</v>
      </c>
      <c r="G11" s="1" t="s">
        <v>163</v>
      </c>
      <c r="H11" s="1" t="s">
        <v>164</v>
      </c>
      <c r="I11" s="1">
        <v>49.0</v>
      </c>
      <c r="J11" s="1">
        <v>2.0</v>
      </c>
      <c r="K11" s="2" t="s">
        <v>165</v>
      </c>
      <c r="L11" s="2" t="s">
        <v>60</v>
      </c>
      <c r="M11" s="1" t="s">
        <v>166</v>
      </c>
      <c r="N11" s="1" t="s">
        <v>62</v>
      </c>
      <c r="O11" s="1" t="s">
        <v>167</v>
      </c>
      <c r="P11" s="1" t="s">
        <v>168</v>
      </c>
      <c r="Q11" s="1">
        <v>16.147314</v>
      </c>
      <c r="R11" s="1">
        <v>-91.768701</v>
      </c>
      <c r="S11" s="1" t="s">
        <v>148</v>
      </c>
      <c r="T11" s="2" t="s">
        <v>169</v>
      </c>
      <c r="U11" s="2" t="s">
        <v>170</v>
      </c>
      <c r="V11" s="3" t="s">
        <v>171</v>
      </c>
      <c r="W11" s="2" t="s">
        <v>72</v>
      </c>
      <c r="X11" s="2" t="s">
        <v>172</v>
      </c>
      <c r="Y11" s="6" t="s">
        <v>76</v>
      </c>
      <c r="Z11" s="3" t="s">
        <v>173</v>
      </c>
      <c r="AB11" s="1">
        <v>4.0</v>
      </c>
      <c r="AI11" s="1" t="s">
        <v>174</v>
      </c>
      <c r="AJ11" s="1">
        <v>-1450.0</v>
      </c>
      <c r="AK11" s="1">
        <v>2013.0</v>
      </c>
      <c r="AL11" s="3" t="s">
        <v>73</v>
      </c>
      <c r="AM11" s="2" t="s">
        <v>72</v>
      </c>
      <c r="AN11" s="2" t="s">
        <v>132</v>
      </c>
      <c r="AO11" s="2" t="s">
        <v>72</v>
      </c>
      <c r="AQ11" s="2" t="s">
        <v>102</v>
      </c>
      <c r="AR11" s="2" t="s">
        <v>76</v>
      </c>
      <c r="AS11" s="1">
        <v>2150.0</v>
      </c>
      <c r="AT11" s="1">
        <v>2150.0</v>
      </c>
      <c r="AU11" s="1">
        <v>1038.0</v>
      </c>
      <c r="AV11" s="1">
        <v>35.0</v>
      </c>
      <c r="AW11" s="1">
        <v>132.0</v>
      </c>
      <c r="AX11" s="1">
        <v>7746.0</v>
      </c>
      <c r="AY11" s="1">
        <v>1497.0</v>
      </c>
      <c r="AZ11" s="1" t="s">
        <v>77</v>
      </c>
      <c r="BA11" s="1" t="s">
        <v>78</v>
      </c>
    </row>
    <row r="12">
      <c r="A12" s="1" t="s">
        <v>159</v>
      </c>
      <c r="B12" s="1" t="s">
        <v>53</v>
      </c>
      <c r="C12" s="1">
        <v>2020.0</v>
      </c>
      <c r="D12" s="1" t="s">
        <v>160</v>
      </c>
      <c r="E12" s="1" t="s">
        <v>161</v>
      </c>
      <c r="F12" s="1" t="s">
        <v>162</v>
      </c>
      <c r="G12" s="1" t="s">
        <v>163</v>
      </c>
      <c r="H12" s="1" t="s">
        <v>164</v>
      </c>
      <c r="I12" s="1">
        <v>49.0</v>
      </c>
      <c r="J12" s="1">
        <v>2.0</v>
      </c>
      <c r="K12" s="2" t="s">
        <v>165</v>
      </c>
      <c r="L12" s="2" t="s">
        <v>60</v>
      </c>
      <c r="M12" s="1" t="s">
        <v>175</v>
      </c>
      <c r="N12" s="1" t="s">
        <v>62</v>
      </c>
      <c r="O12" s="1" t="s">
        <v>167</v>
      </c>
      <c r="P12" s="1" t="s">
        <v>168</v>
      </c>
      <c r="Q12" s="1">
        <v>16.147314</v>
      </c>
      <c r="R12" s="1">
        <v>-91.768701</v>
      </c>
      <c r="S12" s="1" t="s">
        <v>148</v>
      </c>
      <c r="T12" s="2" t="s">
        <v>176</v>
      </c>
      <c r="U12" s="2" t="s">
        <v>177</v>
      </c>
      <c r="V12" s="3" t="s">
        <v>97</v>
      </c>
      <c r="W12" s="1" t="s">
        <v>178</v>
      </c>
      <c r="X12" s="1" t="s">
        <v>70</v>
      </c>
      <c r="Y12" s="6" t="s">
        <v>76</v>
      </c>
      <c r="Z12" s="3" t="s">
        <v>76</v>
      </c>
      <c r="AB12" s="1">
        <v>4.0</v>
      </c>
      <c r="AI12" s="1" t="s">
        <v>174</v>
      </c>
      <c r="AJ12" s="1">
        <v>-1450.0</v>
      </c>
      <c r="AK12" s="1">
        <v>2013.0</v>
      </c>
      <c r="AL12" s="3" t="s">
        <v>73</v>
      </c>
      <c r="AM12" s="2" t="s">
        <v>72</v>
      </c>
      <c r="AN12" s="2" t="s">
        <v>132</v>
      </c>
      <c r="AO12" s="2" t="s">
        <v>72</v>
      </c>
      <c r="AQ12" s="2" t="s">
        <v>102</v>
      </c>
      <c r="AR12" s="2" t="s">
        <v>76</v>
      </c>
      <c r="AS12" s="1">
        <v>2150.0</v>
      </c>
      <c r="AT12" s="1">
        <v>2150.0</v>
      </c>
      <c r="AU12" s="1">
        <v>1038.0</v>
      </c>
      <c r="AV12" s="1">
        <v>35.0</v>
      </c>
      <c r="AW12" s="1">
        <v>132.0</v>
      </c>
      <c r="AX12" s="1">
        <v>7746.0</v>
      </c>
      <c r="AY12" s="1">
        <v>1497.0</v>
      </c>
      <c r="AZ12" s="1" t="s">
        <v>77</v>
      </c>
      <c r="BA12" s="1" t="s">
        <v>78</v>
      </c>
    </row>
    <row r="13">
      <c r="A13" s="1" t="s">
        <v>179</v>
      </c>
      <c r="B13" s="1" t="s">
        <v>53</v>
      </c>
      <c r="C13" s="1">
        <v>1996.0</v>
      </c>
      <c r="D13" s="1" t="s">
        <v>180</v>
      </c>
      <c r="E13" s="1" t="s">
        <v>181</v>
      </c>
      <c r="F13" s="1" t="s">
        <v>182</v>
      </c>
      <c r="G13" s="1" t="s">
        <v>183</v>
      </c>
      <c r="H13" s="1" t="s">
        <v>184</v>
      </c>
      <c r="I13" s="1">
        <v>108.0</v>
      </c>
      <c r="J13" s="1">
        <v>7.0</v>
      </c>
      <c r="K13" s="2" t="s">
        <v>185</v>
      </c>
      <c r="L13" s="2" t="s">
        <v>60</v>
      </c>
      <c r="M13" s="1" t="s">
        <v>186</v>
      </c>
      <c r="N13" s="1" t="s">
        <v>62</v>
      </c>
      <c r="O13" s="1" t="s">
        <v>187</v>
      </c>
      <c r="P13" s="1" t="s">
        <v>188</v>
      </c>
      <c r="Q13" s="1">
        <v>17.937719</v>
      </c>
      <c r="R13" s="1">
        <v>-88.366374</v>
      </c>
      <c r="S13" s="1" t="s">
        <v>114</v>
      </c>
      <c r="T13" s="2" t="s">
        <v>189</v>
      </c>
      <c r="U13" s="2" t="s">
        <v>190</v>
      </c>
      <c r="V13" s="3" t="s">
        <v>68</v>
      </c>
      <c r="W13" s="1" t="s">
        <v>191</v>
      </c>
      <c r="X13" s="1" t="s">
        <v>70</v>
      </c>
      <c r="Y13" s="6" t="s">
        <v>76</v>
      </c>
      <c r="Z13" s="3" t="s">
        <v>173</v>
      </c>
      <c r="AA13" s="1">
        <v>1.0</v>
      </c>
      <c r="AI13" s="2" t="s">
        <v>72</v>
      </c>
      <c r="AJ13" s="2" t="s">
        <v>72</v>
      </c>
      <c r="AK13" s="2" t="s">
        <v>72</v>
      </c>
      <c r="AL13" s="2" t="s">
        <v>100</v>
      </c>
      <c r="AM13" s="2" t="s">
        <v>72</v>
      </c>
      <c r="AN13" s="1" t="s">
        <v>192</v>
      </c>
      <c r="AO13" s="2" t="s">
        <v>72</v>
      </c>
      <c r="AQ13" s="2" t="s">
        <v>75</v>
      </c>
      <c r="AR13" s="2" t="s">
        <v>76</v>
      </c>
      <c r="AS13" s="1">
        <v>1641.0</v>
      </c>
      <c r="AT13" s="1">
        <v>1641.0</v>
      </c>
      <c r="AU13" s="1">
        <v>627.0</v>
      </c>
      <c r="AV13" s="1">
        <v>42.0</v>
      </c>
      <c r="AW13" s="1">
        <v>136.0</v>
      </c>
      <c r="AX13" s="1">
        <v>5337.0</v>
      </c>
      <c r="AY13" s="1">
        <v>15.0</v>
      </c>
      <c r="AZ13" s="1" t="s">
        <v>133</v>
      </c>
      <c r="BA13" s="1" t="s">
        <v>121</v>
      </c>
    </row>
    <row r="14">
      <c r="A14" s="1" t="s">
        <v>179</v>
      </c>
      <c r="B14" s="1" t="s">
        <v>53</v>
      </c>
      <c r="C14" s="1">
        <v>1996.0</v>
      </c>
      <c r="D14" s="1" t="s">
        <v>180</v>
      </c>
      <c r="E14" s="1" t="s">
        <v>181</v>
      </c>
      <c r="F14" s="1" t="s">
        <v>182</v>
      </c>
      <c r="G14" s="1" t="s">
        <v>183</v>
      </c>
      <c r="H14" s="1" t="s">
        <v>184</v>
      </c>
      <c r="I14" s="1">
        <v>108.0</v>
      </c>
      <c r="J14" s="1">
        <v>7.0</v>
      </c>
      <c r="K14" s="2" t="s">
        <v>185</v>
      </c>
      <c r="L14" s="2" t="s">
        <v>60</v>
      </c>
      <c r="M14" s="1" t="s">
        <v>193</v>
      </c>
      <c r="N14" s="1" t="s">
        <v>62</v>
      </c>
      <c r="O14" s="1" t="s">
        <v>187</v>
      </c>
      <c r="P14" s="1" t="s">
        <v>188</v>
      </c>
      <c r="Q14" s="1">
        <v>17.937719</v>
      </c>
      <c r="R14" s="1">
        <v>-88.366374</v>
      </c>
      <c r="S14" s="1" t="s">
        <v>114</v>
      </c>
      <c r="T14" s="2" t="s">
        <v>194</v>
      </c>
      <c r="U14" s="2" t="s">
        <v>190</v>
      </c>
      <c r="V14" s="3" t="s">
        <v>68</v>
      </c>
      <c r="W14" s="1" t="s">
        <v>191</v>
      </c>
      <c r="X14" s="1" t="s">
        <v>70</v>
      </c>
      <c r="Y14" s="6" t="s">
        <v>76</v>
      </c>
      <c r="Z14" s="3" t="s">
        <v>76</v>
      </c>
      <c r="AA14" s="1">
        <v>1.0</v>
      </c>
      <c r="AI14" s="2" t="s">
        <v>72</v>
      </c>
      <c r="AJ14" s="2" t="s">
        <v>72</v>
      </c>
      <c r="AK14" s="2" t="s">
        <v>72</v>
      </c>
      <c r="AL14" s="2" t="s">
        <v>100</v>
      </c>
      <c r="AM14" s="2" t="s">
        <v>72</v>
      </c>
      <c r="AN14" s="1" t="s">
        <v>192</v>
      </c>
      <c r="AO14" s="2" t="s">
        <v>72</v>
      </c>
      <c r="AQ14" s="2" t="s">
        <v>75</v>
      </c>
      <c r="AR14" s="2" t="s">
        <v>76</v>
      </c>
      <c r="AS14" s="1">
        <v>1641.0</v>
      </c>
      <c r="AT14" s="1">
        <v>1641.0</v>
      </c>
      <c r="AU14" s="1">
        <v>627.0</v>
      </c>
      <c r="AV14" s="1">
        <v>42.0</v>
      </c>
      <c r="AW14" s="1">
        <v>136.0</v>
      </c>
      <c r="AX14" s="1">
        <v>5337.0</v>
      </c>
      <c r="AY14" s="1">
        <v>15.0</v>
      </c>
      <c r="AZ14" s="1" t="s">
        <v>133</v>
      </c>
      <c r="BA14" s="1" t="s">
        <v>121</v>
      </c>
    </row>
    <row r="15">
      <c r="A15" s="1" t="s">
        <v>195</v>
      </c>
      <c r="B15" s="1" t="s">
        <v>53</v>
      </c>
      <c r="C15" s="1">
        <v>2002.0</v>
      </c>
      <c r="D15" s="1" t="s">
        <v>196</v>
      </c>
      <c r="E15" s="1" t="s">
        <v>197</v>
      </c>
      <c r="F15" s="1" t="s">
        <v>198</v>
      </c>
      <c r="G15" s="1" t="s">
        <v>199</v>
      </c>
      <c r="H15" s="1" t="s">
        <v>200</v>
      </c>
      <c r="I15" s="1">
        <v>48.0</v>
      </c>
      <c r="J15" s="1">
        <v>4.0</v>
      </c>
      <c r="K15" s="2" t="s">
        <v>201</v>
      </c>
      <c r="L15" s="2" t="s">
        <v>60</v>
      </c>
      <c r="M15" s="1" t="s">
        <v>202</v>
      </c>
      <c r="N15" s="1" t="s">
        <v>62</v>
      </c>
      <c r="O15" s="1" t="s">
        <v>187</v>
      </c>
      <c r="P15" s="1" t="s">
        <v>203</v>
      </c>
      <c r="Q15" s="1">
        <v>18.441426</v>
      </c>
      <c r="R15" s="1">
        <v>-88.476495</v>
      </c>
      <c r="S15" s="1" t="s">
        <v>114</v>
      </c>
      <c r="T15" s="2" t="s">
        <v>204</v>
      </c>
      <c r="U15" s="2" t="s">
        <v>205</v>
      </c>
      <c r="V15" s="3" t="s">
        <v>97</v>
      </c>
      <c r="W15" s="1" t="s">
        <v>206</v>
      </c>
      <c r="X15" s="2" t="s">
        <v>83</v>
      </c>
      <c r="Y15" s="6" t="s">
        <v>76</v>
      </c>
      <c r="Z15" s="3" t="s">
        <v>76</v>
      </c>
      <c r="AD15" s="1">
        <v>13.0</v>
      </c>
      <c r="AJ15" s="1">
        <v>1889.0</v>
      </c>
      <c r="AK15" s="1">
        <v>1998.0</v>
      </c>
      <c r="AL15" s="2" t="s">
        <v>153</v>
      </c>
      <c r="AM15" s="2" t="s">
        <v>60</v>
      </c>
      <c r="AN15" s="2" t="s">
        <v>72</v>
      </c>
      <c r="AO15" s="2" t="s">
        <v>101</v>
      </c>
      <c r="AQ15" s="2" t="s">
        <v>75</v>
      </c>
      <c r="AR15" s="2" t="s">
        <v>76</v>
      </c>
      <c r="AS15" s="1">
        <v>1213.0</v>
      </c>
      <c r="AT15" s="1">
        <v>1213.0</v>
      </c>
      <c r="AU15" s="1">
        <v>500.0</v>
      </c>
      <c r="AV15" s="1">
        <v>23.0</v>
      </c>
      <c r="AW15" s="1">
        <v>86.0</v>
      </c>
      <c r="AX15" s="1">
        <v>6265.0</v>
      </c>
      <c r="AY15" s="1">
        <v>3.0</v>
      </c>
      <c r="AZ15" s="1" t="s">
        <v>133</v>
      </c>
      <c r="BA15" s="1" t="s">
        <v>121</v>
      </c>
    </row>
    <row r="16">
      <c r="A16" s="1" t="s">
        <v>195</v>
      </c>
      <c r="B16" s="1" t="s">
        <v>53</v>
      </c>
      <c r="C16" s="1">
        <v>2002.0</v>
      </c>
      <c r="D16" s="1" t="s">
        <v>196</v>
      </c>
      <c r="E16" s="1" t="s">
        <v>197</v>
      </c>
      <c r="F16" s="1" t="s">
        <v>198</v>
      </c>
      <c r="G16" s="1" t="s">
        <v>199</v>
      </c>
      <c r="H16" s="1" t="s">
        <v>200</v>
      </c>
      <c r="I16" s="1">
        <v>48.0</v>
      </c>
      <c r="J16" s="1">
        <v>4.0</v>
      </c>
      <c r="K16" s="2" t="s">
        <v>201</v>
      </c>
      <c r="L16" s="2" t="s">
        <v>60</v>
      </c>
      <c r="M16" s="1" t="s">
        <v>207</v>
      </c>
      <c r="N16" s="1" t="s">
        <v>62</v>
      </c>
      <c r="O16" s="1" t="s">
        <v>187</v>
      </c>
      <c r="P16" s="1" t="s">
        <v>208</v>
      </c>
      <c r="Q16" s="1">
        <v>18.385586</v>
      </c>
      <c r="R16" s="1">
        <v>-88.470017</v>
      </c>
      <c r="S16" s="1" t="s">
        <v>114</v>
      </c>
      <c r="T16" s="2" t="s">
        <v>204</v>
      </c>
      <c r="U16" s="2" t="s">
        <v>205</v>
      </c>
      <c r="V16" s="3" t="s">
        <v>97</v>
      </c>
      <c r="W16" s="1" t="s">
        <v>206</v>
      </c>
      <c r="X16" s="2" t="s">
        <v>83</v>
      </c>
      <c r="Y16" s="6" t="s">
        <v>76</v>
      </c>
      <c r="Z16" s="3" t="s">
        <v>76</v>
      </c>
      <c r="AD16" s="1">
        <v>15.0</v>
      </c>
      <c r="AJ16" s="1">
        <v>1880.0</v>
      </c>
      <c r="AK16" s="1">
        <v>1998.0</v>
      </c>
      <c r="AL16" s="2" t="s">
        <v>153</v>
      </c>
      <c r="AM16" s="2" t="s">
        <v>60</v>
      </c>
      <c r="AN16" s="2" t="s">
        <v>72</v>
      </c>
      <c r="AO16" s="2" t="s">
        <v>101</v>
      </c>
      <c r="AQ16" s="2" t="s">
        <v>75</v>
      </c>
      <c r="AR16" s="2" t="s">
        <v>76</v>
      </c>
      <c r="AS16" s="1">
        <v>1249.0</v>
      </c>
      <c r="AT16" s="1">
        <v>1249.0</v>
      </c>
      <c r="AU16" s="1">
        <v>516.0</v>
      </c>
      <c r="AV16" s="1">
        <v>23.0</v>
      </c>
      <c r="AW16" s="1">
        <v>86.0</v>
      </c>
      <c r="AX16" s="1">
        <v>6353.0</v>
      </c>
      <c r="AY16" s="1">
        <v>14.0</v>
      </c>
      <c r="AZ16" s="1" t="s">
        <v>133</v>
      </c>
      <c r="BA16" s="1" t="s">
        <v>121</v>
      </c>
    </row>
    <row r="17">
      <c r="A17" s="1" t="s">
        <v>195</v>
      </c>
      <c r="B17" s="1" t="s">
        <v>53</v>
      </c>
      <c r="C17" s="1">
        <v>2002.0</v>
      </c>
      <c r="D17" s="1" t="s">
        <v>196</v>
      </c>
      <c r="E17" s="1" t="s">
        <v>197</v>
      </c>
      <c r="F17" s="1" t="s">
        <v>198</v>
      </c>
      <c r="G17" s="1" t="s">
        <v>199</v>
      </c>
      <c r="H17" s="1" t="s">
        <v>200</v>
      </c>
      <c r="I17" s="1">
        <v>48.0</v>
      </c>
      <c r="J17" s="1">
        <v>4.0</v>
      </c>
      <c r="K17" s="2" t="s">
        <v>201</v>
      </c>
      <c r="L17" s="2" t="s">
        <v>60</v>
      </c>
      <c r="M17" s="1" t="s">
        <v>209</v>
      </c>
      <c r="N17" s="1" t="s">
        <v>62</v>
      </c>
      <c r="O17" s="1" t="s">
        <v>187</v>
      </c>
      <c r="P17" s="1" t="s">
        <v>210</v>
      </c>
      <c r="Q17" s="1">
        <v>18.0866</v>
      </c>
      <c r="R17" s="1">
        <v>-88.448328</v>
      </c>
      <c r="S17" s="1" t="s">
        <v>114</v>
      </c>
      <c r="T17" s="2" t="s">
        <v>204</v>
      </c>
      <c r="U17" s="2" t="s">
        <v>205</v>
      </c>
      <c r="V17" s="3" t="s">
        <v>97</v>
      </c>
      <c r="W17" s="1" t="s">
        <v>206</v>
      </c>
      <c r="X17" s="2" t="s">
        <v>83</v>
      </c>
      <c r="Y17" s="6" t="s">
        <v>76</v>
      </c>
      <c r="Z17" s="3" t="s">
        <v>76</v>
      </c>
      <c r="AD17" s="1">
        <v>15.0</v>
      </c>
      <c r="AJ17" s="1">
        <v>1898.0</v>
      </c>
      <c r="AK17" s="1">
        <v>1998.0</v>
      </c>
      <c r="AL17" s="2" t="s">
        <v>153</v>
      </c>
      <c r="AM17" s="2" t="s">
        <v>60</v>
      </c>
      <c r="AN17" s="2" t="s">
        <v>72</v>
      </c>
      <c r="AO17" s="2" t="s">
        <v>101</v>
      </c>
      <c r="AQ17" s="2" t="s">
        <v>75</v>
      </c>
      <c r="AR17" s="2" t="s">
        <v>76</v>
      </c>
      <c r="AS17" s="1">
        <v>1484.0</v>
      </c>
      <c r="AT17" s="1">
        <v>1484.0</v>
      </c>
      <c r="AU17" s="1">
        <v>582.0</v>
      </c>
      <c r="AV17" s="1">
        <v>33.0</v>
      </c>
      <c r="AW17" s="1">
        <v>113.0</v>
      </c>
      <c r="AX17" s="1">
        <v>5756.0</v>
      </c>
      <c r="AY17" s="1">
        <v>10.0</v>
      </c>
      <c r="AZ17" s="1" t="s">
        <v>133</v>
      </c>
      <c r="BA17" s="1" t="s">
        <v>121</v>
      </c>
    </row>
    <row r="18">
      <c r="A18" s="1" t="s">
        <v>195</v>
      </c>
      <c r="B18" s="1" t="s">
        <v>53</v>
      </c>
      <c r="C18" s="1">
        <v>2002.0</v>
      </c>
      <c r="D18" s="1" t="s">
        <v>196</v>
      </c>
      <c r="E18" s="1" t="s">
        <v>197</v>
      </c>
      <c r="F18" s="1" t="s">
        <v>198</v>
      </c>
      <c r="G18" s="1" t="s">
        <v>199</v>
      </c>
      <c r="H18" s="1" t="s">
        <v>200</v>
      </c>
      <c r="I18" s="1">
        <v>48.0</v>
      </c>
      <c r="J18" s="1">
        <v>4.0</v>
      </c>
      <c r="K18" s="2" t="s">
        <v>201</v>
      </c>
      <c r="L18" s="2" t="s">
        <v>60</v>
      </c>
      <c r="M18" s="1" t="s">
        <v>211</v>
      </c>
      <c r="N18" s="1" t="s">
        <v>62</v>
      </c>
      <c r="O18" s="1" t="s">
        <v>187</v>
      </c>
      <c r="P18" s="1" t="s">
        <v>212</v>
      </c>
      <c r="Q18" s="1">
        <v>17.98935</v>
      </c>
      <c r="R18" s="1">
        <v>-88.466374</v>
      </c>
      <c r="S18" s="1" t="s">
        <v>114</v>
      </c>
      <c r="T18" s="2" t="s">
        <v>204</v>
      </c>
      <c r="U18" s="2" t="s">
        <v>205</v>
      </c>
      <c r="V18" s="3" t="s">
        <v>97</v>
      </c>
      <c r="W18" s="1" t="s">
        <v>206</v>
      </c>
      <c r="X18" s="2" t="s">
        <v>83</v>
      </c>
      <c r="Y18" s="6" t="s">
        <v>76</v>
      </c>
      <c r="Z18" s="3" t="s">
        <v>76</v>
      </c>
      <c r="AD18" s="1">
        <v>13.0</v>
      </c>
      <c r="AJ18" s="1">
        <v>1857.0</v>
      </c>
      <c r="AK18" s="1">
        <v>1998.0</v>
      </c>
      <c r="AL18" s="2" t="s">
        <v>153</v>
      </c>
      <c r="AM18" s="2" t="s">
        <v>60</v>
      </c>
      <c r="AN18" s="2" t="s">
        <v>72</v>
      </c>
      <c r="AO18" s="2" t="s">
        <v>101</v>
      </c>
      <c r="AQ18" s="2" t="s">
        <v>75</v>
      </c>
      <c r="AR18" s="2" t="s">
        <v>76</v>
      </c>
      <c r="AS18" s="1">
        <v>1563.0</v>
      </c>
      <c r="AT18" s="1">
        <v>1563.0</v>
      </c>
      <c r="AU18" s="1">
        <v>606.0</v>
      </c>
      <c r="AV18" s="1">
        <v>40.0</v>
      </c>
      <c r="AW18" s="1">
        <v>126.0</v>
      </c>
      <c r="AX18" s="1">
        <v>5565.0</v>
      </c>
      <c r="AY18" s="1">
        <v>20.0</v>
      </c>
      <c r="AZ18" s="1" t="s">
        <v>133</v>
      </c>
      <c r="BA18" s="1" t="s">
        <v>121</v>
      </c>
    </row>
    <row r="19">
      <c r="A19" s="1" t="s">
        <v>195</v>
      </c>
      <c r="B19" s="1" t="s">
        <v>53</v>
      </c>
      <c r="C19" s="1">
        <v>2002.0</v>
      </c>
      <c r="D19" s="1" t="s">
        <v>196</v>
      </c>
      <c r="E19" s="1" t="s">
        <v>197</v>
      </c>
      <c r="F19" s="1" t="s">
        <v>198</v>
      </c>
      <c r="G19" s="1" t="s">
        <v>199</v>
      </c>
      <c r="H19" s="1" t="s">
        <v>200</v>
      </c>
      <c r="I19" s="1">
        <v>48.0</v>
      </c>
      <c r="J19" s="1">
        <v>4.0</v>
      </c>
      <c r="K19" s="2" t="s">
        <v>201</v>
      </c>
      <c r="L19" s="2" t="s">
        <v>60</v>
      </c>
      <c r="M19" s="1" t="s">
        <v>213</v>
      </c>
      <c r="N19" s="1" t="s">
        <v>62</v>
      </c>
      <c r="O19" s="1" t="s">
        <v>187</v>
      </c>
      <c r="P19" s="1" t="s">
        <v>214</v>
      </c>
      <c r="Q19" s="1">
        <v>17.988299</v>
      </c>
      <c r="R19" s="1">
        <v>-88.511265</v>
      </c>
      <c r="S19" s="1" t="s">
        <v>114</v>
      </c>
      <c r="T19" s="2" t="s">
        <v>204</v>
      </c>
      <c r="U19" s="2" t="s">
        <v>205</v>
      </c>
      <c r="V19" s="3" t="s">
        <v>97</v>
      </c>
      <c r="W19" s="1" t="s">
        <v>206</v>
      </c>
      <c r="X19" s="2" t="s">
        <v>83</v>
      </c>
      <c r="Y19" s="6" t="s">
        <v>76</v>
      </c>
      <c r="Z19" s="3" t="s">
        <v>76</v>
      </c>
      <c r="AD19" s="1">
        <v>13.0</v>
      </c>
      <c r="AJ19" s="1">
        <v>1868.0</v>
      </c>
      <c r="AK19" s="1">
        <v>1998.0</v>
      </c>
      <c r="AL19" s="2" t="s">
        <v>153</v>
      </c>
      <c r="AM19" s="2" t="s">
        <v>60</v>
      </c>
      <c r="AN19" s="2" t="s">
        <v>72</v>
      </c>
      <c r="AO19" s="2" t="s">
        <v>101</v>
      </c>
      <c r="AQ19" s="2" t="s">
        <v>75</v>
      </c>
      <c r="AR19" s="2" t="s">
        <v>76</v>
      </c>
      <c r="AS19" s="1">
        <v>1550.0</v>
      </c>
      <c r="AT19" s="1">
        <v>1550.0</v>
      </c>
      <c r="AU19" s="1">
        <v>608.0</v>
      </c>
      <c r="AV19" s="1">
        <v>38.0</v>
      </c>
      <c r="AW19" s="1">
        <v>124.0</v>
      </c>
      <c r="AX19" s="1">
        <v>5599.0</v>
      </c>
      <c r="AY19" s="1">
        <v>41.0</v>
      </c>
      <c r="AZ19" s="1" t="s">
        <v>133</v>
      </c>
      <c r="BA19" s="1" t="s">
        <v>121</v>
      </c>
    </row>
    <row r="20">
      <c r="A20" s="1" t="s">
        <v>195</v>
      </c>
      <c r="B20" s="1" t="s">
        <v>53</v>
      </c>
      <c r="C20" s="1">
        <v>2002.0</v>
      </c>
      <c r="D20" s="1" t="s">
        <v>196</v>
      </c>
      <c r="E20" s="1" t="s">
        <v>197</v>
      </c>
      <c r="F20" s="1" t="s">
        <v>198</v>
      </c>
      <c r="G20" s="1" t="s">
        <v>199</v>
      </c>
      <c r="H20" s="1" t="s">
        <v>200</v>
      </c>
      <c r="I20" s="1">
        <v>48.0</v>
      </c>
      <c r="J20" s="1">
        <v>4.0</v>
      </c>
      <c r="K20" s="2" t="s">
        <v>201</v>
      </c>
      <c r="L20" s="2" t="s">
        <v>60</v>
      </c>
      <c r="M20" s="1" t="s">
        <v>215</v>
      </c>
      <c r="N20" s="1" t="s">
        <v>62</v>
      </c>
      <c r="O20" s="1" t="s">
        <v>187</v>
      </c>
      <c r="P20" s="1" t="s">
        <v>216</v>
      </c>
      <c r="Q20" s="1">
        <v>17.986626</v>
      </c>
      <c r="R20" s="1">
        <v>-88.417657</v>
      </c>
      <c r="S20" s="1" t="s">
        <v>114</v>
      </c>
      <c r="T20" s="2" t="s">
        <v>204</v>
      </c>
      <c r="U20" s="2" t="s">
        <v>205</v>
      </c>
      <c r="V20" s="3" t="s">
        <v>97</v>
      </c>
      <c r="W20" s="1" t="s">
        <v>206</v>
      </c>
      <c r="X20" s="2" t="s">
        <v>83</v>
      </c>
      <c r="Y20" s="6" t="s">
        <v>76</v>
      </c>
      <c r="Z20" s="3" t="s">
        <v>76</v>
      </c>
      <c r="AD20" s="1">
        <v>14.0</v>
      </c>
      <c r="AJ20" s="1">
        <v>1855.0</v>
      </c>
      <c r="AK20" s="1">
        <v>1998.0</v>
      </c>
      <c r="AL20" s="2" t="s">
        <v>153</v>
      </c>
      <c r="AM20" s="2" t="s">
        <v>60</v>
      </c>
      <c r="AN20" s="2" t="s">
        <v>72</v>
      </c>
      <c r="AO20" s="2" t="s">
        <v>101</v>
      </c>
      <c r="AQ20" s="2" t="s">
        <v>75</v>
      </c>
      <c r="AR20" s="2" t="s">
        <v>76</v>
      </c>
      <c r="AS20" s="1">
        <v>1575.0</v>
      </c>
      <c r="AT20" s="1">
        <v>1575.0</v>
      </c>
      <c r="AU20" s="1">
        <v>608.0</v>
      </c>
      <c r="AV20" s="1">
        <v>40.0</v>
      </c>
      <c r="AW20" s="1">
        <v>126.0</v>
      </c>
      <c r="AX20" s="1">
        <v>5511.0</v>
      </c>
      <c r="AY20" s="1">
        <v>18.0</v>
      </c>
      <c r="AZ20" s="1" t="s">
        <v>133</v>
      </c>
      <c r="BA20" s="1" t="s">
        <v>121</v>
      </c>
    </row>
    <row r="21">
      <c r="A21" s="1" t="s">
        <v>217</v>
      </c>
      <c r="B21" s="1" t="s">
        <v>53</v>
      </c>
      <c r="C21" s="1">
        <v>2015.0</v>
      </c>
      <c r="D21" s="1" t="s">
        <v>218</v>
      </c>
      <c r="E21" s="1" t="s">
        <v>219</v>
      </c>
      <c r="F21" s="1" t="s">
        <v>220</v>
      </c>
      <c r="G21" s="1" t="s">
        <v>221</v>
      </c>
      <c r="H21" s="1" t="s">
        <v>222</v>
      </c>
      <c r="I21" s="1">
        <v>45.0</v>
      </c>
      <c r="J21" s="1">
        <v>43987.0</v>
      </c>
      <c r="K21" s="2" t="s">
        <v>223</v>
      </c>
      <c r="L21" s="2" t="s">
        <v>76</v>
      </c>
      <c r="M21" s="1" t="s">
        <v>217</v>
      </c>
      <c r="N21" s="1" t="s">
        <v>62</v>
      </c>
      <c r="O21" s="1" t="s">
        <v>167</v>
      </c>
      <c r="P21" s="1" t="s">
        <v>224</v>
      </c>
      <c r="Q21" s="1">
        <v>15.51</v>
      </c>
      <c r="R21" s="1">
        <v>-91.6</v>
      </c>
      <c r="S21" s="1" t="s">
        <v>225</v>
      </c>
      <c r="T21" s="2" t="s">
        <v>225</v>
      </c>
      <c r="U21" s="2" t="s">
        <v>96</v>
      </c>
      <c r="V21" s="3" t="s">
        <v>97</v>
      </c>
      <c r="W21" s="2" t="s">
        <v>72</v>
      </c>
      <c r="X21" s="1" t="s">
        <v>226</v>
      </c>
      <c r="Y21" s="6" t="s">
        <v>76</v>
      </c>
      <c r="Z21" s="3" t="s">
        <v>76</v>
      </c>
      <c r="AG21" s="1">
        <v>1.0</v>
      </c>
      <c r="AI21" s="2" t="s">
        <v>72</v>
      </c>
      <c r="AJ21" s="1">
        <v>1710.0</v>
      </c>
      <c r="AK21" s="1">
        <v>2009.0</v>
      </c>
      <c r="AL21" s="2" t="s">
        <v>153</v>
      </c>
      <c r="AM21" s="2" t="s">
        <v>72</v>
      </c>
      <c r="AN21" s="2" t="s">
        <v>72</v>
      </c>
      <c r="AO21" s="2" t="s">
        <v>101</v>
      </c>
      <c r="AQ21" s="2" t="s">
        <v>102</v>
      </c>
      <c r="AR21" s="2" t="s">
        <v>76</v>
      </c>
      <c r="AS21" s="1">
        <v>1378.0</v>
      </c>
      <c r="AT21" s="1">
        <v>1378.0</v>
      </c>
      <c r="AU21" s="1">
        <v>648.0</v>
      </c>
      <c r="AV21" s="1">
        <v>9.0</v>
      </c>
      <c r="AW21" s="1">
        <v>42.0</v>
      </c>
      <c r="AX21" s="1">
        <v>8430.0</v>
      </c>
      <c r="AY21" s="1">
        <v>2720.0</v>
      </c>
      <c r="AZ21" s="1" t="s">
        <v>77</v>
      </c>
      <c r="BA21" s="1" t="s">
        <v>78</v>
      </c>
    </row>
    <row r="22">
      <c r="A22" s="1" t="s">
        <v>227</v>
      </c>
      <c r="B22" s="1" t="s">
        <v>53</v>
      </c>
      <c r="C22" s="1">
        <v>2007.0</v>
      </c>
      <c r="D22" s="1" t="s">
        <v>228</v>
      </c>
      <c r="E22" s="1" t="s">
        <v>229</v>
      </c>
      <c r="F22" s="1" t="s">
        <v>230</v>
      </c>
      <c r="G22" s="1" t="s">
        <v>231</v>
      </c>
      <c r="H22" s="1" t="s">
        <v>232</v>
      </c>
      <c r="I22" s="1">
        <v>83.0</v>
      </c>
      <c r="J22" s="1">
        <v>43862.0</v>
      </c>
      <c r="K22" s="2" t="s">
        <v>233</v>
      </c>
      <c r="L22" s="2" t="s">
        <v>60</v>
      </c>
      <c r="M22" s="1" t="s">
        <v>234</v>
      </c>
      <c r="N22" s="1" t="s">
        <v>62</v>
      </c>
      <c r="O22" s="1" t="s">
        <v>92</v>
      </c>
      <c r="P22" s="1" t="s">
        <v>235</v>
      </c>
      <c r="Q22" s="1">
        <v>20.648487</v>
      </c>
      <c r="R22" s="1">
        <v>-87.637178</v>
      </c>
      <c r="S22" s="1" t="s">
        <v>148</v>
      </c>
      <c r="T22" s="2" t="s">
        <v>189</v>
      </c>
      <c r="U22" s="2" t="s">
        <v>96</v>
      </c>
      <c r="V22" s="3" t="s">
        <v>97</v>
      </c>
      <c r="W22" s="1" t="s">
        <v>236</v>
      </c>
      <c r="X22" s="1" t="s">
        <v>70</v>
      </c>
      <c r="Y22" s="6" t="s">
        <v>76</v>
      </c>
      <c r="Z22" s="3" t="s">
        <v>76</v>
      </c>
      <c r="AB22" s="1">
        <v>7.0</v>
      </c>
      <c r="AI22" s="1" t="s">
        <v>237</v>
      </c>
      <c r="AJ22" s="1">
        <v>-1900.0</v>
      </c>
      <c r="AK22" s="1">
        <v>1330.0</v>
      </c>
      <c r="AL22" s="2" t="s">
        <v>100</v>
      </c>
      <c r="AM22" s="2" t="s">
        <v>72</v>
      </c>
      <c r="AN22" s="1" t="s">
        <v>238</v>
      </c>
      <c r="AO22" s="2" t="s">
        <v>76</v>
      </c>
      <c r="AQ22" s="2" t="s">
        <v>102</v>
      </c>
      <c r="AR22" s="2" t="s">
        <v>76</v>
      </c>
      <c r="AS22" s="1">
        <v>1183.0</v>
      </c>
      <c r="AT22" s="1">
        <v>1183.0</v>
      </c>
      <c r="AU22" s="1">
        <v>505.0</v>
      </c>
      <c r="AV22" s="1">
        <v>44.0</v>
      </c>
      <c r="AW22" s="1">
        <v>136.0</v>
      </c>
      <c r="AX22" s="1">
        <v>5425.0</v>
      </c>
      <c r="AY22" s="1">
        <v>22.0</v>
      </c>
      <c r="AZ22" s="1" t="s">
        <v>239</v>
      </c>
      <c r="BA22" s="1" t="s">
        <v>121</v>
      </c>
    </row>
    <row r="23">
      <c r="A23" s="1" t="s">
        <v>227</v>
      </c>
      <c r="B23" s="1" t="s">
        <v>53</v>
      </c>
      <c r="C23" s="1">
        <v>2007.0</v>
      </c>
      <c r="D23" s="1" t="s">
        <v>228</v>
      </c>
      <c r="E23" s="1" t="s">
        <v>229</v>
      </c>
      <c r="F23" s="1" t="s">
        <v>230</v>
      </c>
      <c r="G23" s="1" t="s">
        <v>231</v>
      </c>
      <c r="H23" s="1" t="s">
        <v>232</v>
      </c>
      <c r="I23" s="1">
        <v>83.0</v>
      </c>
      <c r="J23" s="1">
        <v>43862.0</v>
      </c>
      <c r="K23" s="2" t="s">
        <v>233</v>
      </c>
      <c r="L23" s="2" t="s">
        <v>60</v>
      </c>
      <c r="M23" s="1" t="s">
        <v>240</v>
      </c>
      <c r="N23" s="1" t="s">
        <v>62</v>
      </c>
      <c r="O23" s="1" t="s">
        <v>92</v>
      </c>
      <c r="P23" s="1" t="s">
        <v>235</v>
      </c>
      <c r="Q23" s="1">
        <v>20.648487</v>
      </c>
      <c r="R23" s="1">
        <v>-87.637178</v>
      </c>
      <c r="S23" s="1" t="s">
        <v>148</v>
      </c>
      <c r="T23" s="2" t="s">
        <v>189</v>
      </c>
      <c r="U23" s="2" t="s">
        <v>96</v>
      </c>
      <c r="V23" s="3" t="s">
        <v>97</v>
      </c>
      <c r="W23" s="1" t="s">
        <v>236</v>
      </c>
      <c r="X23" s="1" t="s">
        <v>70</v>
      </c>
      <c r="Y23" s="6" t="s">
        <v>76</v>
      </c>
      <c r="Z23" s="3" t="s">
        <v>76</v>
      </c>
      <c r="AB23" s="1">
        <v>7.0</v>
      </c>
      <c r="AI23" s="1" t="s">
        <v>237</v>
      </c>
      <c r="AJ23" s="1">
        <v>-1700.0</v>
      </c>
      <c r="AK23" s="1">
        <v>2000.0</v>
      </c>
      <c r="AL23" s="2" t="s">
        <v>100</v>
      </c>
      <c r="AM23" s="2" t="s">
        <v>72</v>
      </c>
      <c r="AN23" s="1" t="s">
        <v>238</v>
      </c>
      <c r="AO23" s="2" t="s">
        <v>76</v>
      </c>
      <c r="AQ23" s="2" t="s">
        <v>102</v>
      </c>
      <c r="AR23" s="2" t="s">
        <v>76</v>
      </c>
      <c r="AS23" s="1">
        <v>1183.0</v>
      </c>
      <c r="AT23" s="1">
        <v>1183.0</v>
      </c>
      <c r="AU23" s="1">
        <v>505.0</v>
      </c>
      <c r="AV23" s="1">
        <v>44.0</v>
      </c>
      <c r="AW23" s="1">
        <v>136.0</v>
      </c>
      <c r="AX23" s="1">
        <v>5425.0</v>
      </c>
      <c r="AY23" s="1">
        <v>22.0</v>
      </c>
      <c r="AZ23" s="1" t="s">
        <v>239</v>
      </c>
      <c r="BA23" s="1" t="s">
        <v>121</v>
      </c>
    </row>
    <row r="24">
      <c r="A24" s="1" t="s">
        <v>227</v>
      </c>
      <c r="B24" s="1" t="s">
        <v>53</v>
      </c>
      <c r="C24" s="1">
        <v>2007.0</v>
      </c>
      <c r="D24" s="1" t="s">
        <v>228</v>
      </c>
      <c r="E24" s="1" t="s">
        <v>229</v>
      </c>
      <c r="F24" s="1" t="s">
        <v>230</v>
      </c>
      <c r="G24" s="1" t="s">
        <v>231</v>
      </c>
      <c r="H24" s="1" t="s">
        <v>232</v>
      </c>
      <c r="I24" s="1">
        <v>83.0</v>
      </c>
      <c r="J24" s="1">
        <v>43862.0</v>
      </c>
      <c r="K24" s="2" t="s">
        <v>233</v>
      </c>
      <c r="L24" s="2" t="s">
        <v>60</v>
      </c>
      <c r="M24" s="1" t="s">
        <v>241</v>
      </c>
      <c r="N24" s="1" t="s">
        <v>62</v>
      </c>
      <c r="O24" s="1" t="s">
        <v>92</v>
      </c>
      <c r="P24" s="1" t="s">
        <v>235</v>
      </c>
      <c r="Q24" s="1">
        <v>20.648487</v>
      </c>
      <c r="R24" s="1">
        <v>-87.637178</v>
      </c>
      <c r="S24" s="1" t="s">
        <v>148</v>
      </c>
      <c r="T24" s="2" t="s">
        <v>135</v>
      </c>
      <c r="U24" s="2" t="s">
        <v>96</v>
      </c>
      <c r="V24" s="3" t="s">
        <v>97</v>
      </c>
      <c r="W24" s="1" t="s">
        <v>242</v>
      </c>
      <c r="X24" s="2" t="s">
        <v>72</v>
      </c>
      <c r="Y24" s="6" t="s">
        <v>76</v>
      </c>
      <c r="Z24" s="3" t="s">
        <v>76</v>
      </c>
      <c r="AB24" s="1">
        <v>7.0</v>
      </c>
      <c r="AI24" s="1" t="s">
        <v>237</v>
      </c>
      <c r="AJ24" s="1">
        <v>-1900.0</v>
      </c>
      <c r="AK24" s="1">
        <v>1330.0</v>
      </c>
      <c r="AL24" s="2" t="s">
        <v>100</v>
      </c>
      <c r="AM24" s="2" t="s">
        <v>72</v>
      </c>
      <c r="AN24" s="1" t="s">
        <v>238</v>
      </c>
      <c r="AO24" s="2" t="s">
        <v>76</v>
      </c>
      <c r="AQ24" s="2" t="s">
        <v>102</v>
      </c>
      <c r="AR24" s="2" t="s">
        <v>76</v>
      </c>
      <c r="AS24" s="1">
        <v>1183.0</v>
      </c>
      <c r="AT24" s="1">
        <v>1183.0</v>
      </c>
      <c r="AU24" s="1">
        <v>505.0</v>
      </c>
      <c r="AV24" s="1">
        <v>44.0</v>
      </c>
      <c r="AW24" s="1">
        <v>136.0</v>
      </c>
      <c r="AX24" s="1">
        <v>5425.0</v>
      </c>
      <c r="AY24" s="1">
        <v>22.0</v>
      </c>
      <c r="AZ24" s="1" t="s">
        <v>239</v>
      </c>
      <c r="BA24" s="1" t="s">
        <v>121</v>
      </c>
    </row>
    <row r="25">
      <c r="A25" s="1" t="s">
        <v>227</v>
      </c>
      <c r="B25" s="1" t="s">
        <v>53</v>
      </c>
      <c r="C25" s="1">
        <v>2007.0</v>
      </c>
      <c r="D25" s="1" t="s">
        <v>228</v>
      </c>
      <c r="E25" s="1" t="s">
        <v>229</v>
      </c>
      <c r="F25" s="1" t="s">
        <v>230</v>
      </c>
      <c r="G25" s="1" t="s">
        <v>231</v>
      </c>
      <c r="H25" s="1" t="s">
        <v>232</v>
      </c>
      <c r="I25" s="1">
        <v>83.0</v>
      </c>
      <c r="J25" s="1">
        <v>43862.0</v>
      </c>
      <c r="K25" s="2" t="s">
        <v>233</v>
      </c>
      <c r="L25" s="2" t="s">
        <v>60</v>
      </c>
      <c r="M25" s="1" t="s">
        <v>243</v>
      </c>
      <c r="N25" s="1" t="s">
        <v>62</v>
      </c>
      <c r="O25" s="1" t="s">
        <v>92</v>
      </c>
      <c r="P25" s="1" t="s">
        <v>235</v>
      </c>
      <c r="Q25" s="1">
        <v>20.648487</v>
      </c>
      <c r="R25" s="1">
        <v>-87.637178</v>
      </c>
      <c r="S25" s="1" t="s">
        <v>148</v>
      </c>
      <c r="T25" s="2" t="s">
        <v>135</v>
      </c>
      <c r="U25" s="2" t="s">
        <v>96</v>
      </c>
      <c r="V25" s="3" t="s">
        <v>97</v>
      </c>
      <c r="W25" s="1" t="s">
        <v>242</v>
      </c>
      <c r="X25" s="2" t="s">
        <v>72</v>
      </c>
      <c r="Y25" s="6" t="s">
        <v>76</v>
      </c>
      <c r="Z25" s="3" t="s">
        <v>76</v>
      </c>
      <c r="AB25" s="1">
        <v>7.0</v>
      </c>
      <c r="AI25" s="1" t="s">
        <v>237</v>
      </c>
      <c r="AJ25" s="1">
        <v>-1700.0</v>
      </c>
      <c r="AK25" s="1">
        <v>2000.0</v>
      </c>
      <c r="AL25" s="2" t="s">
        <v>100</v>
      </c>
      <c r="AM25" s="2" t="s">
        <v>72</v>
      </c>
      <c r="AN25" s="1" t="s">
        <v>238</v>
      </c>
      <c r="AO25" s="2" t="s">
        <v>76</v>
      </c>
      <c r="AQ25" s="2" t="s">
        <v>102</v>
      </c>
      <c r="AR25" s="2" t="s">
        <v>76</v>
      </c>
      <c r="AS25" s="1">
        <v>1183.0</v>
      </c>
      <c r="AT25" s="1">
        <v>1183.0</v>
      </c>
      <c r="AU25" s="1">
        <v>505.0</v>
      </c>
      <c r="AV25" s="1">
        <v>44.0</v>
      </c>
      <c r="AW25" s="1">
        <v>136.0</v>
      </c>
      <c r="AX25" s="1">
        <v>5425.0</v>
      </c>
      <c r="AY25" s="1">
        <v>22.0</v>
      </c>
      <c r="AZ25" s="1" t="s">
        <v>239</v>
      </c>
      <c r="BA25" s="1" t="s">
        <v>121</v>
      </c>
    </row>
    <row r="26">
      <c r="A26" s="1" t="s">
        <v>227</v>
      </c>
      <c r="B26" s="1" t="s">
        <v>53</v>
      </c>
      <c r="C26" s="1">
        <v>2007.0</v>
      </c>
      <c r="D26" s="1" t="s">
        <v>228</v>
      </c>
      <c r="E26" s="1" t="s">
        <v>229</v>
      </c>
      <c r="F26" s="1" t="s">
        <v>230</v>
      </c>
      <c r="G26" s="1" t="s">
        <v>231</v>
      </c>
      <c r="H26" s="1" t="s">
        <v>232</v>
      </c>
      <c r="I26" s="1">
        <v>83.0</v>
      </c>
      <c r="J26" s="1">
        <v>43862.0</v>
      </c>
      <c r="K26" s="2" t="s">
        <v>233</v>
      </c>
      <c r="L26" s="2" t="s">
        <v>60</v>
      </c>
      <c r="M26" s="1" t="s">
        <v>244</v>
      </c>
      <c r="N26" s="1" t="s">
        <v>62</v>
      </c>
      <c r="O26" s="1" t="s">
        <v>92</v>
      </c>
      <c r="P26" s="1" t="s">
        <v>235</v>
      </c>
      <c r="Q26" s="1">
        <v>20.648487</v>
      </c>
      <c r="R26" s="1">
        <v>-87.637178</v>
      </c>
      <c r="S26" s="1" t="s">
        <v>148</v>
      </c>
      <c r="T26" s="2" t="s">
        <v>194</v>
      </c>
      <c r="U26" s="2" t="s">
        <v>96</v>
      </c>
      <c r="V26" s="3" t="s">
        <v>97</v>
      </c>
      <c r="W26" s="1" t="s">
        <v>236</v>
      </c>
      <c r="X26" s="1" t="s">
        <v>70</v>
      </c>
      <c r="Y26" s="6" t="s">
        <v>76</v>
      </c>
      <c r="Z26" s="3" t="s">
        <v>76</v>
      </c>
      <c r="AB26" s="1">
        <v>7.0</v>
      </c>
      <c r="AI26" s="1" t="s">
        <v>237</v>
      </c>
      <c r="AJ26" s="1">
        <v>-1900.0</v>
      </c>
      <c r="AK26" s="1">
        <v>1330.0</v>
      </c>
      <c r="AL26" s="2" t="s">
        <v>100</v>
      </c>
      <c r="AM26" s="2" t="s">
        <v>72</v>
      </c>
      <c r="AN26" s="1" t="s">
        <v>238</v>
      </c>
      <c r="AO26" s="2" t="s">
        <v>76</v>
      </c>
      <c r="AQ26" s="2" t="s">
        <v>102</v>
      </c>
      <c r="AR26" s="2" t="s">
        <v>76</v>
      </c>
      <c r="AS26" s="1">
        <v>1183.0</v>
      </c>
      <c r="AT26" s="1">
        <v>1183.0</v>
      </c>
      <c r="AU26" s="1">
        <v>505.0</v>
      </c>
      <c r="AV26" s="1">
        <v>44.0</v>
      </c>
      <c r="AW26" s="1">
        <v>136.0</v>
      </c>
      <c r="AX26" s="1">
        <v>5425.0</v>
      </c>
      <c r="AY26" s="1">
        <v>22.0</v>
      </c>
      <c r="AZ26" s="1" t="s">
        <v>239</v>
      </c>
      <c r="BA26" s="1" t="s">
        <v>121</v>
      </c>
    </row>
    <row r="27">
      <c r="A27" s="1" t="s">
        <v>227</v>
      </c>
      <c r="B27" s="1" t="s">
        <v>53</v>
      </c>
      <c r="C27" s="1">
        <v>2007.0</v>
      </c>
      <c r="D27" s="1" t="s">
        <v>228</v>
      </c>
      <c r="E27" s="1" t="s">
        <v>229</v>
      </c>
      <c r="F27" s="1" t="s">
        <v>230</v>
      </c>
      <c r="G27" s="1" t="s">
        <v>231</v>
      </c>
      <c r="H27" s="1" t="s">
        <v>232</v>
      </c>
      <c r="I27" s="1">
        <v>83.0</v>
      </c>
      <c r="J27" s="1">
        <v>43862.0</v>
      </c>
      <c r="K27" s="2" t="s">
        <v>233</v>
      </c>
      <c r="L27" s="2" t="s">
        <v>60</v>
      </c>
      <c r="M27" s="1" t="s">
        <v>245</v>
      </c>
      <c r="N27" s="1" t="s">
        <v>62</v>
      </c>
      <c r="O27" s="1" t="s">
        <v>92</v>
      </c>
      <c r="P27" s="1" t="s">
        <v>235</v>
      </c>
      <c r="Q27" s="1">
        <v>20.648487</v>
      </c>
      <c r="R27" s="1">
        <v>-87.637178</v>
      </c>
      <c r="S27" s="1" t="s">
        <v>148</v>
      </c>
      <c r="T27" s="2" t="s">
        <v>194</v>
      </c>
      <c r="U27" s="2" t="s">
        <v>96</v>
      </c>
      <c r="V27" s="3" t="s">
        <v>97</v>
      </c>
      <c r="W27" s="1" t="s">
        <v>236</v>
      </c>
      <c r="X27" s="1" t="s">
        <v>70</v>
      </c>
      <c r="Y27" s="6" t="s">
        <v>76</v>
      </c>
      <c r="Z27" s="3" t="s">
        <v>76</v>
      </c>
      <c r="AB27" s="1">
        <v>7.0</v>
      </c>
      <c r="AI27" s="1" t="s">
        <v>237</v>
      </c>
      <c r="AJ27" s="1">
        <v>-1700.0</v>
      </c>
      <c r="AK27" s="1">
        <v>2000.0</v>
      </c>
      <c r="AL27" s="2" t="s">
        <v>100</v>
      </c>
      <c r="AM27" s="2" t="s">
        <v>72</v>
      </c>
      <c r="AN27" s="1" t="s">
        <v>238</v>
      </c>
      <c r="AO27" s="2" t="s">
        <v>76</v>
      </c>
      <c r="AQ27" s="2" t="s">
        <v>102</v>
      </c>
      <c r="AR27" s="2" t="s">
        <v>76</v>
      </c>
      <c r="AS27" s="1">
        <v>1183.0</v>
      </c>
      <c r="AT27" s="1">
        <v>1183.0</v>
      </c>
      <c r="AU27" s="1">
        <v>505.0</v>
      </c>
      <c r="AV27" s="1">
        <v>44.0</v>
      </c>
      <c r="AW27" s="1">
        <v>136.0</v>
      </c>
      <c r="AX27" s="1">
        <v>5425.0</v>
      </c>
      <c r="AY27" s="1">
        <v>22.0</v>
      </c>
      <c r="AZ27" s="1" t="s">
        <v>239</v>
      </c>
      <c r="BA27" s="1" t="s">
        <v>121</v>
      </c>
    </row>
    <row r="28">
      <c r="A28" s="1" t="s">
        <v>227</v>
      </c>
      <c r="B28" s="1" t="s">
        <v>53</v>
      </c>
      <c r="C28" s="1">
        <v>2007.0</v>
      </c>
      <c r="D28" s="1" t="s">
        <v>228</v>
      </c>
      <c r="E28" s="1" t="s">
        <v>229</v>
      </c>
      <c r="F28" s="1" t="s">
        <v>230</v>
      </c>
      <c r="G28" s="1" t="s">
        <v>231</v>
      </c>
      <c r="H28" s="1" t="s">
        <v>232</v>
      </c>
      <c r="I28" s="1">
        <v>83.0</v>
      </c>
      <c r="J28" s="1">
        <v>43862.0</v>
      </c>
      <c r="K28" s="2" t="s">
        <v>233</v>
      </c>
      <c r="L28" s="2" t="s">
        <v>60</v>
      </c>
      <c r="M28" s="1" t="s">
        <v>246</v>
      </c>
      <c r="N28" s="1" t="s">
        <v>62</v>
      </c>
      <c r="O28" s="1" t="s">
        <v>92</v>
      </c>
      <c r="P28" s="1" t="s">
        <v>235</v>
      </c>
      <c r="Q28" s="1">
        <v>20.648487</v>
      </c>
      <c r="R28" s="1">
        <v>-87.637178</v>
      </c>
      <c r="S28" s="1" t="s">
        <v>148</v>
      </c>
      <c r="T28" s="2" t="s">
        <v>95</v>
      </c>
      <c r="U28" s="2" t="s">
        <v>96</v>
      </c>
      <c r="V28" s="3" t="s">
        <v>97</v>
      </c>
      <c r="W28" s="1" t="s">
        <v>242</v>
      </c>
      <c r="X28" s="2" t="s">
        <v>72</v>
      </c>
      <c r="Y28" s="6" t="s">
        <v>76</v>
      </c>
      <c r="Z28" s="3" t="s">
        <v>76</v>
      </c>
      <c r="AB28" s="1">
        <v>7.0</v>
      </c>
      <c r="AI28" s="1" t="s">
        <v>237</v>
      </c>
      <c r="AJ28" s="1">
        <v>-1700.0</v>
      </c>
      <c r="AK28" s="1">
        <v>2000.0</v>
      </c>
      <c r="AL28" s="2" t="s">
        <v>100</v>
      </c>
      <c r="AM28" s="2" t="s">
        <v>72</v>
      </c>
      <c r="AN28" s="1" t="s">
        <v>238</v>
      </c>
      <c r="AO28" s="2" t="s">
        <v>76</v>
      </c>
      <c r="AQ28" s="2" t="s">
        <v>102</v>
      </c>
      <c r="AR28" s="2" t="s">
        <v>76</v>
      </c>
      <c r="AS28" s="1">
        <v>1183.0</v>
      </c>
      <c r="AT28" s="1">
        <v>1183.0</v>
      </c>
      <c r="AU28" s="1">
        <v>505.0</v>
      </c>
      <c r="AV28" s="1">
        <v>44.0</v>
      </c>
      <c r="AW28" s="1">
        <v>136.0</v>
      </c>
      <c r="AX28" s="1">
        <v>5425.0</v>
      </c>
      <c r="AY28" s="1">
        <v>22.0</v>
      </c>
      <c r="AZ28" s="1" t="s">
        <v>239</v>
      </c>
      <c r="BA28" s="1" t="s">
        <v>121</v>
      </c>
    </row>
    <row r="29">
      <c r="A29" s="1" t="s">
        <v>227</v>
      </c>
      <c r="B29" s="1" t="s">
        <v>53</v>
      </c>
      <c r="C29" s="1">
        <v>2007.0</v>
      </c>
      <c r="D29" s="1" t="s">
        <v>228</v>
      </c>
      <c r="E29" s="1" t="s">
        <v>229</v>
      </c>
      <c r="F29" s="1" t="s">
        <v>230</v>
      </c>
      <c r="G29" s="1" t="s">
        <v>231</v>
      </c>
      <c r="H29" s="1" t="s">
        <v>232</v>
      </c>
      <c r="I29" s="1">
        <v>83.0</v>
      </c>
      <c r="J29" s="1">
        <v>43862.0</v>
      </c>
      <c r="K29" s="2" t="s">
        <v>233</v>
      </c>
      <c r="L29" s="2" t="s">
        <v>60</v>
      </c>
      <c r="M29" s="1" t="s">
        <v>247</v>
      </c>
      <c r="N29" s="1" t="s">
        <v>62</v>
      </c>
      <c r="O29" s="1" t="s">
        <v>92</v>
      </c>
      <c r="P29" s="1" t="s">
        <v>235</v>
      </c>
      <c r="Q29" s="1">
        <v>20.648487</v>
      </c>
      <c r="R29" s="1">
        <v>-87.637178</v>
      </c>
      <c r="S29" s="1" t="s">
        <v>148</v>
      </c>
      <c r="T29" s="2" t="s">
        <v>95</v>
      </c>
      <c r="U29" s="2" t="s">
        <v>96</v>
      </c>
      <c r="V29" s="3" t="s">
        <v>97</v>
      </c>
      <c r="W29" s="1" t="s">
        <v>242</v>
      </c>
      <c r="X29" s="2" t="s">
        <v>72</v>
      </c>
      <c r="Y29" s="6" t="s">
        <v>76</v>
      </c>
      <c r="Z29" s="3" t="s">
        <v>76</v>
      </c>
      <c r="AB29" s="1">
        <v>7.0</v>
      </c>
      <c r="AI29" s="1" t="s">
        <v>237</v>
      </c>
      <c r="AJ29" s="1">
        <v>-1700.0</v>
      </c>
      <c r="AK29" s="1">
        <v>2000.0</v>
      </c>
      <c r="AL29" s="2" t="s">
        <v>100</v>
      </c>
      <c r="AM29" s="2" t="s">
        <v>72</v>
      </c>
      <c r="AN29" s="1" t="s">
        <v>238</v>
      </c>
      <c r="AO29" s="2" t="s">
        <v>76</v>
      </c>
      <c r="AQ29" s="2" t="s">
        <v>102</v>
      </c>
      <c r="AR29" s="2" t="s">
        <v>76</v>
      </c>
      <c r="AS29" s="1">
        <v>1183.0</v>
      </c>
      <c r="AT29" s="1">
        <v>1183.0</v>
      </c>
      <c r="AU29" s="1">
        <v>505.0</v>
      </c>
      <c r="AV29" s="1">
        <v>44.0</v>
      </c>
      <c r="AW29" s="1">
        <v>136.0</v>
      </c>
      <c r="AX29" s="1">
        <v>5425.0</v>
      </c>
      <c r="AY29" s="1">
        <v>22.0</v>
      </c>
      <c r="AZ29" s="1" t="s">
        <v>239</v>
      </c>
      <c r="BA29" s="1" t="s">
        <v>121</v>
      </c>
    </row>
    <row r="30">
      <c r="A30" s="1" t="s">
        <v>248</v>
      </c>
      <c r="B30" s="1" t="s">
        <v>53</v>
      </c>
      <c r="C30" s="1">
        <v>2010.0</v>
      </c>
      <c r="D30" s="1" t="s">
        <v>249</v>
      </c>
      <c r="E30" s="1" t="s">
        <v>250</v>
      </c>
      <c r="F30" s="1" t="s">
        <v>251</v>
      </c>
      <c r="G30" s="1" t="s">
        <v>252</v>
      </c>
      <c r="H30" s="1" t="s">
        <v>253</v>
      </c>
      <c r="I30" s="1">
        <v>298.0</v>
      </c>
      <c r="J30" s="1">
        <v>43862.0</v>
      </c>
      <c r="K30" s="2" t="s">
        <v>254</v>
      </c>
      <c r="L30" s="2" t="s">
        <v>76</v>
      </c>
      <c r="M30" s="1" t="s">
        <v>248</v>
      </c>
      <c r="N30" s="1" t="s">
        <v>62</v>
      </c>
      <c r="O30" s="1" t="s">
        <v>92</v>
      </c>
      <c r="P30" s="1" t="s">
        <v>255</v>
      </c>
      <c r="Q30" s="1">
        <v>20.75</v>
      </c>
      <c r="R30" s="1">
        <v>-89.466667</v>
      </c>
      <c r="S30" s="1" t="s">
        <v>94</v>
      </c>
      <c r="T30" s="2" t="s">
        <v>95</v>
      </c>
      <c r="U30" s="2" t="s">
        <v>96</v>
      </c>
      <c r="V30" s="3" t="s">
        <v>97</v>
      </c>
      <c r="W30" s="2" t="s">
        <v>72</v>
      </c>
      <c r="X30" s="1" t="s">
        <v>256</v>
      </c>
      <c r="Y30" s="6" t="s">
        <v>76</v>
      </c>
      <c r="Z30" s="3" t="s">
        <v>76</v>
      </c>
      <c r="AF30" s="1">
        <v>12.0</v>
      </c>
      <c r="AJ30" s="1">
        <v>500.0</v>
      </c>
      <c r="AK30" s="1">
        <v>2004.0</v>
      </c>
      <c r="AL30" s="2" t="s">
        <v>153</v>
      </c>
      <c r="AM30" s="2" t="s">
        <v>60</v>
      </c>
      <c r="AN30" s="2" t="s">
        <v>101</v>
      </c>
      <c r="AO30" s="2" t="s">
        <v>101</v>
      </c>
      <c r="AQ30" s="2" t="s">
        <v>102</v>
      </c>
      <c r="AR30" s="2" t="s">
        <v>60</v>
      </c>
      <c r="AS30" s="1">
        <v>1029.0</v>
      </c>
      <c r="AT30" s="1">
        <v>1029.0</v>
      </c>
      <c r="AU30" s="1">
        <v>506.0</v>
      </c>
      <c r="AV30" s="1">
        <v>23.0</v>
      </c>
      <c r="AW30" s="1">
        <v>78.0</v>
      </c>
      <c r="AX30" s="1">
        <v>7200.0</v>
      </c>
      <c r="AY30" s="1">
        <v>15.0</v>
      </c>
      <c r="AZ30" s="1" t="s">
        <v>103</v>
      </c>
      <c r="BA30" s="1" t="s">
        <v>104</v>
      </c>
    </row>
    <row r="31">
      <c r="A31" s="1" t="s">
        <v>257</v>
      </c>
      <c r="B31" s="1" t="s">
        <v>53</v>
      </c>
      <c r="C31" s="1">
        <v>2020.0</v>
      </c>
      <c r="D31" s="1" t="s">
        <v>258</v>
      </c>
      <c r="E31" s="1" t="s">
        <v>259</v>
      </c>
      <c r="F31" s="1" t="s">
        <v>251</v>
      </c>
      <c r="G31" s="1" t="s">
        <v>260</v>
      </c>
      <c r="H31" s="1" t="s">
        <v>261</v>
      </c>
      <c r="I31" s="1">
        <v>542.0</v>
      </c>
      <c r="L31" s="2" t="s">
        <v>60</v>
      </c>
      <c r="M31" s="1" t="s">
        <v>262</v>
      </c>
      <c r="N31" s="1" t="s">
        <v>62</v>
      </c>
      <c r="O31" s="1" t="s">
        <v>167</v>
      </c>
      <c r="P31" s="1" t="s">
        <v>263</v>
      </c>
      <c r="Q31" s="1">
        <v>16.000583</v>
      </c>
      <c r="R31" s="1">
        <v>-91.554216</v>
      </c>
      <c r="S31" s="1" t="s">
        <v>148</v>
      </c>
      <c r="T31" s="2" t="s">
        <v>95</v>
      </c>
      <c r="U31" s="2" t="s">
        <v>96</v>
      </c>
      <c r="V31" s="3" t="s">
        <v>97</v>
      </c>
      <c r="W31" s="1" t="s">
        <v>264</v>
      </c>
      <c r="X31" s="1" t="s">
        <v>265</v>
      </c>
      <c r="Y31" s="6" t="s">
        <v>76</v>
      </c>
      <c r="Z31" s="3" t="s">
        <v>76</v>
      </c>
      <c r="AB31" s="1">
        <v>41.0</v>
      </c>
      <c r="AD31" s="1">
        <v>10.0</v>
      </c>
      <c r="AI31" s="1" t="s">
        <v>266</v>
      </c>
      <c r="AJ31" s="1">
        <v>-4000.0</v>
      </c>
      <c r="AK31" s="1">
        <v>2015.0</v>
      </c>
      <c r="AL31" s="2" t="s">
        <v>153</v>
      </c>
      <c r="AM31" s="2" t="s">
        <v>60</v>
      </c>
      <c r="AN31" s="2" t="s">
        <v>132</v>
      </c>
      <c r="AO31" s="2" t="s">
        <v>72</v>
      </c>
      <c r="AQ31" s="2" t="s">
        <v>102</v>
      </c>
      <c r="AR31" s="2" t="s">
        <v>76</v>
      </c>
      <c r="AS31" s="1">
        <v>3417.0</v>
      </c>
      <c r="AT31" s="1">
        <v>3417.0</v>
      </c>
      <c r="AU31" s="1">
        <v>1566.0</v>
      </c>
      <c r="AV31" s="1">
        <v>75.0</v>
      </c>
      <c r="AW31" s="1">
        <v>258.0</v>
      </c>
      <c r="AX31" s="1">
        <v>6710.0</v>
      </c>
      <c r="AY31" s="1">
        <v>1520.0</v>
      </c>
      <c r="AZ31" s="1" t="s">
        <v>77</v>
      </c>
      <c r="BA31" s="1" t="s">
        <v>78</v>
      </c>
    </row>
    <row r="32">
      <c r="A32" s="1" t="s">
        <v>267</v>
      </c>
      <c r="B32" s="1" t="s">
        <v>268</v>
      </c>
      <c r="C32" s="1">
        <v>1992.0</v>
      </c>
      <c r="D32" s="1" t="s">
        <v>269</v>
      </c>
      <c r="E32" s="1" t="s">
        <v>270</v>
      </c>
      <c r="H32" s="1" t="s">
        <v>271</v>
      </c>
      <c r="I32" s="1">
        <v>62.0</v>
      </c>
      <c r="K32" s="2" t="s">
        <v>272</v>
      </c>
      <c r="L32" s="2" t="s">
        <v>60</v>
      </c>
      <c r="M32" s="1" t="s">
        <v>273</v>
      </c>
      <c r="N32" s="1" t="s">
        <v>62</v>
      </c>
      <c r="O32" s="1" t="s">
        <v>146</v>
      </c>
      <c r="P32" s="1" t="s">
        <v>274</v>
      </c>
      <c r="Q32" s="1">
        <v>8.45</v>
      </c>
      <c r="R32" s="1">
        <v>-80.85</v>
      </c>
      <c r="S32" s="1" t="s">
        <v>148</v>
      </c>
      <c r="T32" s="2" t="s">
        <v>275</v>
      </c>
      <c r="U32" s="1" t="s">
        <v>276</v>
      </c>
      <c r="V32" s="3" t="s">
        <v>277</v>
      </c>
      <c r="W32" s="1" t="s">
        <v>278</v>
      </c>
      <c r="X32" s="1" t="s">
        <v>279</v>
      </c>
      <c r="Y32" s="6" t="s">
        <v>76</v>
      </c>
      <c r="Z32" s="3" t="s">
        <v>76</v>
      </c>
      <c r="AB32" s="1">
        <v>12.0</v>
      </c>
      <c r="AI32" s="2" t="s">
        <v>72</v>
      </c>
      <c r="AJ32" s="1">
        <v>-12350.0</v>
      </c>
      <c r="AK32" s="1">
        <v>1950.0</v>
      </c>
      <c r="AL32" s="2" t="s">
        <v>153</v>
      </c>
      <c r="AM32" s="2" t="s">
        <v>60</v>
      </c>
      <c r="AN32" s="2" t="s">
        <v>72</v>
      </c>
      <c r="AO32" s="2" t="s">
        <v>72</v>
      </c>
      <c r="AP32" s="1" t="s">
        <v>280</v>
      </c>
      <c r="AQ32" s="2" t="s">
        <v>102</v>
      </c>
      <c r="AR32" s="2" t="s">
        <v>76</v>
      </c>
      <c r="AS32" s="1">
        <v>2747.0</v>
      </c>
      <c r="AT32" s="1">
        <v>2747.0</v>
      </c>
      <c r="AU32" s="1">
        <v>1232.0</v>
      </c>
      <c r="AV32" s="1">
        <v>7.0</v>
      </c>
      <c r="AW32" s="1">
        <v>94.0</v>
      </c>
      <c r="AX32" s="1">
        <v>7025.0</v>
      </c>
      <c r="AY32" s="1">
        <v>695.0</v>
      </c>
      <c r="AZ32" s="1" t="s">
        <v>281</v>
      </c>
      <c r="BA32" s="1" t="s">
        <v>121</v>
      </c>
    </row>
    <row r="33">
      <c r="A33" s="1" t="s">
        <v>257</v>
      </c>
      <c r="B33" s="1" t="s">
        <v>53</v>
      </c>
      <c r="C33" s="1">
        <v>2020.0</v>
      </c>
      <c r="D33" s="1" t="s">
        <v>258</v>
      </c>
      <c r="E33" s="1" t="s">
        <v>259</v>
      </c>
      <c r="F33" s="1" t="s">
        <v>251</v>
      </c>
      <c r="G33" s="1" t="s">
        <v>260</v>
      </c>
      <c r="H33" s="1" t="s">
        <v>261</v>
      </c>
      <c r="I33" s="1">
        <v>542.0</v>
      </c>
      <c r="L33" s="2" t="s">
        <v>60</v>
      </c>
      <c r="M33" s="1" t="s">
        <v>282</v>
      </c>
      <c r="N33" s="1" t="s">
        <v>62</v>
      </c>
      <c r="O33" s="1" t="s">
        <v>167</v>
      </c>
      <c r="P33" s="1" t="s">
        <v>263</v>
      </c>
      <c r="Q33" s="1">
        <v>16.000583</v>
      </c>
      <c r="R33" s="1">
        <v>-91.554216</v>
      </c>
      <c r="S33" s="1" t="s">
        <v>148</v>
      </c>
      <c r="T33" s="2" t="s">
        <v>135</v>
      </c>
      <c r="U33" s="2" t="s">
        <v>96</v>
      </c>
      <c r="V33" s="3" t="s">
        <v>138</v>
      </c>
      <c r="W33" s="1" t="s">
        <v>264</v>
      </c>
      <c r="X33" s="1" t="s">
        <v>265</v>
      </c>
      <c r="Y33" s="6" t="s">
        <v>76</v>
      </c>
      <c r="Z33" s="3" t="s">
        <v>76</v>
      </c>
      <c r="AB33" s="1">
        <v>41.0</v>
      </c>
      <c r="AD33" s="1">
        <v>10.0</v>
      </c>
      <c r="AI33" s="1" t="s">
        <v>266</v>
      </c>
      <c r="AJ33" s="1">
        <v>-4000.0</v>
      </c>
      <c r="AK33" s="1">
        <v>2015.0</v>
      </c>
      <c r="AL33" s="2" t="s">
        <v>153</v>
      </c>
      <c r="AM33" s="2" t="s">
        <v>60</v>
      </c>
      <c r="AN33" s="2" t="s">
        <v>132</v>
      </c>
      <c r="AO33" s="2" t="s">
        <v>72</v>
      </c>
      <c r="AQ33" s="2" t="s">
        <v>102</v>
      </c>
      <c r="AR33" s="2" t="s">
        <v>76</v>
      </c>
      <c r="AS33" s="1">
        <v>3417.0</v>
      </c>
      <c r="AT33" s="1">
        <v>3417.0</v>
      </c>
      <c r="AU33" s="1">
        <v>1566.0</v>
      </c>
      <c r="AV33" s="1">
        <v>75.0</v>
      </c>
      <c r="AW33" s="1">
        <v>258.0</v>
      </c>
      <c r="AX33" s="1">
        <v>6710.0</v>
      </c>
      <c r="AY33" s="1">
        <v>1520.0</v>
      </c>
      <c r="AZ33" s="1" t="s">
        <v>77</v>
      </c>
      <c r="BA33" s="1" t="s">
        <v>78</v>
      </c>
    </row>
    <row r="34">
      <c r="A34" s="1" t="s">
        <v>257</v>
      </c>
      <c r="B34" s="1" t="s">
        <v>53</v>
      </c>
      <c r="C34" s="1">
        <v>2020.0</v>
      </c>
      <c r="D34" s="1" t="s">
        <v>258</v>
      </c>
      <c r="E34" s="1" t="s">
        <v>259</v>
      </c>
      <c r="F34" s="1" t="s">
        <v>251</v>
      </c>
      <c r="G34" s="1" t="s">
        <v>260</v>
      </c>
      <c r="H34" s="1" t="s">
        <v>261</v>
      </c>
      <c r="I34" s="1">
        <v>542.0</v>
      </c>
      <c r="L34" s="2" t="s">
        <v>60</v>
      </c>
      <c r="M34" s="1" t="s">
        <v>283</v>
      </c>
      <c r="N34" s="1" t="s">
        <v>62</v>
      </c>
      <c r="O34" s="1" t="s">
        <v>167</v>
      </c>
      <c r="P34" s="1" t="s">
        <v>263</v>
      </c>
      <c r="Q34" s="1">
        <v>16.000583</v>
      </c>
      <c r="R34" s="1">
        <v>-91.554216</v>
      </c>
      <c r="S34" s="1" t="s">
        <v>148</v>
      </c>
      <c r="T34" s="2" t="s">
        <v>189</v>
      </c>
      <c r="U34" s="1" t="s">
        <v>116</v>
      </c>
      <c r="V34" s="3" t="s">
        <v>68</v>
      </c>
      <c r="W34" s="1" t="s">
        <v>284</v>
      </c>
      <c r="X34" s="1" t="s">
        <v>70</v>
      </c>
      <c r="Y34" s="6" t="s">
        <v>76</v>
      </c>
      <c r="Z34" s="3" t="s">
        <v>76</v>
      </c>
      <c r="AB34" s="1">
        <v>41.0</v>
      </c>
      <c r="AD34" s="1">
        <v>10.0</v>
      </c>
      <c r="AI34" s="1" t="s">
        <v>266</v>
      </c>
      <c r="AJ34" s="1">
        <v>-4000.0</v>
      </c>
      <c r="AK34" s="1">
        <v>2015.0</v>
      </c>
      <c r="AL34" s="2" t="s">
        <v>153</v>
      </c>
      <c r="AM34" s="2" t="s">
        <v>60</v>
      </c>
      <c r="AN34" s="2" t="s">
        <v>132</v>
      </c>
      <c r="AO34" s="2" t="s">
        <v>72</v>
      </c>
      <c r="AQ34" s="2" t="s">
        <v>102</v>
      </c>
      <c r="AR34" s="2" t="s">
        <v>76</v>
      </c>
      <c r="AS34" s="1">
        <v>3417.0</v>
      </c>
      <c r="AT34" s="1">
        <v>3417.0</v>
      </c>
      <c r="AU34" s="1">
        <v>1566.0</v>
      </c>
      <c r="AV34" s="1">
        <v>75.0</v>
      </c>
      <c r="AW34" s="1">
        <v>258.0</v>
      </c>
      <c r="AX34" s="1">
        <v>6710.0</v>
      </c>
      <c r="AY34" s="1">
        <v>1520.0</v>
      </c>
      <c r="AZ34" s="1" t="s">
        <v>77</v>
      </c>
      <c r="BA34" s="1" t="s">
        <v>78</v>
      </c>
    </row>
    <row r="35">
      <c r="A35" s="1" t="s">
        <v>257</v>
      </c>
      <c r="B35" s="1" t="s">
        <v>53</v>
      </c>
      <c r="C35" s="1">
        <v>2020.0</v>
      </c>
      <c r="D35" s="1" t="s">
        <v>258</v>
      </c>
      <c r="E35" s="1" t="s">
        <v>259</v>
      </c>
      <c r="F35" s="1" t="s">
        <v>251</v>
      </c>
      <c r="G35" s="1" t="s">
        <v>260</v>
      </c>
      <c r="H35" s="1" t="s">
        <v>261</v>
      </c>
      <c r="I35" s="1">
        <v>542.0</v>
      </c>
      <c r="L35" s="2" t="s">
        <v>60</v>
      </c>
      <c r="M35" s="1" t="s">
        <v>285</v>
      </c>
      <c r="N35" s="1" t="s">
        <v>62</v>
      </c>
      <c r="O35" s="1" t="s">
        <v>167</v>
      </c>
      <c r="P35" s="1" t="s">
        <v>263</v>
      </c>
      <c r="Q35" s="1">
        <v>16.000583</v>
      </c>
      <c r="R35" s="1">
        <v>-91.554216</v>
      </c>
      <c r="S35" s="1" t="s">
        <v>148</v>
      </c>
      <c r="T35" s="2" t="s">
        <v>194</v>
      </c>
      <c r="U35" s="1" t="s">
        <v>116</v>
      </c>
      <c r="V35" s="3" t="s">
        <v>68</v>
      </c>
      <c r="W35" s="1" t="s">
        <v>286</v>
      </c>
      <c r="X35" s="1" t="s">
        <v>70</v>
      </c>
      <c r="Y35" s="6" t="s">
        <v>76</v>
      </c>
      <c r="Z35" s="3" t="s">
        <v>76</v>
      </c>
      <c r="AB35" s="1">
        <v>41.0</v>
      </c>
      <c r="AD35" s="1">
        <v>10.0</v>
      </c>
      <c r="AI35" s="1" t="s">
        <v>266</v>
      </c>
      <c r="AJ35" s="1">
        <v>-4000.0</v>
      </c>
      <c r="AK35" s="1">
        <v>2015.0</v>
      </c>
      <c r="AL35" s="2" t="s">
        <v>153</v>
      </c>
      <c r="AM35" s="2" t="s">
        <v>60</v>
      </c>
      <c r="AN35" s="2" t="s">
        <v>132</v>
      </c>
      <c r="AO35" s="2" t="s">
        <v>72</v>
      </c>
      <c r="AQ35" s="2" t="s">
        <v>102</v>
      </c>
      <c r="AR35" s="2" t="s">
        <v>76</v>
      </c>
      <c r="AS35" s="1">
        <v>3417.0</v>
      </c>
      <c r="AT35" s="1">
        <v>3417.0</v>
      </c>
      <c r="AU35" s="1">
        <v>1566.0</v>
      </c>
      <c r="AV35" s="1">
        <v>75.0</v>
      </c>
      <c r="AW35" s="1">
        <v>258.0</v>
      </c>
      <c r="AX35" s="1">
        <v>6710.0</v>
      </c>
      <c r="AY35" s="1">
        <v>1520.0</v>
      </c>
      <c r="AZ35" s="1" t="s">
        <v>77</v>
      </c>
      <c r="BA35" s="1" t="s">
        <v>78</v>
      </c>
    </row>
    <row r="36">
      <c r="A36" s="1" t="s">
        <v>267</v>
      </c>
      <c r="B36" s="1" t="s">
        <v>53</v>
      </c>
      <c r="C36" s="1">
        <v>1992.0</v>
      </c>
      <c r="D36" s="1" t="s">
        <v>269</v>
      </c>
      <c r="E36" s="1" t="s">
        <v>270</v>
      </c>
      <c r="F36" s="3" t="s">
        <v>287</v>
      </c>
      <c r="G36" s="3" t="s">
        <v>288</v>
      </c>
      <c r="H36" s="1" t="s">
        <v>271</v>
      </c>
      <c r="I36" s="1">
        <v>62.0</v>
      </c>
      <c r="K36" s="2" t="s">
        <v>272</v>
      </c>
      <c r="L36" s="2" t="s">
        <v>60</v>
      </c>
      <c r="M36" s="1" t="s">
        <v>289</v>
      </c>
      <c r="N36" s="1" t="s">
        <v>62</v>
      </c>
      <c r="O36" s="1" t="s">
        <v>146</v>
      </c>
      <c r="P36" s="1" t="s">
        <v>274</v>
      </c>
      <c r="Q36" s="1">
        <v>8.45</v>
      </c>
      <c r="R36" s="1">
        <v>-80.85</v>
      </c>
      <c r="S36" s="1" t="s">
        <v>148</v>
      </c>
      <c r="T36" s="2" t="s">
        <v>149</v>
      </c>
      <c r="U36" s="1" t="s">
        <v>150</v>
      </c>
      <c r="V36" s="3" t="s">
        <v>97</v>
      </c>
      <c r="W36" s="1" t="s">
        <v>290</v>
      </c>
      <c r="X36" s="1" t="s">
        <v>70</v>
      </c>
      <c r="Y36" s="6" t="s">
        <v>76</v>
      </c>
      <c r="Z36" s="3" t="s">
        <v>76</v>
      </c>
      <c r="AB36" s="1">
        <v>12.0</v>
      </c>
      <c r="AI36" s="2" t="s">
        <v>72</v>
      </c>
      <c r="AJ36" s="1">
        <v>-12350.0</v>
      </c>
      <c r="AK36" s="1">
        <v>1950.0</v>
      </c>
      <c r="AL36" s="2" t="s">
        <v>153</v>
      </c>
      <c r="AM36" s="2" t="s">
        <v>60</v>
      </c>
      <c r="AN36" s="2" t="s">
        <v>72</v>
      </c>
      <c r="AO36" s="2" t="s">
        <v>72</v>
      </c>
      <c r="AP36" s="1" t="s">
        <v>280</v>
      </c>
      <c r="AQ36" s="2" t="s">
        <v>102</v>
      </c>
      <c r="AR36" s="2" t="s">
        <v>76</v>
      </c>
      <c r="AS36" s="1">
        <v>2747.0</v>
      </c>
      <c r="AT36" s="1">
        <v>2747.0</v>
      </c>
      <c r="AU36" s="1">
        <v>1232.0</v>
      </c>
      <c r="AV36" s="1">
        <v>7.0</v>
      </c>
      <c r="AW36" s="1">
        <v>94.0</v>
      </c>
      <c r="AX36" s="1">
        <v>7025.0</v>
      </c>
      <c r="AY36" s="1">
        <v>695.0</v>
      </c>
      <c r="AZ36" s="1" t="s">
        <v>281</v>
      </c>
      <c r="BA36" s="1" t="s">
        <v>121</v>
      </c>
    </row>
    <row r="37">
      <c r="A37" s="1" t="s">
        <v>267</v>
      </c>
      <c r="B37" s="1" t="s">
        <v>53</v>
      </c>
      <c r="C37" s="1">
        <v>1992.0</v>
      </c>
      <c r="D37" s="1" t="s">
        <v>269</v>
      </c>
      <c r="E37" s="1" t="s">
        <v>270</v>
      </c>
      <c r="F37" s="3" t="s">
        <v>287</v>
      </c>
      <c r="G37" s="3" t="s">
        <v>291</v>
      </c>
      <c r="H37" s="1" t="s">
        <v>271</v>
      </c>
      <c r="I37" s="1">
        <v>62.0</v>
      </c>
      <c r="K37" s="2" t="s">
        <v>272</v>
      </c>
      <c r="L37" s="2" t="s">
        <v>60</v>
      </c>
      <c r="M37" s="1" t="s">
        <v>292</v>
      </c>
      <c r="N37" s="1" t="s">
        <v>62</v>
      </c>
      <c r="O37" s="1" t="s">
        <v>146</v>
      </c>
      <c r="P37" s="1" t="s">
        <v>274</v>
      </c>
      <c r="Q37" s="1">
        <v>8.45</v>
      </c>
      <c r="R37" s="1">
        <v>-80.85</v>
      </c>
      <c r="S37" s="1" t="s">
        <v>148</v>
      </c>
      <c r="T37" s="2" t="s">
        <v>293</v>
      </c>
      <c r="U37" s="2" t="s">
        <v>294</v>
      </c>
      <c r="V37" s="3" t="s">
        <v>68</v>
      </c>
      <c r="W37" s="1" t="s">
        <v>295</v>
      </c>
      <c r="X37" s="1" t="s">
        <v>70</v>
      </c>
      <c r="Y37" s="5" t="s">
        <v>60</v>
      </c>
      <c r="Z37" s="3" t="s">
        <v>296</v>
      </c>
      <c r="AB37" s="1">
        <v>12.0</v>
      </c>
      <c r="AI37" s="2" t="s">
        <v>72</v>
      </c>
      <c r="AJ37" s="1">
        <v>-12350.0</v>
      </c>
      <c r="AK37" s="1">
        <v>1950.0</v>
      </c>
      <c r="AL37" s="2" t="s">
        <v>153</v>
      </c>
      <c r="AM37" s="2" t="s">
        <v>60</v>
      </c>
      <c r="AN37" s="2" t="s">
        <v>72</v>
      </c>
      <c r="AO37" s="2" t="s">
        <v>72</v>
      </c>
      <c r="AP37" s="1" t="s">
        <v>280</v>
      </c>
      <c r="AQ37" s="2" t="s">
        <v>102</v>
      </c>
      <c r="AR37" s="2" t="s">
        <v>76</v>
      </c>
      <c r="AS37" s="1">
        <v>2747.0</v>
      </c>
      <c r="AT37" s="1">
        <v>2747.0</v>
      </c>
      <c r="AU37" s="1">
        <v>1232.0</v>
      </c>
      <c r="AV37" s="1">
        <v>7.0</v>
      </c>
      <c r="AW37" s="1">
        <v>94.0</v>
      </c>
      <c r="AX37" s="1">
        <v>7025.0</v>
      </c>
      <c r="AY37" s="1">
        <v>695.0</v>
      </c>
      <c r="AZ37" s="1" t="s">
        <v>281</v>
      </c>
      <c r="BA37" s="1" t="s">
        <v>121</v>
      </c>
    </row>
    <row r="38">
      <c r="A38" s="1" t="s">
        <v>267</v>
      </c>
      <c r="B38" s="1" t="s">
        <v>53</v>
      </c>
      <c r="C38" s="1">
        <v>1992.0</v>
      </c>
      <c r="D38" s="1" t="s">
        <v>269</v>
      </c>
      <c r="E38" s="1" t="s">
        <v>270</v>
      </c>
      <c r="F38" s="3" t="s">
        <v>287</v>
      </c>
      <c r="G38" s="3" t="s">
        <v>297</v>
      </c>
      <c r="H38" s="1" t="s">
        <v>271</v>
      </c>
      <c r="I38" s="1">
        <v>62.0</v>
      </c>
      <c r="K38" s="2" t="s">
        <v>272</v>
      </c>
      <c r="L38" s="2" t="s">
        <v>60</v>
      </c>
      <c r="M38" s="1" t="s">
        <v>298</v>
      </c>
      <c r="N38" s="1" t="s">
        <v>62</v>
      </c>
      <c r="O38" s="1" t="s">
        <v>146</v>
      </c>
      <c r="P38" s="1" t="s">
        <v>274</v>
      </c>
      <c r="Q38" s="1">
        <v>8.45</v>
      </c>
      <c r="R38" s="1">
        <v>-80.85</v>
      </c>
      <c r="S38" s="1" t="s">
        <v>148</v>
      </c>
      <c r="T38" s="2" t="s">
        <v>194</v>
      </c>
      <c r="U38" s="1" t="s">
        <v>276</v>
      </c>
      <c r="V38" s="3" t="s">
        <v>299</v>
      </c>
      <c r="W38" s="1" t="s">
        <v>286</v>
      </c>
      <c r="X38" s="2" t="s">
        <v>72</v>
      </c>
      <c r="Y38" s="6" t="s">
        <v>76</v>
      </c>
      <c r="Z38" s="3" t="s">
        <v>76</v>
      </c>
      <c r="AB38" s="1">
        <v>12.0</v>
      </c>
      <c r="AI38" s="2" t="s">
        <v>72</v>
      </c>
      <c r="AJ38" s="1">
        <v>-12350.0</v>
      </c>
      <c r="AK38" s="1">
        <v>1950.0</v>
      </c>
      <c r="AL38" s="2" t="s">
        <v>153</v>
      </c>
      <c r="AM38" s="2" t="s">
        <v>60</v>
      </c>
      <c r="AN38" s="2" t="s">
        <v>72</v>
      </c>
      <c r="AO38" s="2" t="s">
        <v>72</v>
      </c>
      <c r="AP38" s="1" t="s">
        <v>280</v>
      </c>
      <c r="AQ38" s="2" t="s">
        <v>102</v>
      </c>
      <c r="AR38" s="2" t="s">
        <v>76</v>
      </c>
      <c r="AS38" s="1">
        <v>2747.0</v>
      </c>
      <c r="AT38" s="1">
        <v>2747.0</v>
      </c>
      <c r="AU38" s="1">
        <v>1232.0</v>
      </c>
      <c r="AV38" s="1">
        <v>7.0</v>
      </c>
      <c r="AW38" s="1">
        <v>94.0</v>
      </c>
      <c r="AX38" s="1">
        <v>7025.0</v>
      </c>
      <c r="AY38" s="1">
        <v>695.0</v>
      </c>
      <c r="AZ38" s="1" t="s">
        <v>281</v>
      </c>
      <c r="BA38" s="1" t="s">
        <v>121</v>
      </c>
    </row>
    <row r="39">
      <c r="A39" s="1" t="s">
        <v>300</v>
      </c>
      <c r="B39" s="1" t="s">
        <v>53</v>
      </c>
      <c r="C39" s="1">
        <v>1993.0</v>
      </c>
      <c r="D39" s="1" t="s">
        <v>301</v>
      </c>
      <c r="E39" s="1" t="s">
        <v>302</v>
      </c>
      <c r="F39" s="1" t="s">
        <v>303</v>
      </c>
      <c r="G39" s="1" t="s">
        <v>304</v>
      </c>
      <c r="H39" s="1" t="s">
        <v>305</v>
      </c>
      <c r="I39" s="1">
        <v>40.0</v>
      </c>
      <c r="J39" s="1">
        <v>1.0</v>
      </c>
      <c r="K39" s="2" t="s">
        <v>306</v>
      </c>
      <c r="L39" s="2" t="s">
        <v>60</v>
      </c>
      <c r="M39" s="1" t="s">
        <v>307</v>
      </c>
      <c r="N39" s="1" t="s">
        <v>62</v>
      </c>
      <c r="O39" s="1" t="s">
        <v>112</v>
      </c>
      <c r="P39" s="1" t="s">
        <v>308</v>
      </c>
      <c r="Q39" s="1">
        <v>9.483333</v>
      </c>
      <c r="R39" s="1">
        <v>-83.483333</v>
      </c>
      <c r="S39" s="1" t="s">
        <v>148</v>
      </c>
      <c r="T39" s="2" t="s">
        <v>189</v>
      </c>
      <c r="U39" s="1" t="s">
        <v>72</v>
      </c>
      <c r="V39" s="3" t="s">
        <v>277</v>
      </c>
      <c r="W39" s="1" t="s">
        <v>284</v>
      </c>
      <c r="X39" s="1" t="s">
        <v>70</v>
      </c>
      <c r="Y39" s="6" t="s">
        <v>76</v>
      </c>
      <c r="Z39" s="3" t="s">
        <v>76</v>
      </c>
      <c r="AB39" s="1">
        <v>6.0</v>
      </c>
      <c r="AI39" s="2" t="s">
        <v>72</v>
      </c>
      <c r="AJ39" s="1">
        <v>-8190.0</v>
      </c>
      <c r="AK39" s="1">
        <v>1989.0</v>
      </c>
      <c r="AL39" s="2" t="s">
        <v>73</v>
      </c>
      <c r="AM39" s="2" t="s">
        <v>72</v>
      </c>
      <c r="AN39" s="2" t="s">
        <v>72</v>
      </c>
      <c r="AO39" s="2" t="s">
        <v>72</v>
      </c>
      <c r="AP39" s="1" t="s">
        <v>280</v>
      </c>
      <c r="AQ39" s="2" t="s">
        <v>102</v>
      </c>
      <c r="AR39" s="2" t="s">
        <v>76</v>
      </c>
      <c r="AS39" s="1">
        <v>2460.0</v>
      </c>
      <c r="AT39" s="1">
        <v>2460.0</v>
      </c>
      <c r="AU39" s="1">
        <v>1018.0</v>
      </c>
      <c r="AV39" s="1">
        <v>19.0</v>
      </c>
      <c r="AW39" s="1">
        <v>83.0</v>
      </c>
      <c r="AX39" s="1">
        <v>6914.0</v>
      </c>
      <c r="AY39" s="1">
        <v>3512.0</v>
      </c>
      <c r="AZ39" s="1" t="s">
        <v>154</v>
      </c>
      <c r="BA39" s="1" t="s">
        <v>121</v>
      </c>
    </row>
    <row r="40">
      <c r="A40" s="1" t="s">
        <v>300</v>
      </c>
      <c r="B40" s="1" t="s">
        <v>53</v>
      </c>
      <c r="C40" s="1">
        <v>1993.0</v>
      </c>
      <c r="D40" s="1" t="s">
        <v>301</v>
      </c>
      <c r="E40" s="1" t="s">
        <v>302</v>
      </c>
      <c r="F40" s="1" t="s">
        <v>303</v>
      </c>
      <c r="G40" s="1" t="s">
        <v>304</v>
      </c>
      <c r="H40" s="1" t="s">
        <v>305</v>
      </c>
      <c r="I40" s="1">
        <v>40.0</v>
      </c>
      <c r="J40" s="1">
        <v>1.0</v>
      </c>
      <c r="K40" s="2" t="s">
        <v>306</v>
      </c>
      <c r="L40" s="2" t="s">
        <v>60</v>
      </c>
      <c r="M40" s="1" t="s">
        <v>309</v>
      </c>
      <c r="N40" s="1" t="s">
        <v>62</v>
      </c>
      <c r="O40" s="1" t="s">
        <v>112</v>
      </c>
      <c r="P40" s="1" t="s">
        <v>308</v>
      </c>
      <c r="Q40" s="1">
        <v>9.483333</v>
      </c>
      <c r="R40" s="1">
        <v>-83.483333</v>
      </c>
      <c r="S40" s="1" t="s">
        <v>148</v>
      </c>
      <c r="T40" s="2" t="s">
        <v>275</v>
      </c>
      <c r="U40" s="1" t="s">
        <v>310</v>
      </c>
      <c r="V40" s="3" t="s">
        <v>277</v>
      </c>
      <c r="W40" s="1" t="s">
        <v>278</v>
      </c>
      <c r="X40" s="1" t="s">
        <v>279</v>
      </c>
      <c r="Y40" s="6" t="s">
        <v>76</v>
      </c>
      <c r="Z40" s="3" t="s">
        <v>76</v>
      </c>
      <c r="AB40" s="1">
        <v>6.0</v>
      </c>
      <c r="AI40" s="2" t="s">
        <v>72</v>
      </c>
      <c r="AJ40" s="1">
        <v>-8190.0</v>
      </c>
      <c r="AK40" s="1">
        <v>1989.0</v>
      </c>
      <c r="AL40" s="2" t="s">
        <v>73</v>
      </c>
      <c r="AM40" s="2" t="s">
        <v>72</v>
      </c>
      <c r="AN40" s="2" t="s">
        <v>72</v>
      </c>
      <c r="AO40" s="2" t="s">
        <v>72</v>
      </c>
      <c r="AP40" s="1" t="s">
        <v>280</v>
      </c>
      <c r="AQ40" s="2" t="s">
        <v>102</v>
      </c>
      <c r="AR40" s="2" t="s">
        <v>76</v>
      </c>
      <c r="AS40" s="1">
        <v>2460.0</v>
      </c>
      <c r="AT40" s="1">
        <v>2460.0</v>
      </c>
      <c r="AU40" s="1">
        <v>1018.0</v>
      </c>
      <c r="AV40" s="1">
        <v>19.0</v>
      </c>
      <c r="AW40" s="1">
        <v>83.0</v>
      </c>
      <c r="AX40" s="1">
        <v>6914.0</v>
      </c>
      <c r="AY40" s="1">
        <v>3512.0</v>
      </c>
      <c r="AZ40" s="1" t="s">
        <v>154</v>
      </c>
      <c r="BA40" s="1" t="s">
        <v>121</v>
      </c>
    </row>
    <row r="41">
      <c r="A41" s="1" t="s">
        <v>300</v>
      </c>
      <c r="B41" s="1" t="s">
        <v>53</v>
      </c>
      <c r="C41" s="1">
        <v>1993.0</v>
      </c>
      <c r="D41" s="1" t="s">
        <v>301</v>
      </c>
      <c r="E41" s="1" t="s">
        <v>302</v>
      </c>
      <c r="F41" s="1" t="s">
        <v>303</v>
      </c>
      <c r="G41" s="1" t="s">
        <v>304</v>
      </c>
      <c r="H41" s="1" t="s">
        <v>305</v>
      </c>
      <c r="I41" s="1">
        <v>40.0</v>
      </c>
      <c r="J41" s="1">
        <v>1.0</v>
      </c>
      <c r="K41" s="2" t="s">
        <v>306</v>
      </c>
      <c r="L41" s="2" t="s">
        <v>60</v>
      </c>
      <c r="M41" s="1" t="s">
        <v>311</v>
      </c>
      <c r="N41" s="1" t="s">
        <v>62</v>
      </c>
      <c r="O41" s="1" t="s">
        <v>112</v>
      </c>
      <c r="P41" s="1" t="s">
        <v>308</v>
      </c>
      <c r="Q41" s="1">
        <v>9.483333</v>
      </c>
      <c r="R41" s="1">
        <v>-83.483333</v>
      </c>
      <c r="S41" s="1" t="s">
        <v>148</v>
      </c>
      <c r="T41" s="2" t="s">
        <v>194</v>
      </c>
      <c r="U41" s="1" t="s">
        <v>72</v>
      </c>
      <c r="V41" s="3" t="s">
        <v>277</v>
      </c>
      <c r="W41" s="1" t="s">
        <v>286</v>
      </c>
      <c r="X41" s="1" t="s">
        <v>70</v>
      </c>
      <c r="Y41" s="6" t="s">
        <v>76</v>
      </c>
      <c r="Z41" s="3" t="s">
        <v>76</v>
      </c>
      <c r="AB41" s="1">
        <v>6.0</v>
      </c>
      <c r="AI41" s="2" t="s">
        <v>72</v>
      </c>
      <c r="AJ41" s="1">
        <v>-8190.0</v>
      </c>
      <c r="AK41" s="1">
        <v>1989.0</v>
      </c>
      <c r="AL41" s="2" t="s">
        <v>73</v>
      </c>
      <c r="AM41" s="2" t="s">
        <v>72</v>
      </c>
      <c r="AN41" s="2" t="s">
        <v>72</v>
      </c>
      <c r="AO41" s="2" t="s">
        <v>72</v>
      </c>
      <c r="AP41" s="1" t="s">
        <v>280</v>
      </c>
      <c r="AQ41" s="2" t="s">
        <v>102</v>
      </c>
      <c r="AR41" s="2" t="s">
        <v>76</v>
      </c>
      <c r="AS41" s="1">
        <v>2460.0</v>
      </c>
      <c r="AT41" s="1">
        <v>2460.0</v>
      </c>
      <c r="AU41" s="1">
        <v>1018.0</v>
      </c>
      <c r="AV41" s="1">
        <v>19.0</v>
      </c>
      <c r="AW41" s="1">
        <v>83.0</v>
      </c>
      <c r="AX41" s="1">
        <v>6914.0</v>
      </c>
      <c r="AY41" s="1">
        <v>3512.0</v>
      </c>
      <c r="AZ41" s="1" t="s">
        <v>154</v>
      </c>
      <c r="BA41" s="1" t="s">
        <v>121</v>
      </c>
    </row>
    <row r="42">
      <c r="A42" s="1" t="s">
        <v>267</v>
      </c>
      <c r="B42" s="1" t="s">
        <v>53</v>
      </c>
      <c r="C42" s="1">
        <v>1992.0</v>
      </c>
      <c r="D42" s="1" t="s">
        <v>269</v>
      </c>
      <c r="E42" s="1" t="s">
        <v>270</v>
      </c>
      <c r="F42" s="3" t="s">
        <v>287</v>
      </c>
      <c r="G42" s="3" t="s">
        <v>312</v>
      </c>
      <c r="H42" s="1" t="s">
        <v>271</v>
      </c>
      <c r="I42" s="1">
        <v>62.0</v>
      </c>
      <c r="K42" s="2" t="s">
        <v>272</v>
      </c>
      <c r="L42" s="2" t="s">
        <v>60</v>
      </c>
      <c r="M42" s="1" t="s">
        <v>313</v>
      </c>
      <c r="N42" s="1" t="s">
        <v>62</v>
      </c>
      <c r="O42" s="1" t="s">
        <v>146</v>
      </c>
      <c r="P42" s="1" t="s">
        <v>274</v>
      </c>
      <c r="Q42" s="1">
        <v>8.45</v>
      </c>
      <c r="R42" s="1">
        <v>-80.85</v>
      </c>
      <c r="S42" s="1" t="s">
        <v>148</v>
      </c>
      <c r="T42" s="2" t="s">
        <v>66</v>
      </c>
      <c r="U42" s="3" t="s">
        <v>314</v>
      </c>
      <c r="V42" s="3" t="s">
        <v>68</v>
      </c>
      <c r="W42" s="1" t="s">
        <v>315</v>
      </c>
      <c r="X42" s="1" t="s">
        <v>70</v>
      </c>
      <c r="Y42" s="6" t="s">
        <v>76</v>
      </c>
      <c r="Z42" s="3" t="s">
        <v>316</v>
      </c>
      <c r="AB42" s="1">
        <v>12.0</v>
      </c>
      <c r="AI42" s="2" t="s">
        <v>72</v>
      </c>
      <c r="AJ42" s="1">
        <v>-12350.0</v>
      </c>
      <c r="AK42" s="1">
        <v>1950.0</v>
      </c>
      <c r="AL42" s="2" t="s">
        <v>153</v>
      </c>
      <c r="AM42" s="2" t="s">
        <v>60</v>
      </c>
      <c r="AN42" s="2" t="s">
        <v>72</v>
      </c>
      <c r="AO42" s="2" t="s">
        <v>72</v>
      </c>
      <c r="AP42" s="1" t="s">
        <v>280</v>
      </c>
      <c r="AQ42" s="2" t="s">
        <v>102</v>
      </c>
      <c r="AR42" s="2" t="s">
        <v>76</v>
      </c>
      <c r="AS42" s="1">
        <v>2747.0</v>
      </c>
      <c r="AT42" s="1">
        <v>2747.0</v>
      </c>
      <c r="AU42" s="1">
        <v>1232.0</v>
      </c>
      <c r="AV42" s="1">
        <v>7.0</v>
      </c>
      <c r="AW42" s="1">
        <v>94.0</v>
      </c>
      <c r="AX42" s="1">
        <v>7025.0</v>
      </c>
      <c r="AY42" s="1">
        <v>695.0</v>
      </c>
      <c r="AZ42" s="1" t="s">
        <v>281</v>
      </c>
      <c r="BA42" s="1" t="s">
        <v>121</v>
      </c>
    </row>
    <row r="43">
      <c r="A43" s="1" t="s">
        <v>267</v>
      </c>
      <c r="B43" s="1" t="s">
        <v>53</v>
      </c>
      <c r="C43" s="1">
        <v>1992.0</v>
      </c>
      <c r="D43" s="1" t="s">
        <v>269</v>
      </c>
      <c r="E43" s="1" t="s">
        <v>270</v>
      </c>
      <c r="F43" s="3" t="s">
        <v>287</v>
      </c>
      <c r="G43" s="3" t="s">
        <v>317</v>
      </c>
      <c r="H43" s="1" t="s">
        <v>271</v>
      </c>
      <c r="I43" s="1">
        <v>62.0</v>
      </c>
      <c r="K43" s="2" t="s">
        <v>272</v>
      </c>
      <c r="L43" s="2" t="s">
        <v>60</v>
      </c>
      <c r="M43" s="1" t="s">
        <v>318</v>
      </c>
      <c r="N43" s="1" t="s">
        <v>62</v>
      </c>
      <c r="O43" s="1" t="s">
        <v>146</v>
      </c>
      <c r="P43" s="1" t="s">
        <v>274</v>
      </c>
      <c r="Q43" s="1">
        <v>8.45</v>
      </c>
      <c r="R43" s="1">
        <v>-80.85</v>
      </c>
      <c r="S43" s="1" t="s">
        <v>148</v>
      </c>
      <c r="T43" s="2" t="s">
        <v>80</v>
      </c>
      <c r="U43" s="3" t="s">
        <v>81</v>
      </c>
      <c r="V43" s="3" t="s">
        <v>68</v>
      </c>
      <c r="W43" s="1" t="s">
        <v>319</v>
      </c>
      <c r="X43" s="2" t="s">
        <v>70</v>
      </c>
      <c r="Y43" s="6" t="s">
        <v>76</v>
      </c>
      <c r="Z43" s="3" t="s">
        <v>84</v>
      </c>
      <c r="AB43" s="1">
        <v>12.0</v>
      </c>
      <c r="AI43" s="2" t="s">
        <v>72</v>
      </c>
      <c r="AJ43" s="1">
        <v>-12350.0</v>
      </c>
      <c r="AK43" s="1">
        <v>1950.0</v>
      </c>
      <c r="AL43" s="2" t="s">
        <v>153</v>
      </c>
      <c r="AM43" s="2" t="s">
        <v>60</v>
      </c>
      <c r="AN43" s="2" t="s">
        <v>72</v>
      </c>
      <c r="AO43" s="2" t="s">
        <v>72</v>
      </c>
      <c r="AP43" s="1" t="s">
        <v>280</v>
      </c>
      <c r="AQ43" s="2" t="s">
        <v>102</v>
      </c>
      <c r="AR43" s="2" t="s">
        <v>76</v>
      </c>
      <c r="AS43" s="1">
        <v>2747.0</v>
      </c>
      <c r="AT43" s="1">
        <v>2747.0</v>
      </c>
      <c r="AU43" s="1">
        <v>1232.0</v>
      </c>
      <c r="AV43" s="1">
        <v>7.0</v>
      </c>
      <c r="AW43" s="1">
        <v>94.0</v>
      </c>
      <c r="AX43" s="1">
        <v>7025.0</v>
      </c>
      <c r="AY43" s="1">
        <v>695.0</v>
      </c>
      <c r="AZ43" s="1" t="s">
        <v>281</v>
      </c>
      <c r="BA43" s="1" t="s">
        <v>121</v>
      </c>
    </row>
    <row r="44">
      <c r="A44" s="1" t="s">
        <v>267</v>
      </c>
      <c r="B44" s="1" t="s">
        <v>53</v>
      </c>
      <c r="C44" s="1">
        <v>1992.0</v>
      </c>
      <c r="D44" s="1" t="s">
        <v>269</v>
      </c>
      <c r="E44" s="1" t="s">
        <v>270</v>
      </c>
      <c r="F44" s="3" t="s">
        <v>287</v>
      </c>
      <c r="G44" s="3" t="s">
        <v>320</v>
      </c>
      <c r="H44" s="1" t="s">
        <v>271</v>
      </c>
      <c r="I44" s="1">
        <v>62.0</v>
      </c>
      <c r="K44" s="2" t="s">
        <v>272</v>
      </c>
      <c r="L44" s="2" t="s">
        <v>60</v>
      </c>
      <c r="M44" s="1" t="s">
        <v>318</v>
      </c>
      <c r="N44" s="1" t="s">
        <v>62</v>
      </c>
      <c r="O44" s="1" t="s">
        <v>146</v>
      </c>
      <c r="P44" s="1" t="s">
        <v>274</v>
      </c>
      <c r="Q44" s="1">
        <v>8.45</v>
      </c>
      <c r="R44" s="1">
        <v>-80.85</v>
      </c>
      <c r="S44" s="1" t="s">
        <v>148</v>
      </c>
      <c r="T44" s="2" t="s">
        <v>321</v>
      </c>
      <c r="U44" s="3" t="s">
        <v>81</v>
      </c>
      <c r="V44" s="3" t="s">
        <v>68</v>
      </c>
      <c r="W44" s="1" t="s">
        <v>319</v>
      </c>
      <c r="X44" s="2" t="s">
        <v>70</v>
      </c>
      <c r="Y44" s="6" t="s">
        <v>76</v>
      </c>
      <c r="Z44" s="3" t="s">
        <v>84</v>
      </c>
      <c r="AB44" s="1">
        <v>12.0</v>
      </c>
      <c r="AI44" s="2" t="s">
        <v>72</v>
      </c>
      <c r="AJ44" s="1">
        <v>-12350.0</v>
      </c>
      <c r="AK44" s="1">
        <v>1950.0</v>
      </c>
      <c r="AL44" s="2" t="s">
        <v>153</v>
      </c>
      <c r="AM44" s="2" t="s">
        <v>60</v>
      </c>
      <c r="AN44" s="2" t="s">
        <v>72</v>
      </c>
      <c r="AO44" s="2" t="s">
        <v>72</v>
      </c>
      <c r="AP44" s="1" t="s">
        <v>280</v>
      </c>
      <c r="AQ44" s="2" t="s">
        <v>102</v>
      </c>
      <c r="AR44" s="2" t="s">
        <v>76</v>
      </c>
      <c r="AS44" s="1">
        <v>2747.0</v>
      </c>
      <c r="AT44" s="1">
        <v>2747.0</v>
      </c>
      <c r="AU44" s="1">
        <v>1232.0</v>
      </c>
      <c r="AV44" s="1">
        <v>7.0</v>
      </c>
      <c r="AW44" s="1">
        <v>94.0</v>
      </c>
      <c r="AX44" s="1">
        <v>7025.0</v>
      </c>
      <c r="AY44" s="1">
        <v>695.0</v>
      </c>
      <c r="AZ44" s="1" t="s">
        <v>281</v>
      </c>
      <c r="BA44" s="1" t="s">
        <v>121</v>
      </c>
    </row>
    <row r="45">
      <c r="A45" s="1" t="s">
        <v>322</v>
      </c>
      <c r="B45" s="1" t="s">
        <v>53</v>
      </c>
      <c r="C45" s="1">
        <v>2020.0</v>
      </c>
      <c r="D45" s="1" t="s">
        <v>323</v>
      </c>
      <c r="E45" s="1" t="s">
        <v>324</v>
      </c>
      <c r="F45" s="1" t="s">
        <v>325</v>
      </c>
      <c r="G45" s="1" t="s">
        <v>326</v>
      </c>
      <c r="H45" s="1" t="s">
        <v>327</v>
      </c>
      <c r="I45" s="1">
        <v>27.0</v>
      </c>
      <c r="J45" s="1">
        <v>14.0</v>
      </c>
      <c r="K45" s="2" t="s">
        <v>328</v>
      </c>
      <c r="L45" s="2" t="s">
        <v>60</v>
      </c>
      <c r="M45" s="1" t="s">
        <v>329</v>
      </c>
      <c r="N45" s="1" t="s">
        <v>62</v>
      </c>
      <c r="O45" s="1" t="s">
        <v>92</v>
      </c>
      <c r="P45" s="1" t="s">
        <v>330</v>
      </c>
      <c r="Q45" s="1">
        <v>16.097067</v>
      </c>
      <c r="R45" s="1">
        <v>-91.682166</v>
      </c>
      <c r="S45" s="1" t="s">
        <v>148</v>
      </c>
      <c r="T45" s="2" t="s">
        <v>169</v>
      </c>
      <c r="U45" s="2" t="s">
        <v>331</v>
      </c>
      <c r="V45" s="3" t="s">
        <v>68</v>
      </c>
      <c r="W45" s="1" t="s">
        <v>332</v>
      </c>
      <c r="X45" s="1" t="s">
        <v>70</v>
      </c>
      <c r="Y45" s="6" t="s">
        <v>76</v>
      </c>
      <c r="Z45" s="3" t="s">
        <v>173</v>
      </c>
      <c r="AD45" s="1">
        <v>7.0</v>
      </c>
      <c r="AJ45" s="1">
        <v>1950.0</v>
      </c>
      <c r="AK45" s="1">
        <v>2013.0</v>
      </c>
      <c r="AL45" s="2" t="s">
        <v>72</v>
      </c>
      <c r="AM45" s="2" t="s">
        <v>72</v>
      </c>
      <c r="AN45" s="2" t="s">
        <v>72</v>
      </c>
      <c r="AO45" s="2" t="s">
        <v>101</v>
      </c>
      <c r="AQ45" s="2" t="s">
        <v>75</v>
      </c>
      <c r="AR45" s="2" t="s">
        <v>76</v>
      </c>
      <c r="AS45" s="1">
        <v>2679.0</v>
      </c>
      <c r="AT45" s="1">
        <v>2679.0</v>
      </c>
      <c r="AU45" s="1">
        <v>1248.0</v>
      </c>
      <c r="AV45" s="1">
        <v>50.0</v>
      </c>
      <c r="AW45" s="1">
        <v>184.0</v>
      </c>
      <c r="AX45" s="1">
        <v>7104.0</v>
      </c>
      <c r="AY45" s="1">
        <v>1582.0</v>
      </c>
      <c r="AZ45" s="1" t="s">
        <v>333</v>
      </c>
      <c r="BA45" s="1" t="s">
        <v>121</v>
      </c>
    </row>
    <row r="46">
      <c r="A46" s="1" t="s">
        <v>322</v>
      </c>
      <c r="B46" s="1" t="s">
        <v>53</v>
      </c>
      <c r="C46" s="1">
        <v>2020.0</v>
      </c>
      <c r="D46" s="1" t="s">
        <v>323</v>
      </c>
      <c r="E46" s="1" t="s">
        <v>324</v>
      </c>
      <c r="F46" s="1" t="s">
        <v>325</v>
      </c>
      <c r="G46" s="1" t="s">
        <v>326</v>
      </c>
      <c r="H46" s="1" t="s">
        <v>327</v>
      </c>
      <c r="I46" s="1">
        <v>27.0</v>
      </c>
      <c r="J46" s="1">
        <v>14.0</v>
      </c>
      <c r="K46" s="2" t="s">
        <v>328</v>
      </c>
      <c r="L46" s="2" t="s">
        <v>60</v>
      </c>
      <c r="M46" s="1" t="s">
        <v>334</v>
      </c>
      <c r="N46" s="1" t="s">
        <v>62</v>
      </c>
      <c r="O46" s="1" t="s">
        <v>92</v>
      </c>
      <c r="P46" s="1" t="s">
        <v>330</v>
      </c>
      <c r="Q46" s="1">
        <v>16.097067</v>
      </c>
      <c r="R46" s="1">
        <v>-91.682166</v>
      </c>
      <c r="S46" s="1" t="s">
        <v>148</v>
      </c>
      <c r="T46" s="2" t="s">
        <v>149</v>
      </c>
      <c r="U46" s="3" t="s">
        <v>335</v>
      </c>
      <c r="V46" s="3" t="s">
        <v>68</v>
      </c>
      <c r="W46" s="1" t="s">
        <v>336</v>
      </c>
      <c r="X46" s="1" t="s">
        <v>70</v>
      </c>
      <c r="Y46" s="6" t="s">
        <v>76</v>
      </c>
      <c r="Z46" s="3" t="s">
        <v>76</v>
      </c>
      <c r="AD46" s="1">
        <v>7.0</v>
      </c>
      <c r="AJ46" s="1">
        <v>1950.0</v>
      </c>
      <c r="AK46" s="1">
        <v>2013.0</v>
      </c>
      <c r="AL46" s="2" t="s">
        <v>72</v>
      </c>
      <c r="AM46" s="2" t="s">
        <v>72</v>
      </c>
      <c r="AN46" s="2" t="s">
        <v>72</v>
      </c>
      <c r="AO46" s="2" t="s">
        <v>101</v>
      </c>
      <c r="AQ46" s="2" t="s">
        <v>75</v>
      </c>
      <c r="AR46" s="2" t="s">
        <v>76</v>
      </c>
      <c r="AS46" s="1">
        <v>2679.0</v>
      </c>
      <c r="AT46" s="1">
        <v>2679.0</v>
      </c>
      <c r="AU46" s="1">
        <v>1248.0</v>
      </c>
      <c r="AV46" s="1">
        <v>50.0</v>
      </c>
      <c r="AW46" s="1">
        <v>184.0</v>
      </c>
      <c r="AX46" s="1">
        <v>7104.0</v>
      </c>
      <c r="AY46" s="1">
        <v>1582.0</v>
      </c>
      <c r="AZ46" s="1" t="s">
        <v>333</v>
      </c>
      <c r="BA46" s="1" t="s">
        <v>121</v>
      </c>
    </row>
    <row r="47">
      <c r="A47" s="1" t="s">
        <v>337</v>
      </c>
      <c r="B47" s="1" t="s">
        <v>53</v>
      </c>
      <c r="C47" s="1">
        <v>2019.0</v>
      </c>
      <c r="D47" s="1" t="s">
        <v>338</v>
      </c>
      <c r="E47" s="1" t="s">
        <v>339</v>
      </c>
      <c r="F47" s="1" t="s">
        <v>340</v>
      </c>
      <c r="G47" s="1" t="s">
        <v>341</v>
      </c>
      <c r="H47" s="1" t="s">
        <v>342</v>
      </c>
      <c r="I47" s="1">
        <v>2.0</v>
      </c>
      <c r="L47" s="2" t="s">
        <v>60</v>
      </c>
      <c r="M47" s="1" t="s">
        <v>343</v>
      </c>
      <c r="N47" s="1" t="s">
        <v>62</v>
      </c>
      <c r="O47" s="1" t="s">
        <v>167</v>
      </c>
      <c r="P47" s="1" t="s">
        <v>263</v>
      </c>
      <c r="Q47" s="1">
        <v>16.000583</v>
      </c>
      <c r="R47" s="1">
        <v>-91.554216</v>
      </c>
      <c r="S47" s="1" t="s">
        <v>148</v>
      </c>
      <c r="T47" s="2" t="s">
        <v>66</v>
      </c>
      <c r="U47" s="3" t="s">
        <v>67</v>
      </c>
      <c r="V47" s="3" t="s">
        <v>68</v>
      </c>
      <c r="W47" s="1" t="s">
        <v>344</v>
      </c>
      <c r="X47" s="1" t="s">
        <v>70</v>
      </c>
      <c r="Y47" s="5" t="s">
        <v>60</v>
      </c>
      <c r="Z47" s="3" t="s">
        <v>345</v>
      </c>
      <c r="AB47" s="1">
        <v>38.0</v>
      </c>
      <c r="AI47" s="3" t="s">
        <v>346</v>
      </c>
      <c r="AJ47" s="1">
        <v>-4000.0</v>
      </c>
      <c r="AK47" s="1">
        <v>1522.0</v>
      </c>
      <c r="AL47" s="2" t="s">
        <v>153</v>
      </c>
      <c r="AM47" s="2" t="s">
        <v>60</v>
      </c>
      <c r="AN47" s="2" t="s">
        <v>132</v>
      </c>
      <c r="AO47" s="2" t="s">
        <v>72</v>
      </c>
      <c r="AQ47" s="2" t="s">
        <v>102</v>
      </c>
      <c r="AR47" s="2" t="s">
        <v>60</v>
      </c>
      <c r="AS47" s="1">
        <v>3417.0</v>
      </c>
      <c r="AT47" s="1">
        <v>3417.0</v>
      </c>
      <c r="AU47" s="1">
        <v>1566.0</v>
      </c>
      <c r="AV47" s="1">
        <v>75.0</v>
      </c>
      <c r="AW47" s="1">
        <v>258.0</v>
      </c>
      <c r="AX47" s="1">
        <v>6710.0</v>
      </c>
      <c r="AY47" s="1">
        <v>1520.0</v>
      </c>
      <c r="AZ47" s="1" t="s">
        <v>77</v>
      </c>
      <c r="BA47" s="1" t="s">
        <v>78</v>
      </c>
    </row>
    <row r="48">
      <c r="A48" s="1" t="s">
        <v>337</v>
      </c>
      <c r="B48" s="1" t="s">
        <v>53</v>
      </c>
      <c r="C48" s="1">
        <v>2019.0</v>
      </c>
      <c r="D48" s="1" t="s">
        <v>338</v>
      </c>
      <c r="E48" s="1" t="s">
        <v>339</v>
      </c>
      <c r="F48" s="1" t="s">
        <v>340</v>
      </c>
      <c r="G48" s="1" t="s">
        <v>341</v>
      </c>
      <c r="H48" s="1" t="s">
        <v>342</v>
      </c>
      <c r="I48" s="1">
        <v>2.0</v>
      </c>
      <c r="L48" s="2" t="s">
        <v>60</v>
      </c>
      <c r="M48" s="1" t="s">
        <v>347</v>
      </c>
      <c r="N48" s="1" t="s">
        <v>62</v>
      </c>
      <c r="O48" s="1" t="s">
        <v>167</v>
      </c>
      <c r="P48" s="1" t="s">
        <v>263</v>
      </c>
      <c r="Q48" s="1">
        <v>16.000583</v>
      </c>
      <c r="R48" s="1">
        <v>-91.554216</v>
      </c>
      <c r="S48" s="1" t="s">
        <v>148</v>
      </c>
      <c r="T48" s="2" t="s">
        <v>80</v>
      </c>
      <c r="U48" s="3" t="s">
        <v>81</v>
      </c>
      <c r="V48" s="3" t="s">
        <v>68</v>
      </c>
      <c r="W48" s="1" t="s">
        <v>348</v>
      </c>
      <c r="X48" s="1" t="s">
        <v>349</v>
      </c>
      <c r="Y48" s="6" t="s">
        <v>76</v>
      </c>
      <c r="Z48" s="3" t="s">
        <v>84</v>
      </c>
      <c r="AB48" s="1">
        <v>38.0</v>
      </c>
      <c r="AI48" s="3" t="s">
        <v>346</v>
      </c>
      <c r="AJ48" s="1">
        <v>-4000.0</v>
      </c>
      <c r="AK48" s="1">
        <v>1522.0</v>
      </c>
      <c r="AL48" s="2" t="s">
        <v>153</v>
      </c>
      <c r="AM48" s="2" t="s">
        <v>60</v>
      </c>
      <c r="AN48" s="2" t="s">
        <v>132</v>
      </c>
      <c r="AO48" s="2" t="s">
        <v>72</v>
      </c>
      <c r="AQ48" s="2" t="s">
        <v>102</v>
      </c>
      <c r="AR48" s="2" t="s">
        <v>60</v>
      </c>
      <c r="AS48" s="1">
        <v>3417.0</v>
      </c>
      <c r="AT48" s="1">
        <v>3417.0</v>
      </c>
      <c r="AU48" s="1">
        <v>1566.0</v>
      </c>
      <c r="AV48" s="1">
        <v>75.0</v>
      </c>
      <c r="AW48" s="1">
        <v>258.0</v>
      </c>
      <c r="AX48" s="1">
        <v>6710.0</v>
      </c>
      <c r="AY48" s="1">
        <v>1520.0</v>
      </c>
      <c r="AZ48" s="1" t="s">
        <v>77</v>
      </c>
      <c r="BA48" s="1" t="s">
        <v>78</v>
      </c>
    </row>
    <row r="49">
      <c r="A49" s="1" t="s">
        <v>337</v>
      </c>
      <c r="B49" s="1" t="s">
        <v>53</v>
      </c>
      <c r="C49" s="1">
        <v>2019.0</v>
      </c>
      <c r="D49" s="1" t="s">
        <v>338</v>
      </c>
      <c r="E49" s="1" t="s">
        <v>339</v>
      </c>
      <c r="F49" s="1" t="s">
        <v>340</v>
      </c>
      <c r="G49" s="1" t="s">
        <v>341</v>
      </c>
      <c r="H49" s="1" t="s">
        <v>342</v>
      </c>
      <c r="I49" s="1">
        <v>2.0</v>
      </c>
      <c r="L49" s="2" t="s">
        <v>60</v>
      </c>
      <c r="M49" s="1" t="s">
        <v>350</v>
      </c>
      <c r="N49" s="1" t="s">
        <v>62</v>
      </c>
      <c r="O49" s="1" t="s">
        <v>167</v>
      </c>
      <c r="P49" s="1" t="s">
        <v>263</v>
      </c>
      <c r="Q49" s="1">
        <v>16.000583</v>
      </c>
      <c r="R49" s="1">
        <v>-91.554216</v>
      </c>
      <c r="S49" s="1" t="s">
        <v>148</v>
      </c>
      <c r="T49" s="2" t="s">
        <v>321</v>
      </c>
      <c r="U49" s="3" t="s">
        <v>81</v>
      </c>
      <c r="V49" s="3" t="s">
        <v>68</v>
      </c>
      <c r="W49" s="1" t="s">
        <v>82</v>
      </c>
      <c r="X49" s="2" t="s">
        <v>158</v>
      </c>
      <c r="Y49" s="6" t="s">
        <v>76</v>
      </c>
      <c r="Z49" s="3" t="s">
        <v>84</v>
      </c>
      <c r="AB49" s="1">
        <v>38.0</v>
      </c>
      <c r="AI49" s="3" t="s">
        <v>346</v>
      </c>
      <c r="AJ49" s="1">
        <v>-4000.0</v>
      </c>
      <c r="AK49" s="1">
        <v>1522.0</v>
      </c>
      <c r="AL49" s="2" t="s">
        <v>153</v>
      </c>
      <c r="AM49" s="2" t="s">
        <v>60</v>
      </c>
      <c r="AN49" s="2" t="s">
        <v>132</v>
      </c>
      <c r="AO49" s="2" t="s">
        <v>72</v>
      </c>
      <c r="AQ49" s="2" t="s">
        <v>102</v>
      </c>
      <c r="AR49" s="2" t="s">
        <v>60</v>
      </c>
      <c r="AS49" s="1">
        <v>3417.0</v>
      </c>
      <c r="AT49" s="1">
        <v>3417.0</v>
      </c>
      <c r="AU49" s="1">
        <v>1566.0</v>
      </c>
      <c r="AV49" s="1">
        <v>75.0</v>
      </c>
      <c r="AW49" s="1">
        <v>258.0</v>
      </c>
      <c r="AX49" s="1">
        <v>6710.0</v>
      </c>
      <c r="AY49" s="1">
        <v>1520.0</v>
      </c>
      <c r="AZ49" s="1" t="s">
        <v>77</v>
      </c>
      <c r="BA49" s="1" t="s">
        <v>78</v>
      </c>
    </row>
    <row r="50">
      <c r="A50" s="1" t="s">
        <v>337</v>
      </c>
      <c r="B50" s="1" t="s">
        <v>53</v>
      </c>
      <c r="C50" s="1">
        <v>2019.0</v>
      </c>
      <c r="D50" s="1" t="s">
        <v>338</v>
      </c>
      <c r="E50" s="1" t="s">
        <v>339</v>
      </c>
      <c r="F50" s="1" t="s">
        <v>340</v>
      </c>
      <c r="G50" s="1" t="s">
        <v>341</v>
      </c>
      <c r="H50" s="1" t="s">
        <v>342</v>
      </c>
      <c r="I50" s="1">
        <v>2.0</v>
      </c>
      <c r="L50" s="2" t="s">
        <v>60</v>
      </c>
      <c r="M50" s="1" t="s">
        <v>351</v>
      </c>
      <c r="N50" s="1" t="s">
        <v>62</v>
      </c>
      <c r="O50" s="1" t="s">
        <v>167</v>
      </c>
      <c r="P50" s="1" t="s">
        <v>263</v>
      </c>
      <c r="Q50" s="1">
        <v>16.000583</v>
      </c>
      <c r="R50" s="1">
        <v>-91.554216</v>
      </c>
      <c r="S50" s="1" t="s">
        <v>148</v>
      </c>
      <c r="T50" s="2" t="s">
        <v>352</v>
      </c>
      <c r="U50" s="7" t="s">
        <v>353</v>
      </c>
      <c r="V50" s="3" t="s">
        <v>116</v>
      </c>
      <c r="W50" s="1" t="s">
        <v>354</v>
      </c>
      <c r="X50" s="2" t="s">
        <v>355</v>
      </c>
      <c r="Y50" s="6" t="s">
        <v>76</v>
      </c>
      <c r="Z50" s="3" t="s">
        <v>76</v>
      </c>
      <c r="AB50" s="1">
        <v>38.0</v>
      </c>
      <c r="AI50" s="3" t="s">
        <v>346</v>
      </c>
      <c r="AJ50" s="1">
        <v>-4000.0</v>
      </c>
      <c r="AK50" s="1">
        <v>1522.0</v>
      </c>
      <c r="AL50" s="2" t="s">
        <v>153</v>
      </c>
      <c r="AM50" s="2" t="s">
        <v>60</v>
      </c>
      <c r="AN50" s="2" t="s">
        <v>132</v>
      </c>
      <c r="AO50" s="2" t="s">
        <v>72</v>
      </c>
      <c r="AQ50" s="2" t="s">
        <v>102</v>
      </c>
      <c r="AR50" s="2" t="s">
        <v>60</v>
      </c>
      <c r="AS50" s="1">
        <v>3417.0</v>
      </c>
      <c r="AT50" s="1">
        <v>3417.0</v>
      </c>
      <c r="AU50" s="1">
        <v>1566.0</v>
      </c>
      <c r="AV50" s="1">
        <v>75.0</v>
      </c>
      <c r="AW50" s="1">
        <v>258.0</v>
      </c>
      <c r="AX50" s="1">
        <v>6710.0</v>
      </c>
      <c r="AY50" s="1">
        <v>1520.0</v>
      </c>
      <c r="AZ50" s="1" t="s">
        <v>77</v>
      </c>
      <c r="BA50" s="1" t="s">
        <v>78</v>
      </c>
    </row>
    <row r="51">
      <c r="A51" s="1" t="s">
        <v>356</v>
      </c>
      <c r="B51" s="1" t="s">
        <v>53</v>
      </c>
      <c r="C51" s="1">
        <v>1991.0</v>
      </c>
      <c r="D51" s="1" t="s">
        <v>357</v>
      </c>
      <c r="E51" s="1" t="s">
        <v>358</v>
      </c>
      <c r="F51" s="1" t="s">
        <v>359</v>
      </c>
      <c r="G51" s="1" t="s">
        <v>360</v>
      </c>
      <c r="H51" s="1" t="s">
        <v>361</v>
      </c>
      <c r="I51" s="1">
        <v>6.0</v>
      </c>
      <c r="J51" s="1">
        <v>3.0</v>
      </c>
      <c r="K51" s="2" t="s">
        <v>362</v>
      </c>
      <c r="L51" s="2" t="s">
        <v>60</v>
      </c>
      <c r="M51" s="1" t="s">
        <v>363</v>
      </c>
      <c r="N51" s="1" t="s">
        <v>62</v>
      </c>
      <c r="O51" s="1" t="s">
        <v>146</v>
      </c>
      <c r="P51" s="1" t="s">
        <v>274</v>
      </c>
      <c r="Q51" s="1">
        <v>8.45</v>
      </c>
      <c r="R51" s="1">
        <v>-80.85</v>
      </c>
      <c r="S51" s="1" t="s">
        <v>148</v>
      </c>
      <c r="T51" s="2" t="s">
        <v>66</v>
      </c>
      <c r="U51" s="3" t="s">
        <v>314</v>
      </c>
      <c r="V51" s="3" t="s">
        <v>68</v>
      </c>
      <c r="W51" s="1" t="s">
        <v>364</v>
      </c>
      <c r="X51" s="2" t="s">
        <v>355</v>
      </c>
      <c r="Y51" s="6" t="s">
        <v>76</v>
      </c>
      <c r="Z51" s="3" t="s">
        <v>316</v>
      </c>
      <c r="AB51" s="1">
        <v>12.0</v>
      </c>
      <c r="AI51" s="2" t="s">
        <v>72</v>
      </c>
      <c r="AJ51" s="1">
        <v>-12350.0</v>
      </c>
      <c r="AK51" s="1">
        <v>1950.0</v>
      </c>
      <c r="AL51" s="2" t="s">
        <v>153</v>
      </c>
      <c r="AM51" s="2" t="s">
        <v>72</v>
      </c>
      <c r="AN51" s="2" t="s">
        <v>72</v>
      </c>
      <c r="AO51" s="2" t="s">
        <v>72</v>
      </c>
      <c r="AQ51" s="2" t="s">
        <v>102</v>
      </c>
      <c r="AR51" s="2" t="s">
        <v>76</v>
      </c>
      <c r="AS51" s="1">
        <v>2747.0</v>
      </c>
      <c r="AT51" s="1">
        <v>2747.0</v>
      </c>
      <c r="AU51" s="1">
        <v>1232.0</v>
      </c>
      <c r="AV51" s="1">
        <v>7.0</v>
      </c>
      <c r="AW51" s="1">
        <v>94.0</v>
      </c>
      <c r="AX51" s="1">
        <v>7025.0</v>
      </c>
      <c r="AY51" s="1">
        <v>695.0</v>
      </c>
      <c r="AZ51" s="1" t="s">
        <v>281</v>
      </c>
      <c r="BA51" s="1" t="s">
        <v>121</v>
      </c>
    </row>
    <row r="52">
      <c r="A52" s="1" t="s">
        <v>356</v>
      </c>
      <c r="B52" s="1" t="s">
        <v>53</v>
      </c>
      <c r="C52" s="1">
        <v>1991.0</v>
      </c>
      <c r="D52" s="1" t="s">
        <v>357</v>
      </c>
      <c r="E52" s="1" t="s">
        <v>358</v>
      </c>
      <c r="F52" s="1" t="s">
        <v>359</v>
      </c>
      <c r="G52" s="1" t="s">
        <v>360</v>
      </c>
      <c r="H52" s="1" t="s">
        <v>361</v>
      </c>
      <c r="I52" s="1">
        <v>6.0</v>
      </c>
      <c r="J52" s="1">
        <v>3.0</v>
      </c>
      <c r="K52" s="2" t="s">
        <v>362</v>
      </c>
      <c r="L52" s="2" t="s">
        <v>60</v>
      </c>
      <c r="M52" s="1" t="s">
        <v>365</v>
      </c>
      <c r="N52" s="1" t="s">
        <v>62</v>
      </c>
      <c r="O52" s="1" t="s">
        <v>146</v>
      </c>
      <c r="P52" s="1" t="s">
        <v>274</v>
      </c>
      <c r="Q52" s="1">
        <v>8.45</v>
      </c>
      <c r="R52" s="1">
        <v>-80.85</v>
      </c>
      <c r="S52" s="1" t="s">
        <v>148</v>
      </c>
      <c r="T52" s="2" t="s">
        <v>293</v>
      </c>
      <c r="U52" s="3" t="s">
        <v>314</v>
      </c>
      <c r="V52" s="3" t="s">
        <v>68</v>
      </c>
      <c r="W52" s="1" t="s">
        <v>366</v>
      </c>
      <c r="X52" s="2" t="s">
        <v>355</v>
      </c>
      <c r="Y52" s="6" t="s">
        <v>76</v>
      </c>
      <c r="Z52" s="3" t="s">
        <v>316</v>
      </c>
      <c r="AB52" s="1">
        <v>12.0</v>
      </c>
      <c r="AI52" s="2" t="s">
        <v>72</v>
      </c>
      <c r="AJ52" s="1">
        <v>-12350.0</v>
      </c>
      <c r="AK52" s="1">
        <v>1950.0</v>
      </c>
      <c r="AL52" s="2" t="s">
        <v>153</v>
      </c>
      <c r="AM52" s="2" t="s">
        <v>72</v>
      </c>
      <c r="AN52" s="2" t="s">
        <v>72</v>
      </c>
      <c r="AO52" s="2" t="s">
        <v>72</v>
      </c>
      <c r="AQ52" s="2" t="s">
        <v>102</v>
      </c>
      <c r="AR52" s="2" t="s">
        <v>76</v>
      </c>
      <c r="AS52" s="1">
        <v>2747.0</v>
      </c>
      <c r="AT52" s="1">
        <v>2747.0</v>
      </c>
      <c r="AU52" s="1">
        <v>1232.0</v>
      </c>
      <c r="AV52" s="1">
        <v>7.0</v>
      </c>
      <c r="AW52" s="1">
        <v>94.0</v>
      </c>
      <c r="AX52" s="1">
        <v>7025.0</v>
      </c>
      <c r="AY52" s="1">
        <v>695.0</v>
      </c>
      <c r="AZ52" s="1" t="s">
        <v>281</v>
      </c>
      <c r="BA52" s="1" t="s">
        <v>121</v>
      </c>
    </row>
    <row r="53">
      <c r="A53" s="1" t="s">
        <v>356</v>
      </c>
      <c r="B53" s="1" t="s">
        <v>53</v>
      </c>
      <c r="C53" s="1">
        <v>1991.0</v>
      </c>
      <c r="D53" s="1" t="s">
        <v>357</v>
      </c>
      <c r="E53" s="1" t="s">
        <v>358</v>
      </c>
      <c r="F53" s="1" t="s">
        <v>359</v>
      </c>
      <c r="G53" s="1" t="s">
        <v>360</v>
      </c>
      <c r="H53" s="1" t="s">
        <v>361</v>
      </c>
      <c r="I53" s="1">
        <v>6.0</v>
      </c>
      <c r="J53" s="1">
        <v>3.0</v>
      </c>
      <c r="K53" s="2" t="s">
        <v>362</v>
      </c>
      <c r="L53" s="2" t="s">
        <v>60</v>
      </c>
      <c r="M53" s="1" t="s">
        <v>367</v>
      </c>
      <c r="N53" s="1" t="s">
        <v>62</v>
      </c>
      <c r="O53" s="1" t="s">
        <v>146</v>
      </c>
      <c r="P53" s="1" t="s">
        <v>274</v>
      </c>
      <c r="Q53" s="1">
        <v>8.45</v>
      </c>
      <c r="R53" s="1">
        <v>-80.85</v>
      </c>
      <c r="S53" s="1" t="s">
        <v>148</v>
      </c>
      <c r="T53" s="2" t="s">
        <v>80</v>
      </c>
      <c r="U53" s="3" t="s">
        <v>81</v>
      </c>
      <c r="V53" s="3" t="s">
        <v>68</v>
      </c>
      <c r="W53" s="2" t="s">
        <v>72</v>
      </c>
      <c r="X53" s="2" t="s">
        <v>355</v>
      </c>
      <c r="Y53" s="6" t="s">
        <v>76</v>
      </c>
      <c r="Z53" s="3" t="s">
        <v>84</v>
      </c>
      <c r="AB53" s="1">
        <v>12.0</v>
      </c>
      <c r="AI53" s="2" t="s">
        <v>72</v>
      </c>
      <c r="AJ53" s="1">
        <v>-12350.0</v>
      </c>
      <c r="AK53" s="1">
        <v>1950.0</v>
      </c>
      <c r="AL53" s="2" t="s">
        <v>153</v>
      </c>
      <c r="AM53" s="2" t="s">
        <v>72</v>
      </c>
      <c r="AN53" s="2" t="s">
        <v>72</v>
      </c>
      <c r="AO53" s="2" t="s">
        <v>72</v>
      </c>
      <c r="AQ53" s="2" t="s">
        <v>102</v>
      </c>
      <c r="AR53" s="2" t="s">
        <v>76</v>
      </c>
      <c r="AS53" s="1">
        <v>2747.0</v>
      </c>
      <c r="AT53" s="1">
        <v>2747.0</v>
      </c>
      <c r="AU53" s="1">
        <v>1232.0</v>
      </c>
      <c r="AV53" s="1">
        <v>7.0</v>
      </c>
      <c r="AW53" s="1">
        <v>94.0</v>
      </c>
      <c r="AX53" s="1">
        <v>7025.0</v>
      </c>
      <c r="AY53" s="1">
        <v>695.0</v>
      </c>
      <c r="AZ53" s="1" t="s">
        <v>281</v>
      </c>
      <c r="BA53" s="1" t="s">
        <v>121</v>
      </c>
    </row>
    <row r="54">
      <c r="A54" s="1" t="s">
        <v>356</v>
      </c>
      <c r="B54" s="1" t="s">
        <v>53</v>
      </c>
      <c r="C54" s="1">
        <v>1991.0</v>
      </c>
      <c r="D54" s="1" t="s">
        <v>357</v>
      </c>
      <c r="E54" s="1" t="s">
        <v>358</v>
      </c>
      <c r="F54" s="1" t="s">
        <v>359</v>
      </c>
      <c r="G54" s="1" t="s">
        <v>360</v>
      </c>
      <c r="H54" s="1" t="s">
        <v>361</v>
      </c>
      <c r="I54" s="1">
        <v>6.0</v>
      </c>
      <c r="J54" s="1">
        <v>3.0</v>
      </c>
      <c r="K54" s="2" t="s">
        <v>362</v>
      </c>
      <c r="L54" s="2" t="s">
        <v>60</v>
      </c>
      <c r="M54" s="1" t="s">
        <v>368</v>
      </c>
      <c r="N54" s="1" t="s">
        <v>62</v>
      </c>
      <c r="O54" s="1" t="s">
        <v>146</v>
      </c>
      <c r="P54" s="1" t="s">
        <v>274</v>
      </c>
      <c r="Q54" s="1">
        <v>8.45</v>
      </c>
      <c r="R54" s="1">
        <v>-80.85</v>
      </c>
      <c r="S54" s="1" t="s">
        <v>148</v>
      </c>
      <c r="T54" s="2" t="s">
        <v>321</v>
      </c>
      <c r="U54" s="3" t="s">
        <v>81</v>
      </c>
      <c r="V54" s="3" t="s">
        <v>68</v>
      </c>
      <c r="W54" s="2" t="s">
        <v>72</v>
      </c>
      <c r="X54" s="2" t="s">
        <v>355</v>
      </c>
      <c r="Y54" s="6" t="s">
        <v>76</v>
      </c>
      <c r="Z54" s="3" t="s">
        <v>84</v>
      </c>
      <c r="AB54" s="1">
        <v>12.0</v>
      </c>
      <c r="AI54" s="2" t="s">
        <v>72</v>
      </c>
      <c r="AJ54" s="1">
        <v>-12350.0</v>
      </c>
      <c r="AK54" s="1">
        <v>1950.0</v>
      </c>
      <c r="AL54" s="2" t="s">
        <v>153</v>
      </c>
      <c r="AM54" s="2" t="s">
        <v>72</v>
      </c>
      <c r="AN54" s="2" t="s">
        <v>72</v>
      </c>
      <c r="AO54" s="2" t="s">
        <v>72</v>
      </c>
      <c r="AQ54" s="2" t="s">
        <v>102</v>
      </c>
      <c r="AR54" s="2" t="s">
        <v>76</v>
      </c>
      <c r="AS54" s="1">
        <v>2747.0</v>
      </c>
      <c r="AT54" s="1">
        <v>2747.0</v>
      </c>
      <c r="AU54" s="1">
        <v>1232.0</v>
      </c>
      <c r="AV54" s="1">
        <v>7.0</v>
      </c>
      <c r="AW54" s="1">
        <v>94.0</v>
      </c>
      <c r="AX54" s="1">
        <v>7025.0</v>
      </c>
      <c r="AY54" s="1">
        <v>695.0</v>
      </c>
      <c r="AZ54" s="1" t="s">
        <v>281</v>
      </c>
      <c r="BA54" s="1" t="s">
        <v>121</v>
      </c>
    </row>
    <row r="55">
      <c r="A55" s="1" t="s">
        <v>369</v>
      </c>
      <c r="B55" s="1" t="s">
        <v>53</v>
      </c>
      <c r="C55" s="1">
        <v>2011.0</v>
      </c>
      <c r="D55" s="1" t="s">
        <v>370</v>
      </c>
      <c r="E55" s="1" t="s">
        <v>371</v>
      </c>
      <c r="F55" s="1" t="s">
        <v>359</v>
      </c>
      <c r="G55" s="1" t="s">
        <v>372</v>
      </c>
      <c r="H55" s="1" t="s">
        <v>373</v>
      </c>
      <c r="I55" s="1">
        <v>26.0</v>
      </c>
      <c r="J55" s="1">
        <v>3.0</v>
      </c>
      <c r="K55" s="2" t="s">
        <v>374</v>
      </c>
      <c r="L55" s="2" t="s">
        <v>60</v>
      </c>
      <c r="M55" s="1" t="s">
        <v>375</v>
      </c>
      <c r="N55" s="1" t="s">
        <v>62</v>
      </c>
      <c r="O55" s="1" t="s">
        <v>167</v>
      </c>
      <c r="P55" s="1" t="s">
        <v>376</v>
      </c>
      <c r="Q55" s="1">
        <v>14.456389</v>
      </c>
      <c r="R55" s="1">
        <v>-90.566111</v>
      </c>
      <c r="S55" s="1" t="s">
        <v>148</v>
      </c>
      <c r="T55" s="2" t="s">
        <v>66</v>
      </c>
      <c r="U55" s="3" t="s">
        <v>67</v>
      </c>
      <c r="V55" s="3" t="s">
        <v>68</v>
      </c>
      <c r="W55" s="1" t="s">
        <v>377</v>
      </c>
      <c r="X55" s="1" t="s">
        <v>70</v>
      </c>
      <c r="Y55" s="5" t="s">
        <v>60</v>
      </c>
      <c r="Z55" s="3" t="s">
        <v>345</v>
      </c>
      <c r="AB55" s="1">
        <v>5.0</v>
      </c>
      <c r="AI55" s="2" t="s">
        <v>72</v>
      </c>
      <c r="AJ55" s="1">
        <v>-1000.0</v>
      </c>
      <c r="AK55" s="1">
        <v>2000.0</v>
      </c>
      <c r="AL55" s="2" t="s">
        <v>73</v>
      </c>
      <c r="AM55" s="2" t="s">
        <v>72</v>
      </c>
      <c r="AN55" s="1" t="s">
        <v>238</v>
      </c>
      <c r="AO55" s="2" t="s">
        <v>72</v>
      </c>
      <c r="AQ55" s="2" t="s">
        <v>75</v>
      </c>
      <c r="AR55" s="2" t="s">
        <v>76</v>
      </c>
      <c r="AS55" s="1">
        <v>1344.0</v>
      </c>
      <c r="AT55" s="1">
        <v>1344.0</v>
      </c>
      <c r="AU55" s="1">
        <v>729.0</v>
      </c>
      <c r="AV55" s="1">
        <v>1.0</v>
      </c>
      <c r="AW55" s="1">
        <v>7.0</v>
      </c>
      <c r="AX55" s="1">
        <v>10277.0</v>
      </c>
      <c r="AY55" s="1">
        <v>1198.0</v>
      </c>
      <c r="AZ55" s="1" t="s">
        <v>77</v>
      </c>
      <c r="BA55" s="1" t="s">
        <v>78</v>
      </c>
    </row>
    <row r="56">
      <c r="A56" s="1" t="s">
        <v>369</v>
      </c>
      <c r="B56" s="1" t="s">
        <v>53</v>
      </c>
      <c r="C56" s="1">
        <v>2011.0</v>
      </c>
      <c r="D56" s="1" t="s">
        <v>370</v>
      </c>
      <c r="E56" s="1" t="s">
        <v>371</v>
      </c>
      <c r="F56" s="1" t="s">
        <v>359</v>
      </c>
      <c r="G56" s="1" t="s">
        <v>372</v>
      </c>
      <c r="H56" s="1" t="s">
        <v>373</v>
      </c>
      <c r="I56" s="1">
        <v>26.0</v>
      </c>
      <c r="J56" s="1">
        <v>3.0</v>
      </c>
      <c r="K56" s="2" t="s">
        <v>374</v>
      </c>
      <c r="L56" s="2" t="s">
        <v>60</v>
      </c>
      <c r="M56" s="1" t="s">
        <v>378</v>
      </c>
      <c r="N56" s="1" t="s">
        <v>62</v>
      </c>
      <c r="O56" s="1" t="s">
        <v>167</v>
      </c>
      <c r="P56" s="1" t="s">
        <v>376</v>
      </c>
      <c r="Q56" s="1">
        <v>14.456389</v>
      </c>
      <c r="R56" s="1">
        <v>-90.566111</v>
      </c>
      <c r="S56" s="1" t="s">
        <v>148</v>
      </c>
      <c r="T56" s="2" t="s">
        <v>149</v>
      </c>
      <c r="U56" s="2" t="s">
        <v>379</v>
      </c>
      <c r="V56" s="3" t="s">
        <v>299</v>
      </c>
      <c r="W56" s="1" t="s">
        <v>264</v>
      </c>
      <c r="X56" s="1" t="s">
        <v>70</v>
      </c>
      <c r="Y56" s="6" t="s">
        <v>76</v>
      </c>
      <c r="Z56" s="3" t="s">
        <v>380</v>
      </c>
      <c r="AB56" s="1">
        <v>5.0</v>
      </c>
      <c r="AI56" s="2" t="s">
        <v>72</v>
      </c>
      <c r="AJ56" s="1">
        <v>-1000.0</v>
      </c>
      <c r="AK56" s="1">
        <v>2000.0</v>
      </c>
      <c r="AL56" s="2" t="s">
        <v>73</v>
      </c>
      <c r="AM56" s="2" t="s">
        <v>72</v>
      </c>
      <c r="AN56" s="1" t="s">
        <v>238</v>
      </c>
      <c r="AO56" s="2" t="s">
        <v>72</v>
      </c>
      <c r="AQ56" s="2" t="s">
        <v>75</v>
      </c>
      <c r="AR56" s="2" t="s">
        <v>76</v>
      </c>
      <c r="AS56" s="1">
        <v>1344.0</v>
      </c>
      <c r="AT56" s="1">
        <v>1344.0</v>
      </c>
      <c r="AU56" s="1">
        <v>729.0</v>
      </c>
      <c r="AV56" s="1">
        <v>1.0</v>
      </c>
      <c r="AW56" s="1">
        <v>7.0</v>
      </c>
      <c r="AX56" s="1">
        <v>10277.0</v>
      </c>
      <c r="AY56" s="1">
        <v>1198.0</v>
      </c>
      <c r="AZ56" s="1" t="s">
        <v>77</v>
      </c>
      <c r="BA56" s="1" t="s">
        <v>78</v>
      </c>
    </row>
    <row r="57">
      <c r="A57" s="1" t="s">
        <v>369</v>
      </c>
      <c r="B57" s="1" t="s">
        <v>53</v>
      </c>
      <c r="C57" s="1">
        <v>2011.0</v>
      </c>
      <c r="D57" s="1" t="s">
        <v>370</v>
      </c>
      <c r="E57" s="1" t="s">
        <v>371</v>
      </c>
      <c r="F57" s="1" t="s">
        <v>359</v>
      </c>
      <c r="G57" s="1" t="s">
        <v>372</v>
      </c>
      <c r="H57" s="1" t="s">
        <v>373</v>
      </c>
      <c r="I57" s="1">
        <v>26.0</v>
      </c>
      <c r="J57" s="1">
        <v>3.0</v>
      </c>
      <c r="K57" s="2" t="s">
        <v>374</v>
      </c>
      <c r="L57" s="2" t="s">
        <v>60</v>
      </c>
      <c r="M57" s="1" t="s">
        <v>381</v>
      </c>
      <c r="N57" s="1" t="s">
        <v>62</v>
      </c>
      <c r="O57" s="1" t="s">
        <v>167</v>
      </c>
      <c r="P57" s="1" t="s">
        <v>376</v>
      </c>
      <c r="Q57" s="1">
        <v>14.456389</v>
      </c>
      <c r="R57" s="1">
        <v>-90.566111</v>
      </c>
      <c r="S57" s="1" t="s">
        <v>148</v>
      </c>
      <c r="T57" s="2" t="s">
        <v>382</v>
      </c>
      <c r="U57" s="2" t="s">
        <v>383</v>
      </c>
      <c r="V57" s="3" t="s">
        <v>68</v>
      </c>
      <c r="W57" s="1" t="s">
        <v>384</v>
      </c>
      <c r="X57" s="2" t="s">
        <v>72</v>
      </c>
      <c r="Y57" s="6" t="s">
        <v>76</v>
      </c>
      <c r="Z57" s="3" t="s">
        <v>173</v>
      </c>
      <c r="AB57" s="1">
        <v>5.0</v>
      </c>
      <c r="AI57" s="2" t="s">
        <v>72</v>
      </c>
      <c r="AJ57" s="1">
        <v>-1000.0</v>
      </c>
      <c r="AK57" s="1">
        <v>2000.0</v>
      </c>
      <c r="AL57" s="2" t="s">
        <v>73</v>
      </c>
      <c r="AM57" s="2" t="s">
        <v>72</v>
      </c>
      <c r="AN57" s="1" t="s">
        <v>238</v>
      </c>
      <c r="AO57" s="2" t="s">
        <v>72</v>
      </c>
      <c r="AQ57" s="2" t="s">
        <v>75</v>
      </c>
      <c r="AR57" s="2" t="s">
        <v>76</v>
      </c>
      <c r="AS57" s="1">
        <v>1344.0</v>
      </c>
      <c r="AT57" s="1">
        <v>1344.0</v>
      </c>
      <c r="AU57" s="1">
        <v>729.0</v>
      </c>
      <c r="AV57" s="1">
        <v>1.0</v>
      </c>
      <c r="AW57" s="1">
        <v>7.0</v>
      </c>
      <c r="AX57" s="1">
        <v>10277.0</v>
      </c>
      <c r="AY57" s="1">
        <v>1198.0</v>
      </c>
      <c r="AZ57" s="1" t="s">
        <v>77</v>
      </c>
      <c r="BA57" s="1" t="s">
        <v>78</v>
      </c>
    </row>
    <row r="58">
      <c r="A58" s="1" t="s">
        <v>369</v>
      </c>
      <c r="B58" s="1" t="s">
        <v>53</v>
      </c>
      <c r="C58" s="1">
        <v>2011.0</v>
      </c>
      <c r="D58" s="1" t="s">
        <v>370</v>
      </c>
      <c r="E58" s="1" t="s">
        <v>371</v>
      </c>
      <c r="F58" s="1" t="s">
        <v>359</v>
      </c>
      <c r="G58" s="1" t="s">
        <v>372</v>
      </c>
      <c r="H58" s="1" t="s">
        <v>373</v>
      </c>
      <c r="I58" s="1">
        <v>26.0</v>
      </c>
      <c r="J58" s="1">
        <v>3.0</v>
      </c>
      <c r="K58" s="2" t="s">
        <v>374</v>
      </c>
      <c r="L58" s="2" t="s">
        <v>60</v>
      </c>
      <c r="M58" s="1" t="s">
        <v>385</v>
      </c>
      <c r="N58" s="1" t="s">
        <v>62</v>
      </c>
      <c r="O58" s="1" t="s">
        <v>167</v>
      </c>
      <c r="P58" s="1" t="s">
        <v>376</v>
      </c>
      <c r="Q58" s="1">
        <v>14.456389</v>
      </c>
      <c r="R58" s="1">
        <v>-90.566111</v>
      </c>
      <c r="S58" s="1" t="s">
        <v>148</v>
      </c>
      <c r="T58" s="2" t="s">
        <v>194</v>
      </c>
      <c r="U58" s="1" t="s">
        <v>173</v>
      </c>
      <c r="V58" s="3" t="s">
        <v>68</v>
      </c>
      <c r="W58" s="1" t="s">
        <v>386</v>
      </c>
      <c r="X58" s="1" t="s">
        <v>70</v>
      </c>
      <c r="Y58" s="6" t="s">
        <v>76</v>
      </c>
      <c r="Z58" s="1" t="s">
        <v>173</v>
      </c>
      <c r="AB58" s="1">
        <v>5.0</v>
      </c>
      <c r="AI58" s="2" t="s">
        <v>72</v>
      </c>
      <c r="AJ58" s="1">
        <v>-1000.0</v>
      </c>
      <c r="AK58" s="1">
        <v>2000.0</v>
      </c>
      <c r="AL58" s="2" t="s">
        <v>73</v>
      </c>
      <c r="AM58" s="2" t="s">
        <v>72</v>
      </c>
      <c r="AN58" s="1" t="s">
        <v>238</v>
      </c>
      <c r="AO58" s="2" t="s">
        <v>72</v>
      </c>
      <c r="AQ58" s="2" t="s">
        <v>75</v>
      </c>
      <c r="AR58" s="2" t="s">
        <v>76</v>
      </c>
      <c r="AS58" s="1">
        <v>1344.0</v>
      </c>
      <c r="AT58" s="1">
        <v>1344.0</v>
      </c>
      <c r="AU58" s="1">
        <v>729.0</v>
      </c>
      <c r="AV58" s="1">
        <v>1.0</v>
      </c>
      <c r="AW58" s="1">
        <v>7.0</v>
      </c>
      <c r="AX58" s="1">
        <v>10277.0</v>
      </c>
      <c r="AY58" s="1">
        <v>1198.0</v>
      </c>
      <c r="AZ58" s="1" t="s">
        <v>77</v>
      </c>
      <c r="BA58" s="1" t="s">
        <v>78</v>
      </c>
    </row>
    <row r="59">
      <c r="A59" s="1" t="s">
        <v>369</v>
      </c>
      <c r="B59" s="1" t="s">
        <v>53</v>
      </c>
      <c r="C59" s="1">
        <v>2011.0</v>
      </c>
      <c r="D59" s="1" t="s">
        <v>370</v>
      </c>
      <c r="E59" s="1" t="s">
        <v>371</v>
      </c>
      <c r="F59" s="1" t="s">
        <v>359</v>
      </c>
      <c r="G59" s="1" t="s">
        <v>372</v>
      </c>
      <c r="H59" s="1" t="s">
        <v>373</v>
      </c>
      <c r="I59" s="1">
        <v>26.0</v>
      </c>
      <c r="J59" s="1">
        <v>3.0</v>
      </c>
      <c r="K59" s="2" t="s">
        <v>374</v>
      </c>
      <c r="L59" s="2" t="s">
        <v>60</v>
      </c>
      <c r="M59" s="1" t="s">
        <v>387</v>
      </c>
      <c r="N59" s="1" t="s">
        <v>62</v>
      </c>
      <c r="O59" s="1" t="s">
        <v>167</v>
      </c>
      <c r="P59" s="1" t="s">
        <v>376</v>
      </c>
      <c r="Q59" s="1">
        <v>14.456389</v>
      </c>
      <c r="R59" s="1">
        <v>-90.566111</v>
      </c>
      <c r="S59" s="1" t="s">
        <v>148</v>
      </c>
      <c r="T59" s="2" t="s">
        <v>388</v>
      </c>
      <c r="U59" s="1" t="s">
        <v>173</v>
      </c>
      <c r="V59" s="3" t="s">
        <v>68</v>
      </c>
      <c r="W59" s="1" t="s">
        <v>389</v>
      </c>
      <c r="X59" s="1" t="s">
        <v>70</v>
      </c>
      <c r="Y59" s="6" t="s">
        <v>76</v>
      </c>
      <c r="Z59" s="1" t="s">
        <v>173</v>
      </c>
      <c r="AB59" s="1">
        <v>5.0</v>
      </c>
      <c r="AI59" s="2" t="s">
        <v>72</v>
      </c>
      <c r="AJ59" s="1">
        <v>-1000.0</v>
      </c>
      <c r="AK59" s="1">
        <v>2000.0</v>
      </c>
      <c r="AL59" s="2" t="s">
        <v>73</v>
      </c>
      <c r="AM59" s="2" t="s">
        <v>72</v>
      </c>
      <c r="AN59" s="1" t="s">
        <v>238</v>
      </c>
      <c r="AO59" s="2" t="s">
        <v>72</v>
      </c>
      <c r="AQ59" s="2" t="s">
        <v>75</v>
      </c>
      <c r="AR59" s="2" t="s">
        <v>76</v>
      </c>
      <c r="AS59" s="1">
        <v>1344.0</v>
      </c>
      <c r="AT59" s="1">
        <v>1344.0</v>
      </c>
      <c r="AU59" s="1">
        <v>729.0</v>
      </c>
      <c r="AV59" s="1">
        <v>1.0</v>
      </c>
      <c r="AW59" s="1">
        <v>7.0</v>
      </c>
      <c r="AX59" s="1">
        <v>10277.0</v>
      </c>
      <c r="AY59" s="1">
        <v>1198.0</v>
      </c>
      <c r="AZ59" s="1" t="s">
        <v>77</v>
      </c>
      <c r="BA59" s="1" t="s">
        <v>78</v>
      </c>
    </row>
    <row r="60">
      <c r="A60" s="1" t="s">
        <v>390</v>
      </c>
      <c r="B60" s="1" t="s">
        <v>53</v>
      </c>
      <c r="C60" s="1">
        <v>2017.0</v>
      </c>
      <c r="D60" s="1" t="s">
        <v>391</v>
      </c>
      <c r="E60" s="1" t="s">
        <v>392</v>
      </c>
      <c r="F60" s="1" t="s">
        <v>359</v>
      </c>
      <c r="G60" s="1" t="s">
        <v>393</v>
      </c>
      <c r="H60" s="1" t="s">
        <v>394</v>
      </c>
      <c r="I60" s="1">
        <v>32.0</v>
      </c>
      <c r="J60" s="1">
        <v>1.0</v>
      </c>
      <c r="K60" s="2" t="s">
        <v>395</v>
      </c>
      <c r="L60" s="2" t="s">
        <v>60</v>
      </c>
      <c r="M60" s="1" t="s">
        <v>396</v>
      </c>
      <c r="N60" s="1" t="s">
        <v>62</v>
      </c>
      <c r="O60" s="1" t="s">
        <v>167</v>
      </c>
      <c r="P60" s="1" t="s">
        <v>397</v>
      </c>
      <c r="Q60" s="1">
        <v>17.239926</v>
      </c>
      <c r="R60" s="1">
        <v>-89.804629</v>
      </c>
      <c r="S60" s="1" t="s">
        <v>398</v>
      </c>
      <c r="T60" s="2" t="s">
        <v>189</v>
      </c>
      <c r="U60" s="1" t="s">
        <v>173</v>
      </c>
      <c r="V60" s="3" t="s">
        <v>68</v>
      </c>
      <c r="W60" s="1" t="s">
        <v>191</v>
      </c>
      <c r="X60" s="1" t="s">
        <v>70</v>
      </c>
      <c r="Y60" s="6" t="s">
        <v>76</v>
      </c>
      <c r="Z60" s="1" t="s">
        <v>173</v>
      </c>
      <c r="AB60" s="1">
        <v>3.0</v>
      </c>
      <c r="AI60" s="1" t="s">
        <v>399</v>
      </c>
      <c r="AJ60" s="1">
        <v>220.0</v>
      </c>
      <c r="AK60" s="1">
        <v>760.0</v>
      </c>
      <c r="AL60" s="2" t="s">
        <v>100</v>
      </c>
      <c r="AM60" s="2" t="s">
        <v>72</v>
      </c>
      <c r="AN60" s="1" t="s">
        <v>400</v>
      </c>
      <c r="AO60" s="2" t="s">
        <v>72</v>
      </c>
      <c r="AQ60" s="2" t="s">
        <v>75</v>
      </c>
      <c r="AR60" s="2" t="s">
        <v>76</v>
      </c>
      <c r="AS60" s="1">
        <v>1616.0</v>
      </c>
      <c r="AT60" s="1">
        <v>1616.0</v>
      </c>
      <c r="AU60" s="1">
        <v>647.0</v>
      </c>
      <c r="AV60" s="1">
        <v>38.0</v>
      </c>
      <c r="AW60" s="1">
        <v>128.0</v>
      </c>
      <c r="AX60" s="1">
        <v>5637.0</v>
      </c>
      <c r="AY60" s="1">
        <v>226.0</v>
      </c>
      <c r="AZ60" s="1" t="s">
        <v>133</v>
      </c>
      <c r="BA60" s="1" t="s">
        <v>121</v>
      </c>
    </row>
    <row r="61">
      <c r="A61" s="1" t="s">
        <v>390</v>
      </c>
      <c r="B61" s="1" t="s">
        <v>53</v>
      </c>
      <c r="C61" s="1">
        <v>2017.0</v>
      </c>
      <c r="D61" s="1" t="s">
        <v>391</v>
      </c>
      <c r="E61" s="1" t="s">
        <v>392</v>
      </c>
      <c r="F61" s="1" t="s">
        <v>359</v>
      </c>
      <c r="G61" s="1" t="s">
        <v>393</v>
      </c>
      <c r="H61" s="1" t="s">
        <v>394</v>
      </c>
      <c r="I61" s="1">
        <v>32.0</v>
      </c>
      <c r="J61" s="1">
        <v>1.0</v>
      </c>
      <c r="K61" s="2" t="s">
        <v>395</v>
      </c>
      <c r="L61" s="2" t="s">
        <v>60</v>
      </c>
      <c r="M61" s="1" t="s">
        <v>401</v>
      </c>
      <c r="N61" s="1" t="s">
        <v>62</v>
      </c>
      <c r="O61" s="1" t="s">
        <v>167</v>
      </c>
      <c r="P61" s="1" t="s">
        <v>402</v>
      </c>
      <c r="Q61" s="1">
        <v>17.239567</v>
      </c>
      <c r="R61" s="1">
        <v>-89.810542</v>
      </c>
      <c r="S61" s="1" t="s">
        <v>398</v>
      </c>
      <c r="T61" s="2" t="s">
        <v>189</v>
      </c>
      <c r="U61" s="1" t="s">
        <v>173</v>
      </c>
      <c r="V61" s="3" t="s">
        <v>68</v>
      </c>
      <c r="W61" s="1" t="s">
        <v>191</v>
      </c>
      <c r="X61" s="1" t="s">
        <v>70</v>
      </c>
      <c r="Y61" s="6" t="s">
        <v>76</v>
      </c>
      <c r="Z61" s="1" t="s">
        <v>173</v>
      </c>
      <c r="AB61" s="1">
        <v>2.0</v>
      </c>
      <c r="AI61" s="1" t="s">
        <v>399</v>
      </c>
      <c r="AJ61" s="1">
        <v>255.0</v>
      </c>
      <c r="AK61" s="1">
        <v>370.0</v>
      </c>
      <c r="AL61" s="2" t="s">
        <v>100</v>
      </c>
      <c r="AM61" s="2" t="s">
        <v>72</v>
      </c>
      <c r="AN61" s="1" t="s">
        <v>400</v>
      </c>
      <c r="AO61" s="2" t="s">
        <v>72</v>
      </c>
      <c r="AQ61" s="2" t="s">
        <v>75</v>
      </c>
      <c r="AR61" s="2" t="s">
        <v>76</v>
      </c>
      <c r="AS61" s="1">
        <v>1621.0</v>
      </c>
      <c r="AT61" s="1">
        <v>1621.0</v>
      </c>
      <c r="AU61" s="1">
        <v>649.0</v>
      </c>
      <c r="AV61" s="1">
        <v>38.0</v>
      </c>
      <c r="AW61" s="1">
        <v>130.0</v>
      </c>
      <c r="AX61" s="1">
        <v>5627.0</v>
      </c>
      <c r="AY61" s="1">
        <v>249.0</v>
      </c>
      <c r="AZ61" s="1" t="s">
        <v>133</v>
      </c>
      <c r="BA61" s="1" t="s">
        <v>121</v>
      </c>
    </row>
    <row r="62">
      <c r="A62" s="1" t="s">
        <v>390</v>
      </c>
      <c r="B62" s="1" t="s">
        <v>53</v>
      </c>
      <c r="C62" s="1">
        <v>2017.0</v>
      </c>
      <c r="D62" s="1" t="s">
        <v>391</v>
      </c>
      <c r="E62" s="1" t="s">
        <v>392</v>
      </c>
      <c r="F62" s="1" t="s">
        <v>359</v>
      </c>
      <c r="G62" s="1" t="s">
        <v>393</v>
      </c>
      <c r="H62" s="1" t="s">
        <v>394</v>
      </c>
      <c r="I62" s="1">
        <v>32.0</v>
      </c>
      <c r="J62" s="1">
        <v>1.0</v>
      </c>
      <c r="K62" s="2" t="s">
        <v>395</v>
      </c>
      <c r="L62" s="2" t="s">
        <v>60</v>
      </c>
      <c r="M62" s="1" t="s">
        <v>403</v>
      </c>
      <c r="N62" s="1" t="s">
        <v>62</v>
      </c>
      <c r="O62" s="1" t="s">
        <v>167</v>
      </c>
      <c r="P62" s="1" t="s">
        <v>404</v>
      </c>
      <c r="Q62" s="1">
        <v>17.228088</v>
      </c>
      <c r="R62" s="1">
        <v>-89.761455</v>
      </c>
      <c r="S62" s="1" t="s">
        <v>398</v>
      </c>
      <c r="T62" s="2" t="s">
        <v>189</v>
      </c>
      <c r="U62" s="1" t="s">
        <v>173</v>
      </c>
      <c r="V62" s="3" t="s">
        <v>68</v>
      </c>
      <c r="W62" s="1" t="s">
        <v>191</v>
      </c>
      <c r="X62" s="1" t="s">
        <v>70</v>
      </c>
      <c r="Y62" s="6" t="s">
        <v>76</v>
      </c>
      <c r="Z62" s="1" t="s">
        <v>173</v>
      </c>
      <c r="AB62" s="1">
        <v>1.0</v>
      </c>
      <c r="AI62" s="1" t="s">
        <v>399</v>
      </c>
      <c r="AJ62" s="1">
        <v>-475.0</v>
      </c>
      <c r="AK62" s="2" t="s">
        <v>72</v>
      </c>
      <c r="AL62" s="2" t="s">
        <v>100</v>
      </c>
      <c r="AM62" s="2" t="s">
        <v>72</v>
      </c>
      <c r="AN62" s="1" t="s">
        <v>400</v>
      </c>
      <c r="AO62" s="2" t="s">
        <v>72</v>
      </c>
      <c r="AQ62" s="2" t="s">
        <v>75</v>
      </c>
      <c r="AR62" s="2" t="s">
        <v>76</v>
      </c>
      <c r="AS62" s="1">
        <v>1614.0</v>
      </c>
      <c r="AT62" s="1">
        <v>1614.0</v>
      </c>
      <c r="AU62" s="1">
        <v>641.0</v>
      </c>
      <c r="AV62" s="1">
        <v>38.0</v>
      </c>
      <c r="AW62" s="1">
        <v>130.0</v>
      </c>
      <c r="AX62" s="1">
        <v>5597.0</v>
      </c>
      <c r="AY62" s="1">
        <v>229.0</v>
      </c>
      <c r="AZ62" s="1" t="s">
        <v>133</v>
      </c>
      <c r="BA62" s="1" t="s">
        <v>121</v>
      </c>
    </row>
    <row r="63">
      <c r="A63" s="1" t="s">
        <v>390</v>
      </c>
      <c r="B63" s="1" t="s">
        <v>53</v>
      </c>
      <c r="C63" s="1">
        <v>2017.0</v>
      </c>
      <c r="D63" s="1" t="s">
        <v>391</v>
      </c>
      <c r="E63" s="1" t="s">
        <v>392</v>
      </c>
      <c r="F63" s="1" t="s">
        <v>359</v>
      </c>
      <c r="G63" s="1" t="s">
        <v>393</v>
      </c>
      <c r="H63" s="1" t="s">
        <v>394</v>
      </c>
      <c r="I63" s="1">
        <v>32.0</v>
      </c>
      <c r="J63" s="1">
        <v>1.0</v>
      </c>
      <c r="K63" s="2" t="s">
        <v>395</v>
      </c>
      <c r="L63" s="2" t="s">
        <v>60</v>
      </c>
      <c r="M63" s="1" t="s">
        <v>405</v>
      </c>
      <c r="N63" s="1" t="s">
        <v>62</v>
      </c>
      <c r="O63" s="1" t="s">
        <v>167</v>
      </c>
      <c r="P63" s="1" t="s">
        <v>406</v>
      </c>
      <c r="Q63" s="1">
        <v>17.228088</v>
      </c>
      <c r="R63" s="1">
        <v>-89.761455</v>
      </c>
      <c r="S63" s="1" t="s">
        <v>398</v>
      </c>
      <c r="T63" s="2" t="s">
        <v>189</v>
      </c>
      <c r="U63" s="1" t="s">
        <v>173</v>
      </c>
      <c r="V63" s="3" t="s">
        <v>68</v>
      </c>
      <c r="W63" s="1" t="s">
        <v>191</v>
      </c>
      <c r="X63" s="1" t="s">
        <v>70</v>
      </c>
      <c r="Y63" s="6" t="s">
        <v>76</v>
      </c>
      <c r="Z63" s="1" t="s">
        <v>173</v>
      </c>
      <c r="AB63" s="1">
        <v>3.0</v>
      </c>
      <c r="AI63" s="1" t="s">
        <v>399</v>
      </c>
      <c r="AJ63" s="1">
        <v>-1725.0</v>
      </c>
      <c r="AK63" s="1">
        <v>20.0</v>
      </c>
      <c r="AL63" s="2" t="s">
        <v>73</v>
      </c>
      <c r="AM63" s="2" t="s">
        <v>72</v>
      </c>
      <c r="AN63" s="1" t="s">
        <v>400</v>
      </c>
      <c r="AO63" s="2" t="s">
        <v>72</v>
      </c>
      <c r="AQ63" s="2" t="s">
        <v>75</v>
      </c>
      <c r="AR63" s="2" t="s">
        <v>76</v>
      </c>
      <c r="AS63" s="1">
        <v>1614.0</v>
      </c>
      <c r="AT63" s="1">
        <v>1614.0</v>
      </c>
      <c r="AU63" s="1">
        <v>641.0</v>
      </c>
      <c r="AV63" s="1">
        <v>38.0</v>
      </c>
      <c r="AW63" s="1">
        <v>130.0</v>
      </c>
      <c r="AX63" s="1">
        <v>5597.0</v>
      </c>
      <c r="AY63" s="1">
        <v>229.0</v>
      </c>
      <c r="AZ63" s="1" t="s">
        <v>133</v>
      </c>
      <c r="BA63" s="1" t="s">
        <v>121</v>
      </c>
    </row>
    <row r="64">
      <c r="A64" s="1" t="s">
        <v>390</v>
      </c>
      <c r="B64" s="1" t="s">
        <v>53</v>
      </c>
      <c r="C64" s="1">
        <v>2017.0</v>
      </c>
      <c r="D64" s="1" t="s">
        <v>391</v>
      </c>
      <c r="E64" s="1" t="s">
        <v>392</v>
      </c>
      <c r="F64" s="1" t="s">
        <v>359</v>
      </c>
      <c r="G64" s="1" t="s">
        <v>393</v>
      </c>
      <c r="H64" s="1" t="s">
        <v>394</v>
      </c>
      <c r="I64" s="1">
        <v>32.0</v>
      </c>
      <c r="J64" s="1">
        <v>1.0</v>
      </c>
      <c r="K64" s="2" t="s">
        <v>395</v>
      </c>
      <c r="L64" s="2" t="s">
        <v>60</v>
      </c>
      <c r="M64" s="1" t="s">
        <v>407</v>
      </c>
      <c r="N64" s="1" t="s">
        <v>62</v>
      </c>
      <c r="O64" s="1" t="s">
        <v>167</v>
      </c>
      <c r="P64" s="1" t="s">
        <v>406</v>
      </c>
      <c r="Q64" s="1">
        <v>17.228088</v>
      </c>
      <c r="R64" s="1">
        <v>-89.761455</v>
      </c>
      <c r="S64" s="1" t="s">
        <v>398</v>
      </c>
      <c r="T64" s="2" t="s">
        <v>189</v>
      </c>
      <c r="U64" s="1" t="s">
        <v>173</v>
      </c>
      <c r="V64" s="3" t="s">
        <v>68</v>
      </c>
      <c r="W64" s="1" t="s">
        <v>191</v>
      </c>
      <c r="X64" s="1" t="s">
        <v>70</v>
      </c>
      <c r="Y64" s="6" t="s">
        <v>76</v>
      </c>
      <c r="Z64" s="1" t="s">
        <v>173</v>
      </c>
      <c r="AB64" s="1">
        <v>2.0</v>
      </c>
      <c r="AI64" s="1" t="s">
        <v>408</v>
      </c>
      <c r="AJ64" s="1">
        <v>235.0</v>
      </c>
      <c r="AK64" s="1">
        <v>660.0</v>
      </c>
      <c r="AL64" s="2" t="s">
        <v>100</v>
      </c>
      <c r="AM64" s="2" t="s">
        <v>72</v>
      </c>
      <c r="AN64" s="1" t="s">
        <v>400</v>
      </c>
      <c r="AO64" s="2" t="s">
        <v>72</v>
      </c>
      <c r="AQ64" s="2" t="s">
        <v>75</v>
      </c>
      <c r="AR64" s="2" t="s">
        <v>76</v>
      </c>
      <c r="AS64" s="1">
        <v>1614.0</v>
      </c>
      <c r="AT64" s="1">
        <v>1614.0</v>
      </c>
      <c r="AU64" s="1">
        <v>641.0</v>
      </c>
      <c r="AV64" s="1">
        <v>38.0</v>
      </c>
      <c r="AW64" s="1">
        <v>130.0</v>
      </c>
      <c r="AX64" s="1">
        <v>5597.0</v>
      </c>
      <c r="AY64" s="1">
        <v>229.0</v>
      </c>
      <c r="AZ64" s="1" t="s">
        <v>133</v>
      </c>
      <c r="BA64" s="1" t="s">
        <v>121</v>
      </c>
    </row>
    <row r="65">
      <c r="A65" s="1" t="s">
        <v>390</v>
      </c>
      <c r="B65" s="1" t="s">
        <v>53</v>
      </c>
      <c r="C65" s="1">
        <v>2017.0</v>
      </c>
      <c r="D65" s="1" t="s">
        <v>391</v>
      </c>
      <c r="E65" s="1" t="s">
        <v>392</v>
      </c>
      <c r="F65" s="1" t="s">
        <v>359</v>
      </c>
      <c r="G65" s="1" t="s">
        <v>393</v>
      </c>
      <c r="H65" s="1" t="s">
        <v>394</v>
      </c>
      <c r="I65" s="1">
        <v>32.0</v>
      </c>
      <c r="J65" s="1">
        <v>1.0</v>
      </c>
      <c r="K65" s="2" t="s">
        <v>395</v>
      </c>
      <c r="L65" s="2" t="s">
        <v>60</v>
      </c>
      <c r="M65" s="1" t="s">
        <v>409</v>
      </c>
      <c r="N65" s="1" t="s">
        <v>62</v>
      </c>
      <c r="O65" s="1" t="s">
        <v>167</v>
      </c>
      <c r="P65" s="1" t="s">
        <v>397</v>
      </c>
      <c r="Q65" s="1">
        <v>17.239926</v>
      </c>
      <c r="R65" s="1">
        <v>-89.804629</v>
      </c>
      <c r="S65" s="1" t="s">
        <v>398</v>
      </c>
      <c r="T65" s="2" t="s">
        <v>135</v>
      </c>
      <c r="U65" s="3" t="s">
        <v>67</v>
      </c>
      <c r="V65" s="3" t="s">
        <v>68</v>
      </c>
      <c r="W65" s="1" t="s">
        <v>410</v>
      </c>
      <c r="X65" s="2" t="s">
        <v>70</v>
      </c>
      <c r="Y65" s="6" t="s">
        <v>76</v>
      </c>
      <c r="Z65" s="3" t="s">
        <v>411</v>
      </c>
      <c r="AB65" s="1">
        <v>3.0</v>
      </c>
      <c r="AI65" s="1" t="s">
        <v>399</v>
      </c>
      <c r="AJ65" s="1">
        <v>220.0</v>
      </c>
      <c r="AK65" s="1">
        <v>760.0</v>
      </c>
      <c r="AL65" s="2" t="s">
        <v>100</v>
      </c>
      <c r="AM65" s="2" t="s">
        <v>72</v>
      </c>
      <c r="AN65" s="1" t="s">
        <v>400</v>
      </c>
      <c r="AO65" s="2" t="s">
        <v>72</v>
      </c>
      <c r="AQ65" s="2" t="s">
        <v>75</v>
      </c>
      <c r="AR65" s="2" t="s">
        <v>76</v>
      </c>
      <c r="AS65" s="1">
        <v>1616.0</v>
      </c>
      <c r="AT65" s="1">
        <v>1616.0</v>
      </c>
      <c r="AU65" s="1">
        <v>647.0</v>
      </c>
      <c r="AV65" s="1">
        <v>38.0</v>
      </c>
      <c r="AW65" s="1">
        <v>128.0</v>
      </c>
      <c r="AX65" s="1">
        <v>5637.0</v>
      </c>
      <c r="AY65" s="1">
        <v>226.0</v>
      </c>
      <c r="AZ65" s="1" t="s">
        <v>133</v>
      </c>
      <c r="BA65" s="1" t="s">
        <v>121</v>
      </c>
    </row>
    <row r="66">
      <c r="A66" s="1" t="s">
        <v>390</v>
      </c>
      <c r="B66" s="1" t="s">
        <v>53</v>
      </c>
      <c r="C66" s="1">
        <v>2017.0</v>
      </c>
      <c r="D66" s="1" t="s">
        <v>391</v>
      </c>
      <c r="E66" s="1" t="s">
        <v>392</v>
      </c>
      <c r="F66" s="1" t="s">
        <v>359</v>
      </c>
      <c r="G66" s="1" t="s">
        <v>393</v>
      </c>
      <c r="H66" s="1" t="s">
        <v>394</v>
      </c>
      <c r="I66" s="1">
        <v>32.0</v>
      </c>
      <c r="J66" s="1">
        <v>1.0</v>
      </c>
      <c r="K66" s="2" t="s">
        <v>395</v>
      </c>
      <c r="L66" s="2" t="s">
        <v>60</v>
      </c>
      <c r="M66" s="1" t="s">
        <v>412</v>
      </c>
      <c r="N66" s="1" t="s">
        <v>62</v>
      </c>
      <c r="O66" s="1" t="s">
        <v>167</v>
      </c>
      <c r="P66" s="1" t="s">
        <v>402</v>
      </c>
      <c r="Q66" s="1">
        <v>17.239567</v>
      </c>
      <c r="R66" s="1">
        <v>-89.810542</v>
      </c>
      <c r="S66" s="1" t="s">
        <v>398</v>
      </c>
      <c r="T66" s="2" t="s">
        <v>135</v>
      </c>
      <c r="U66" s="3" t="s">
        <v>67</v>
      </c>
      <c r="V66" s="3" t="s">
        <v>68</v>
      </c>
      <c r="W66" s="1" t="s">
        <v>410</v>
      </c>
      <c r="X66" s="2" t="s">
        <v>70</v>
      </c>
      <c r="Y66" s="6" t="s">
        <v>76</v>
      </c>
      <c r="Z66" s="3" t="s">
        <v>411</v>
      </c>
      <c r="AB66" s="1">
        <v>2.0</v>
      </c>
      <c r="AI66" s="1" t="s">
        <v>399</v>
      </c>
      <c r="AJ66" s="1">
        <v>255.0</v>
      </c>
      <c r="AK66" s="1">
        <v>370.0</v>
      </c>
      <c r="AL66" s="2" t="s">
        <v>100</v>
      </c>
      <c r="AM66" s="2" t="s">
        <v>72</v>
      </c>
      <c r="AN66" s="1" t="s">
        <v>400</v>
      </c>
      <c r="AO66" s="2" t="s">
        <v>72</v>
      </c>
      <c r="AQ66" s="2" t="s">
        <v>75</v>
      </c>
      <c r="AR66" s="2" t="s">
        <v>76</v>
      </c>
      <c r="AS66" s="1">
        <v>1621.0</v>
      </c>
      <c r="AT66" s="1">
        <v>1621.0</v>
      </c>
      <c r="AU66" s="1">
        <v>649.0</v>
      </c>
      <c r="AV66" s="1">
        <v>38.0</v>
      </c>
      <c r="AW66" s="1">
        <v>130.0</v>
      </c>
      <c r="AX66" s="1">
        <v>5627.0</v>
      </c>
      <c r="AY66" s="1">
        <v>249.0</v>
      </c>
      <c r="AZ66" s="1" t="s">
        <v>133</v>
      </c>
      <c r="BA66" s="1" t="s">
        <v>121</v>
      </c>
    </row>
    <row r="67">
      <c r="A67" s="1" t="s">
        <v>390</v>
      </c>
      <c r="B67" s="1" t="s">
        <v>53</v>
      </c>
      <c r="C67" s="1">
        <v>2017.0</v>
      </c>
      <c r="D67" s="1" t="s">
        <v>391</v>
      </c>
      <c r="E67" s="1" t="s">
        <v>392</v>
      </c>
      <c r="F67" s="1" t="s">
        <v>359</v>
      </c>
      <c r="G67" s="1" t="s">
        <v>393</v>
      </c>
      <c r="H67" s="1" t="s">
        <v>394</v>
      </c>
      <c r="I67" s="1">
        <v>32.0</v>
      </c>
      <c r="J67" s="1">
        <v>1.0</v>
      </c>
      <c r="K67" s="2" t="s">
        <v>395</v>
      </c>
      <c r="L67" s="2" t="s">
        <v>60</v>
      </c>
      <c r="M67" s="1" t="s">
        <v>413</v>
      </c>
      <c r="N67" s="1" t="s">
        <v>62</v>
      </c>
      <c r="O67" s="1" t="s">
        <v>167</v>
      </c>
      <c r="P67" s="1" t="s">
        <v>404</v>
      </c>
      <c r="Q67" s="1">
        <v>17.228088</v>
      </c>
      <c r="R67" s="1">
        <v>-89.761455</v>
      </c>
      <c r="S67" s="1" t="s">
        <v>398</v>
      </c>
      <c r="T67" s="2" t="s">
        <v>135</v>
      </c>
      <c r="U67" s="3" t="s">
        <v>67</v>
      </c>
      <c r="V67" s="3" t="s">
        <v>68</v>
      </c>
      <c r="W67" s="1" t="s">
        <v>410</v>
      </c>
      <c r="X67" s="2" t="s">
        <v>70</v>
      </c>
      <c r="Y67" s="6" t="s">
        <v>76</v>
      </c>
      <c r="Z67" s="3" t="s">
        <v>411</v>
      </c>
      <c r="AB67" s="1">
        <v>1.0</v>
      </c>
      <c r="AI67" s="1" t="s">
        <v>399</v>
      </c>
      <c r="AJ67" s="1">
        <v>-475.0</v>
      </c>
      <c r="AK67" s="2" t="s">
        <v>72</v>
      </c>
      <c r="AL67" s="2" t="s">
        <v>100</v>
      </c>
      <c r="AM67" s="2" t="s">
        <v>72</v>
      </c>
      <c r="AN67" s="1" t="s">
        <v>400</v>
      </c>
      <c r="AO67" s="2" t="s">
        <v>72</v>
      </c>
      <c r="AQ67" s="2" t="s">
        <v>75</v>
      </c>
      <c r="AR67" s="2" t="s">
        <v>76</v>
      </c>
      <c r="AS67" s="1">
        <v>1614.0</v>
      </c>
      <c r="AT67" s="1">
        <v>1614.0</v>
      </c>
      <c r="AU67" s="1">
        <v>641.0</v>
      </c>
      <c r="AV67" s="1">
        <v>38.0</v>
      </c>
      <c r="AW67" s="1">
        <v>130.0</v>
      </c>
      <c r="AX67" s="1">
        <v>5597.0</v>
      </c>
      <c r="AY67" s="1">
        <v>229.0</v>
      </c>
      <c r="AZ67" s="1" t="s">
        <v>133</v>
      </c>
      <c r="BA67" s="1" t="s">
        <v>121</v>
      </c>
    </row>
    <row r="68">
      <c r="A68" s="1" t="s">
        <v>390</v>
      </c>
      <c r="B68" s="1" t="s">
        <v>53</v>
      </c>
      <c r="C68" s="1">
        <v>2017.0</v>
      </c>
      <c r="D68" s="1" t="s">
        <v>391</v>
      </c>
      <c r="E68" s="1" t="s">
        <v>392</v>
      </c>
      <c r="F68" s="1" t="s">
        <v>359</v>
      </c>
      <c r="G68" s="1" t="s">
        <v>393</v>
      </c>
      <c r="H68" s="1" t="s">
        <v>394</v>
      </c>
      <c r="I68" s="1">
        <v>32.0</v>
      </c>
      <c r="J68" s="1">
        <v>1.0</v>
      </c>
      <c r="K68" s="2" t="s">
        <v>395</v>
      </c>
      <c r="L68" s="2" t="s">
        <v>60</v>
      </c>
      <c r="M68" s="1" t="s">
        <v>414</v>
      </c>
      <c r="N68" s="1" t="s">
        <v>62</v>
      </c>
      <c r="O68" s="1" t="s">
        <v>167</v>
      </c>
      <c r="P68" s="1" t="s">
        <v>406</v>
      </c>
      <c r="Q68" s="1">
        <v>17.228088</v>
      </c>
      <c r="R68" s="1">
        <v>-89.761455</v>
      </c>
      <c r="S68" s="1" t="s">
        <v>398</v>
      </c>
      <c r="T68" s="2" t="s">
        <v>135</v>
      </c>
      <c r="U68" s="3" t="s">
        <v>67</v>
      </c>
      <c r="V68" s="3" t="s">
        <v>68</v>
      </c>
      <c r="W68" s="1" t="s">
        <v>410</v>
      </c>
      <c r="X68" s="2" t="s">
        <v>70</v>
      </c>
      <c r="Y68" s="6" t="s">
        <v>76</v>
      </c>
      <c r="Z68" s="3" t="s">
        <v>411</v>
      </c>
      <c r="AB68" s="1">
        <v>3.0</v>
      </c>
      <c r="AI68" s="1" t="s">
        <v>399</v>
      </c>
      <c r="AJ68" s="1">
        <v>-1725.0</v>
      </c>
      <c r="AK68" s="1">
        <v>20.0</v>
      </c>
      <c r="AL68" s="2" t="s">
        <v>73</v>
      </c>
      <c r="AM68" s="2" t="s">
        <v>72</v>
      </c>
      <c r="AN68" s="1" t="s">
        <v>400</v>
      </c>
      <c r="AO68" s="2" t="s">
        <v>72</v>
      </c>
      <c r="AQ68" s="2" t="s">
        <v>75</v>
      </c>
      <c r="AR68" s="2" t="s">
        <v>76</v>
      </c>
      <c r="AS68" s="1">
        <v>1614.0</v>
      </c>
      <c r="AT68" s="1">
        <v>1614.0</v>
      </c>
      <c r="AU68" s="1">
        <v>641.0</v>
      </c>
      <c r="AV68" s="1">
        <v>38.0</v>
      </c>
      <c r="AW68" s="1">
        <v>130.0</v>
      </c>
      <c r="AX68" s="1">
        <v>5597.0</v>
      </c>
      <c r="AY68" s="1">
        <v>229.0</v>
      </c>
      <c r="AZ68" s="1" t="s">
        <v>133</v>
      </c>
      <c r="BA68" s="1" t="s">
        <v>121</v>
      </c>
    </row>
    <row r="69">
      <c r="A69" s="1" t="s">
        <v>390</v>
      </c>
      <c r="B69" s="1" t="s">
        <v>53</v>
      </c>
      <c r="C69" s="1">
        <v>2017.0</v>
      </c>
      <c r="D69" s="1" t="s">
        <v>391</v>
      </c>
      <c r="E69" s="1" t="s">
        <v>392</v>
      </c>
      <c r="F69" s="1" t="s">
        <v>359</v>
      </c>
      <c r="G69" s="1" t="s">
        <v>393</v>
      </c>
      <c r="H69" s="1" t="s">
        <v>394</v>
      </c>
      <c r="I69" s="1">
        <v>32.0</v>
      </c>
      <c r="J69" s="1">
        <v>1.0</v>
      </c>
      <c r="K69" s="2" t="s">
        <v>395</v>
      </c>
      <c r="L69" s="2" t="s">
        <v>60</v>
      </c>
      <c r="M69" s="1" t="s">
        <v>415</v>
      </c>
      <c r="N69" s="1" t="s">
        <v>62</v>
      </c>
      <c r="O69" s="1" t="s">
        <v>167</v>
      </c>
      <c r="P69" s="1" t="s">
        <v>406</v>
      </c>
      <c r="Q69" s="1">
        <v>17.228088</v>
      </c>
      <c r="R69" s="1">
        <v>-89.761455</v>
      </c>
      <c r="S69" s="1" t="s">
        <v>398</v>
      </c>
      <c r="T69" s="2" t="s">
        <v>135</v>
      </c>
      <c r="U69" s="3" t="s">
        <v>67</v>
      </c>
      <c r="V69" s="3" t="s">
        <v>68</v>
      </c>
      <c r="W69" s="1" t="s">
        <v>410</v>
      </c>
      <c r="X69" s="2" t="s">
        <v>70</v>
      </c>
      <c r="Y69" s="6" t="s">
        <v>76</v>
      </c>
      <c r="Z69" s="3" t="s">
        <v>411</v>
      </c>
      <c r="AB69" s="1">
        <v>2.0</v>
      </c>
      <c r="AI69" s="1" t="s">
        <v>408</v>
      </c>
      <c r="AJ69" s="1">
        <v>235.0</v>
      </c>
      <c r="AK69" s="1">
        <v>660.0</v>
      </c>
      <c r="AL69" s="2" t="s">
        <v>100</v>
      </c>
      <c r="AM69" s="2" t="s">
        <v>72</v>
      </c>
      <c r="AN69" s="1" t="s">
        <v>400</v>
      </c>
      <c r="AO69" s="2" t="s">
        <v>72</v>
      </c>
      <c r="AQ69" s="2" t="s">
        <v>75</v>
      </c>
      <c r="AR69" s="2" t="s">
        <v>76</v>
      </c>
      <c r="AS69" s="1">
        <v>1614.0</v>
      </c>
      <c r="AT69" s="1">
        <v>1614.0</v>
      </c>
      <c r="AU69" s="1">
        <v>641.0</v>
      </c>
      <c r="AV69" s="1">
        <v>38.0</v>
      </c>
      <c r="AW69" s="1">
        <v>130.0</v>
      </c>
      <c r="AX69" s="1">
        <v>5597.0</v>
      </c>
      <c r="AY69" s="1">
        <v>229.0</v>
      </c>
      <c r="AZ69" s="1" t="s">
        <v>133</v>
      </c>
      <c r="BA69" s="1" t="s">
        <v>121</v>
      </c>
    </row>
    <row r="70">
      <c r="A70" s="1" t="s">
        <v>390</v>
      </c>
      <c r="B70" s="1" t="s">
        <v>53</v>
      </c>
      <c r="C70" s="1">
        <v>2017.0</v>
      </c>
      <c r="D70" s="1" t="s">
        <v>391</v>
      </c>
      <c r="E70" s="1" t="s">
        <v>392</v>
      </c>
      <c r="F70" s="1" t="s">
        <v>359</v>
      </c>
      <c r="G70" s="1" t="s">
        <v>393</v>
      </c>
      <c r="H70" s="1" t="s">
        <v>394</v>
      </c>
      <c r="I70" s="1">
        <v>32.0</v>
      </c>
      <c r="J70" s="1">
        <v>1.0</v>
      </c>
      <c r="K70" s="2" t="s">
        <v>395</v>
      </c>
      <c r="L70" s="2" t="s">
        <v>60</v>
      </c>
      <c r="M70" s="1" t="s">
        <v>416</v>
      </c>
      <c r="N70" s="1" t="s">
        <v>62</v>
      </c>
      <c r="O70" s="1" t="s">
        <v>167</v>
      </c>
      <c r="P70" s="1" t="s">
        <v>406</v>
      </c>
      <c r="Q70" s="1">
        <v>17.228088</v>
      </c>
      <c r="R70" s="1">
        <v>-89.761455</v>
      </c>
      <c r="S70" s="1" t="s">
        <v>398</v>
      </c>
      <c r="T70" s="2" t="s">
        <v>321</v>
      </c>
      <c r="U70" s="3" t="s">
        <v>81</v>
      </c>
      <c r="V70" s="3" t="s">
        <v>68</v>
      </c>
      <c r="W70" s="2" t="s">
        <v>72</v>
      </c>
      <c r="X70" s="2" t="s">
        <v>83</v>
      </c>
      <c r="Y70" s="6" t="s">
        <v>76</v>
      </c>
      <c r="Z70" s="3" t="s">
        <v>84</v>
      </c>
      <c r="AB70" s="1">
        <v>3.0</v>
      </c>
      <c r="AI70" s="1" t="s">
        <v>399</v>
      </c>
      <c r="AJ70" s="1">
        <v>-1725.0</v>
      </c>
      <c r="AK70" s="1">
        <v>20.0</v>
      </c>
      <c r="AL70" s="2" t="s">
        <v>73</v>
      </c>
      <c r="AM70" s="2" t="s">
        <v>72</v>
      </c>
      <c r="AN70" s="1" t="s">
        <v>400</v>
      </c>
      <c r="AO70" s="2" t="s">
        <v>72</v>
      </c>
      <c r="AQ70" s="2" t="s">
        <v>75</v>
      </c>
      <c r="AR70" s="2" t="s">
        <v>76</v>
      </c>
      <c r="AS70" s="1">
        <v>1614.0</v>
      </c>
      <c r="AT70" s="1">
        <v>1614.0</v>
      </c>
      <c r="AU70" s="1">
        <v>641.0</v>
      </c>
      <c r="AV70" s="1">
        <v>38.0</v>
      </c>
      <c r="AW70" s="1">
        <v>130.0</v>
      </c>
      <c r="AX70" s="1">
        <v>5597.0</v>
      </c>
      <c r="AY70" s="1">
        <v>229.0</v>
      </c>
      <c r="AZ70" s="1" t="s">
        <v>133</v>
      </c>
      <c r="BA70" s="1" t="s">
        <v>121</v>
      </c>
    </row>
    <row r="71">
      <c r="A71" s="1" t="s">
        <v>390</v>
      </c>
      <c r="B71" s="1" t="s">
        <v>53</v>
      </c>
      <c r="C71" s="1">
        <v>2017.0</v>
      </c>
      <c r="D71" s="1" t="s">
        <v>391</v>
      </c>
      <c r="E71" s="1" t="s">
        <v>392</v>
      </c>
      <c r="F71" s="1" t="s">
        <v>359</v>
      </c>
      <c r="G71" s="1" t="s">
        <v>393</v>
      </c>
      <c r="H71" s="1" t="s">
        <v>394</v>
      </c>
      <c r="I71" s="1">
        <v>32.0</v>
      </c>
      <c r="J71" s="1">
        <v>1.0</v>
      </c>
      <c r="K71" s="2" t="s">
        <v>395</v>
      </c>
      <c r="L71" s="2" t="s">
        <v>60</v>
      </c>
      <c r="M71" s="1" t="s">
        <v>417</v>
      </c>
      <c r="N71" s="1" t="s">
        <v>62</v>
      </c>
      <c r="O71" s="1" t="s">
        <v>167</v>
      </c>
      <c r="P71" s="1" t="s">
        <v>406</v>
      </c>
      <c r="Q71" s="1">
        <v>17.228088</v>
      </c>
      <c r="R71" s="1">
        <v>-89.761455</v>
      </c>
      <c r="S71" s="1" t="s">
        <v>398</v>
      </c>
      <c r="T71" s="2" t="s">
        <v>80</v>
      </c>
      <c r="U71" s="3" t="s">
        <v>81</v>
      </c>
      <c r="V71" s="3" t="s">
        <v>68</v>
      </c>
      <c r="W71" s="2" t="s">
        <v>72</v>
      </c>
      <c r="X71" s="2" t="s">
        <v>83</v>
      </c>
      <c r="Y71" s="6" t="s">
        <v>76</v>
      </c>
      <c r="Z71" s="3" t="s">
        <v>84</v>
      </c>
      <c r="AB71" s="1">
        <v>3.0</v>
      </c>
      <c r="AI71" s="1" t="s">
        <v>399</v>
      </c>
      <c r="AJ71" s="1">
        <v>-1725.0</v>
      </c>
      <c r="AK71" s="1">
        <v>20.0</v>
      </c>
      <c r="AL71" s="2" t="s">
        <v>73</v>
      </c>
      <c r="AM71" s="2" t="s">
        <v>72</v>
      </c>
      <c r="AN71" s="1" t="s">
        <v>400</v>
      </c>
      <c r="AO71" s="2" t="s">
        <v>72</v>
      </c>
      <c r="AQ71" s="2" t="s">
        <v>75</v>
      </c>
      <c r="AR71" s="2" t="s">
        <v>76</v>
      </c>
      <c r="AS71" s="1">
        <v>1614.0</v>
      </c>
      <c r="AT71" s="1">
        <v>1614.0</v>
      </c>
      <c r="AU71" s="1">
        <v>641.0</v>
      </c>
      <c r="AV71" s="1">
        <v>38.0</v>
      </c>
      <c r="AW71" s="1">
        <v>130.0</v>
      </c>
      <c r="AX71" s="1">
        <v>5597.0</v>
      </c>
      <c r="AY71" s="1">
        <v>229.0</v>
      </c>
      <c r="AZ71" s="1" t="s">
        <v>133</v>
      </c>
      <c r="BA71" s="1" t="s">
        <v>121</v>
      </c>
    </row>
    <row r="72">
      <c r="A72" s="1" t="s">
        <v>418</v>
      </c>
      <c r="B72" s="1" t="s">
        <v>268</v>
      </c>
      <c r="C72" s="1">
        <v>1996.0</v>
      </c>
      <c r="D72" s="1" t="s">
        <v>419</v>
      </c>
      <c r="E72" s="1" t="s">
        <v>420</v>
      </c>
      <c r="H72" s="1" t="s">
        <v>421</v>
      </c>
      <c r="I72" s="1">
        <v>9.0</v>
      </c>
      <c r="K72" s="2" t="s">
        <v>422</v>
      </c>
      <c r="L72" s="2" t="s">
        <v>60</v>
      </c>
      <c r="M72" s="1" t="s">
        <v>423</v>
      </c>
      <c r="N72" s="1" t="s">
        <v>62</v>
      </c>
      <c r="O72" s="1" t="s">
        <v>112</v>
      </c>
      <c r="P72" s="1" t="s">
        <v>424</v>
      </c>
      <c r="Q72" s="1">
        <v>9.994167</v>
      </c>
      <c r="R72" s="1">
        <v>-83.613056</v>
      </c>
      <c r="S72" s="1" t="s">
        <v>148</v>
      </c>
      <c r="T72" s="2" t="s">
        <v>275</v>
      </c>
      <c r="U72" s="1" t="s">
        <v>72</v>
      </c>
      <c r="V72" s="3" t="s">
        <v>277</v>
      </c>
      <c r="W72" s="1" t="s">
        <v>278</v>
      </c>
      <c r="X72" s="2" t="s">
        <v>72</v>
      </c>
      <c r="Y72" s="6" t="s">
        <v>76</v>
      </c>
      <c r="Z72" s="3" t="s">
        <v>76</v>
      </c>
      <c r="AB72" s="1">
        <v>8.0</v>
      </c>
      <c r="AI72" s="1" t="s">
        <v>425</v>
      </c>
      <c r="AJ72" s="1">
        <v>-610.0</v>
      </c>
      <c r="AK72" s="1">
        <v>1950.0</v>
      </c>
      <c r="AL72" s="2" t="s">
        <v>153</v>
      </c>
      <c r="AM72" s="2" t="s">
        <v>72</v>
      </c>
      <c r="AN72" s="2" t="s">
        <v>72</v>
      </c>
      <c r="AO72" s="2" t="s">
        <v>72</v>
      </c>
      <c r="AQ72" s="2" t="s">
        <v>75</v>
      </c>
      <c r="AR72" s="2" t="s">
        <v>76</v>
      </c>
      <c r="AS72" s="1">
        <v>3518.0</v>
      </c>
      <c r="AT72" s="1">
        <v>3518.0</v>
      </c>
      <c r="AU72" s="1">
        <v>1148.0</v>
      </c>
      <c r="AV72" s="1">
        <v>76.0</v>
      </c>
      <c r="AW72" s="1">
        <v>368.0</v>
      </c>
      <c r="AX72" s="1">
        <v>3848.0</v>
      </c>
      <c r="AY72" s="1">
        <v>490.0</v>
      </c>
      <c r="AZ72" s="1" t="s">
        <v>120</v>
      </c>
      <c r="BA72" s="1" t="s">
        <v>121</v>
      </c>
    </row>
    <row r="73">
      <c r="A73" s="1" t="s">
        <v>418</v>
      </c>
      <c r="B73" s="1" t="s">
        <v>268</v>
      </c>
      <c r="C73" s="1">
        <v>1996.0</v>
      </c>
      <c r="D73" s="1" t="s">
        <v>419</v>
      </c>
      <c r="E73" s="1" t="s">
        <v>420</v>
      </c>
      <c r="H73" s="1" t="s">
        <v>421</v>
      </c>
      <c r="I73" s="1">
        <v>9.0</v>
      </c>
      <c r="K73" s="2" t="s">
        <v>422</v>
      </c>
      <c r="L73" s="2" t="s">
        <v>60</v>
      </c>
      <c r="M73" s="1" t="s">
        <v>426</v>
      </c>
      <c r="N73" s="1" t="s">
        <v>62</v>
      </c>
      <c r="O73" s="1" t="s">
        <v>112</v>
      </c>
      <c r="P73" s="1" t="s">
        <v>427</v>
      </c>
      <c r="Q73" s="1">
        <v>9.994167</v>
      </c>
      <c r="R73" s="1">
        <v>-83.603056</v>
      </c>
      <c r="S73" s="1" t="s">
        <v>148</v>
      </c>
      <c r="T73" s="2" t="s">
        <v>275</v>
      </c>
      <c r="U73" s="1" t="s">
        <v>72</v>
      </c>
      <c r="V73" s="3" t="s">
        <v>277</v>
      </c>
      <c r="W73" s="1" t="s">
        <v>278</v>
      </c>
      <c r="X73" s="2" t="s">
        <v>72</v>
      </c>
      <c r="Y73" s="6" t="s">
        <v>76</v>
      </c>
      <c r="Z73" s="3" t="s">
        <v>76</v>
      </c>
      <c r="AB73" s="1">
        <v>6.0</v>
      </c>
      <c r="AI73" s="1" t="s">
        <v>428</v>
      </c>
      <c r="AJ73" s="2" t="s">
        <v>72</v>
      </c>
      <c r="AK73" s="2" t="s">
        <v>72</v>
      </c>
      <c r="AL73" s="2" t="s">
        <v>73</v>
      </c>
      <c r="AM73" s="2" t="s">
        <v>72</v>
      </c>
      <c r="AN73" s="2" t="s">
        <v>72</v>
      </c>
      <c r="AO73" s="2" t="s">
        <v>72</v>
      </c>
      <c r="AQ73" s="2" t="s">
        <v>75</v>
      </c>
      <c r="AR73" s="2" t="s">
        <v>76</v>
      </c>
      <c r="AS73" s="1">
        <v>3589.0</v>
      </c>
      <c r="AT73" s="1">
        <v>3589.0</v>
      </c>
      <c r="AU73" s="1">
        <v>1136.0</v>
      </c>
      <c r="AV73" s="1">
        <v>79.0</v>
      </c>
      <c r="AW73" s="1">
        <v>440.0</v>
      </c>
      <c r="AX73" s="1">
        <v>3547.0</v>
      </c>
      <c r="AY73" s="1">
        <v>383.0</v>
      </c>
      <c r="AZ73" s="1" t="s">
        <v>120</v>
      </c>
      <c r="BA73" s="1" t="s">
        <v>121</v>
      </c>
    </row>
    <row r="74">
      <c r="A74" s="1" t="s">
        <v>390</v>
      </c>
      <c r="B74" s="1" t="s">
        <v>53</v>
      </c>
      <c r="C74" s="1">
        <v>2017.0</v>
      </c>
      <c r="D74" s="1" t="s">
        <v>391</v>
      </c>
      <c r="E74" s="1" t="s">
        <v>392</v>
      </c>
      <c r="F74" s="1" t="s">
        <v>359</v>
      </c>
      <c r="G74" s="1" t="s">
        <v>393</v>
      </c>
      <c r="H74" s="1" t="s">
        <v>394</v>
      </c>
      <c r="I74" s="1">
        <v>32.0</v>
      </c>
      <c r="J74" s="1">
        <v>1.0</v>
      </c>
      <c r="K74" s="2" t="s">
        <v>395</v>
      </c>
      <c r="L74" s="2" t="s">
        <v>60</v>
      </c>
      <c r="M74" s="1" t="s">
        <v>429</v>
      </c>
      <c r="N74" s="1" t="s">
        <v>62</v>
      </c>
      <c r="O74" s="1" t="s">
        <v>167</v>
      </c>
      <c r="P74" s="1" t="s">
        <v>406</v>
      </c>
      <c r="Q74" s="1">
        <v>17.228088</v>
      </c>
      <c r="R74" s="1">
        <v>-89.761455</v>
      </c>
      <c r="S74" s="1" t="s">
        <v>398</v>
      </c>
      <c r="T74" s="2" t="s">
        <v>66</v>
      </c>
      <c r="U74" s="3" t="s">
        <v>67</v>
      </c>
      <c r="V74" s="3" t="s">
        <v>68</v>
      </c>
      <c r="W74" s="2" t="s">
        <v>72</v>
      </c>
      <c r="X74" s="1" t="s">
        <v>70</v>
      </c>
      <c r="Y74" s="5" t="s">
        <v>60</v>
      </c>
      <c r="Z74" s="3" t="s">
        <v>118</v>
      </c>
      <c r="AB74" s="1">
        <v>3.0</v>
      </c>
      <c r="AI74" s="1" t="s">
        <v>399</v>
      </c>
      <c r="AJ74" s="1">
        <v>-1725.0</v>
      </c>
      <c r="AK74" s="1">
        <v>20.0</v>
      </c>
      <c r="AL74" s="2" t="s">
        <v>73</v>
      </c>
      <c r="AM74" s="2" t="s">
        <v>72</v>
      </c>
      <c r="AN74" s="1" t="s">
        <v>400</v>
      </c>
      <c r="AO74" s="2" t="s">
        <v>72</v>
      </c>
      <c r="AQ74" s="2" t="s">
        <v>75</v>
      </c>
      <c r="AR74" s="2" t="s">
        <v>76</v>
      </c>
      <c r="AS74" s="1">
        <v>1614.0</v>
      </c>
      <c r="AT74" s="1">
        <v>1614.0</v>
      </c>
      <c r="AU74" s="1">
        <v>641.0</v>
      </c>
      <c r="AV74" s="1">
        <v>38.0</v>
      </c>
      <c r="AW74" s="1">
        <v>130.0</v>
      </c>
      <c r="AX74" s="1">
        <v>5597.0</v>
      </c>
      <c r="AY74" s="1">
        <v>229.0</v>
      </c>
      <c r="AZ74" s="1" t="s">
        <v>133</v>
      </c>
      <c r="BA74" s="1" t="s">
        <v>121</v>
      </c>
    </row>
    <row r="75">
      <c r="A75" s="1" t="s">
        <v>390</v>
      </c>
      <c r="B75" s="1" t="s">
        <v>53</v>
      </c>
      <c r="C75" s="1">
        <v>2017.0</v>
      </c>
      <c r="D75" s="1" t="s">
        <v>391</v>
      </c>
      <c r="E75" s="1" t="s">
        <v>392</v>
      </c>
      <c r="F75" s="1" t="s">
        <v>359</v>
      </c>
      <c r="G75" s="1" t="s">
        <v>393</v>
      </c>
      <c r="H75" s="1" t="s">
        <v>394</v>
      </c>
      <c r="I75" s="1">
        <v>32.0</v>
      </c>
      <c r="J75" s="1">
        <v>1.0</v>
      </c>
      <c r="K75" s="2" t="s">
        <v>395</v>
      </c>
      <c r="L75" s="2" t="s">
        <v>60</v>
      </c>
      <c r="M75" s="1" t="s">
        <v>430</v>
      </c>
      <c r="N75" s="1" t="s">
        <v>62</v>
      </c>
      <c r="O75" s="1" t="s">
        <v>167</v>
      </c>
      <c r="P75" s="1" t="s">
        <v>397</v>
      </c>
      <c r="Q75" s="1">
        <v>17.239926</v>
      </c>
      <c r="R75" s="1">
        <v>-89.804629</v>
      </c>
      <c r="S75" s="1" t="s">
        <v>398</v>
      </c>
      <c r="T75" s="2" t="s">
        <v>194</v>
      </c>
      <c r="U75" s="1" t="s">
        <v>173</v>
      </c>
      <c r="V75" s="3" t="s">
        <v>68</v>
      </c>
      <c r="W75" s="1" t="s">
        <v>191</v>
      </c>
      <c r="X75" s="1" t="s">
        <v>70</v>
      </c>
      <c r="Y75" s="6" t="s">
        <v>76</v>
      </c>
      <c r="Z75" s="1" t="s">
        <v>173</v>
      </c>
      <c r="AB75" s="1">
        <v>3.0</v>
      </c>
      <c r="AI75" s="1" t="s">
        <v>399</v>
      </c>
      <c r="AJ75" s="1">
        <v>220.0</v>
      </c>
      <c r="AK75" s="1">
        <v>760.0</v>
      </c>
      <c r="AL75" s="2" t="s">
        <v>100</v>
      </c>
      <c r="AM75" s="2" t="s">
        <v>72</v>
      </c>
      <c r="AN75" s="1" t="s">
        <v>400</v>
      </c>
      <c r="AO75" s="2" t="s">
        <v>72</v>
      </c>
      <c r="AQ75" s="2" t="s">
        <v>75</v>
      </c>
      <c r="AR75" s="2" t="s">
        <v>76</v>
      </c>
      <c r="AS75" s="1">
        <v>1616.0</v>
      </c>
      <c r="AT75" s="1">
        <v>1616.0</v>
      </c>
      <c r="AU75" s="1">
        <v>647.0</v>
      </c>
      <c r="AV75" s="1">
        <v>38.0</v>
      </c>
      <c r="AW75" s="1">
        <v>128.0</v>
      </c>
      <c r="AX75" s="1">
        <v>5637.0</v>
      </c>
      <c r="AY75" s="1">
        <v>226.0</v>
      </c>
      <c r="AZ75" s="1" t="s">
        <v>133</v>
      </c>
      <c r="BA75" s="1" t="s">
        <v>121</v>
      </c>
    </row>
    <row r="76">
      <c r="A76" s="1" t="s">
        <v>390</v>
      </c>
      <c r="B76" s="1" t="s">
        <v>53</v>
      </c>
      <c r="C76" s="1">
        <v>2017.0</v>
      </c>
      <c r="D76" s="1" t="s">
        <v>391</v>
      </c>
      <c r="E76" s="1" t="s">
        <v>392</v>
      </c>
      <c r="F76" s="1" t="s">
        <v>359</v>
      </c>
      <c r="G76" s="1" t="s">
        <v>393</v>
      </c>
      <c r="H76" s="1" t="s">
        <v>394</v>
      </c>
      <c r="I76" s="1">
        <v>32.0</v>
      </c>
      <c r="J76" s="1">
        <v>1.0</v>
      </c>
      <c r="K76" s="2" t="s">
        <v>395</v>
      </c>
      <c r="L76" s="2" t="s">
        <v>60</v>
      </c>
      <c r="M76" s="1" t="s">
        <v>431</v>
      </c>
      <c r="N76" s="1" t="s">
        <v>62</v>
      </c>
      <c r="O76" s="1" t="s">
        <v>167</v>
      </c>
      <c r="P76" s="1" t="s">
        <v>402</v>
      </c>
      <c r="Q76" s="1">
        <v>17.239567</v>
      </c>
      <c r="R76" s="1">
        <v>-89.810542</v>
      </c>
      <c r="S76" s="1" t="s">
        <v>398</v>
      </c>
      <c r="T76" s="2" t="s">
        <v>194</v>
      </c>
      <c r="U76" s="1" t="s">
        <v>173</v>
      </c>
      <c r="V76" s="3" t="s">
        <v>68</v>
      </c>
      <c r="W76" s="1" t="s">
        <v>191</v>
      </c>
      <c r="X76" s="1" t="s">
        <v>70</v>
      </c>
      <c r="Y76" s="6" t="s">
        <v>76</v>
      </c>
      <c r="Z76" s="1" t="s">
        <v>173</v>
      </c>
      <c r="AB76" s="1">
        <v>2.0</v>
      </c>
      <c r="AI76" s="1" t="s">
        <v>399</v>
      </c>
      <c r="AJ76" s="1">
        <v>255.0</v>
      </c>
      <c r="AK76" s="1">
        <v>370.0</v>
      </c>
      <c r="AL76" s="2" t="s">
        <v>100</v>
      </c>
      <c r="AM76" s="2" t="s">
        <v>72</v>
      </c>
      <c r="AN76" s="1" t="s">
        <v>400</v>
      </c>
      <c r="AO76" s="2" t="s">
        <v>72</v>
      </c>
      <c r="AQ76" s="2" t="s">
        <v>75</v>
      </c>
      <c r="AR76" s="2" t="s">
        <v>76</v>
      </c>
      <c r="AS76" s="1">
        <v>1621.0</v>
      </c>
      <c r="AT76" s="1">
        <v>1621.0</v>
      </c>
      <c r="AU76" s="1">
        <v>649.0</v>
      </c>
      <c r="AV76" s="1">
        <v>38.0</v>
      </c>
      <c r="AW76" s="1">
        <v>130.0</v>
      </c>
      <c r="AX76" s="1">
        <v>5627.0</v>
      </c>
      <c r="AY76" s="1">
        <v>249.0</v>
      </c>
      <c r="AZ76" s="1" t="s">
        <v>133</v>
      </c>
      <c r="BA76" s="1" t="s">
        <v>121</v>
      </c>
    </row>
    <row r="77">
      <c r="A77" s="1" t="s">
        <v>390</v>
      </c>
      <c r="B77" s="1" t="s">
        <v>53</v>
      </c>
      <c r="C77" s="1">
        <v>2017.0</v>
      </c>
      <c r="D77" s="1" t="s">
        <v>391</v>
      </c>
      <c r="E77" s="1" t="s">
        <v>392</v>
      </c>
      <c r="F77" s="1" t="s">
        <v>359</v>
      </c>
      <c r="G77" s="1" t="s">
        <v>393</v>
      </c>
      <c r="H77" s="1" t="s">
        <v>394</v>
      </c>
      <c r="I77" s="1">
        <v>32.0</v>
      </c>
      <c r="J77" s="1">
        <v>1.0</v>
      </c>
      <c r="K77" s="2" t="s">
        <v>395</v>
      </c>
      <c r="L77" s="2" t="s">
        <v>60</v>
      </c>
      <c r="M77" s="1" t="s">
        <v>432</v>
      </c>
      <c r="N77" s="1" t="s">
        <v>62</v>
      </c>
      <c r="O77" s="1" t="s">
        <v>167</v>
      </c>
      <c r="P77" s="1" t="s">
        <v>404</v>
      </c>
      <c r="Q77" s="1">
        <v>17.228088</v>
      </c>
      <c r="R77" s="1">
        <v>-89.761455</v>
      </c>
      <c r="S77" s="1" t="s">
        <v>398</v>
      </c>
      <c r="T77" s="2" t="s">
        <v>194</v>
      </c>
      <c r="U77" s="1" t="s">
        <v>173</v>
      </c>
      <c r="V77" s="3" t="s">
        <v>68</v>
      </c>
      <c r="W77" s="1" t="s">
        <v>191</v>
      </c>
      <c r="X77" s="1" t="s">
        <v>70</v>
      </c>
      <c r="Y77" s="6" t="s">
        <v>76</v>
      </c>
      <c r="Z77" s="1" t="s">
        <v>173</v>
      </c>
      <c r="AB77" s="1">
        <v>1.0</v>
      </c>
      <c r="AI77" s="1" t="s">
        <v>399</v>
      </c>
      <c r="AJ77" s="1">
        <v>-475.0</v>
      </c>
      <c r="AK77" s="2" t="s">
        <v>72</v>
      </c>
      <c r="AL77" s="2" t="s">
        <v>100</v>
      </c>
      <c r="AM77" s="2" t="s">
        <v>72</v>
      </c>
      <c r="AN77" s="1" t="s">
        <v>400</v>
      </c>
      <c r="AO77" s="2" t="s">
        <v>72</v>
      </c>
      <c r="AQ77" s="2" t="s">
        <v>75</v>
      </c>
      <c r="AR77" s="2" t="s">
        <v>76</v>
      </c>
      <c r="AS77" s="1">
        <v>1614.0</v>
      </c>
      <c r="AT77" s="1">
        <v>1614.0</v>
      </c>
      <c r="AU77" s="1">
        <v>641.0</v>
      </c>
      <c r="AV77" s="1">
        <v>38.0</v>
      </c>
      <c r="AW77" s="1">
        <v>130.0</v>
      </c>
      <c r="AX77" s="1">
        <v>5597.0</v>
      </c>
      <c r="AY77" s="1">
        <v>229.0</v>
      </c>
      <c r="AZ77" s="1" t="s">
        <v>133</v>
      </c>
      <c r="BA77" s="1" t="s">
        <v>121</v>
      </c>
    </row>
    <row r="78">
      <c r="A78" s="1" t="s">
        <v>390</v>
      </c>
      <c r="B78" s="1" t="s">
        <v>53</v>
      </c>
      <c r="C78" s="1">
        <v>2017.0</v>
      </c>
      <c r="D78" s="1" t="s">
        <v>391</v>
      </c>
      <c r="E78" s="1" t="s">
        <v>392</v>
      </c>
      <c r="F78" s="1" t="s">
        <v>359</v>
      </c>
      <c r="G78" s="1" t="s">
        <v>393</v>
      </c>
      <c r="H78" s="1" t="s">
        <v>394</v>
      </c>
      <c r="I78" s="1">
        <v>32.0</v>
      </c>
      <c r="J78" s="1">
        <v>1.0</v>
      </c>
      <c r="K78" s="2" t="s">
        <v>395</v>
      </c>
      <c r="L78" s="2" t="s">
        <v>60</v>
      </c>
      <c r="M78" s="1" t="s">
        <v>433</v>
      </c>
      <c r="N78" s="1" t="s">
        <v>62</v>
      </c>
      <c r="O78" s="1" t="s">
        <v>167</v>
      </c>
      <c r="P78" s="1" t="s">
        <v>406</v>
      </c>
      <c r="Q78" s="1">
        <v>17.228088</v>
      </c>
      <c r="R78" s="1">
        <v>-89.761455</v>
      </c>
      <c r="S78" s="1" t="s">
        <v>398</v>
      </c>
      <c r="T78" s="2" t="s">
        <v>194</v>
      </c>
      <c r="U78" s="1" t="s">
        <v>173</v>
      </c>
      <c r="V78" s="3" t="s">
        <v>68</v>
      </c>
      <c r="W78" s="1" t="s">
        <v>191</v>
      </c>
      <c r="X78" s="1" t="s">
        <v>70</v>
      </c>
      <c r="Y78" s="6" t="s">
        <v>76</v>
      </c>
      <c r="Z78" s="1" t="s">
        <v>173</v>
      </c>
      <c r="AB78" s="1">
        <v>3.0</v>
      </c>
      <c r="AI78" s="1" t="s">
        <v>399</v>
      </c>
      <c r="AJ78" s="1">
        <v>-1725.0</v>
      </c>
      <c r="AK78" s="1">
        <v>20.0</v>
      </c>
      <c r="AL78" s="2" t="s">
        <v>73</v>
      </c>
      <c r="AM78" s="2" t="s">
        <v>72</v>
      </c>
      <c r="AN78" s="1" t="s">
        <v>400</v>
      </c>
      <c r="AO78" s="2" t="s">
        <v>72</v>
      </c>
      <c r="AQ78" s="2" t="s">
        <v>75</v>
      </c>
      <c r="AR78" s="2" t="s">
        <v>76</v>
      </c>
      <c r="AS78" s="1">
        <v>1614.0</v>
      </c>
      <c r="AT78" s="1">
        <v>1614.0</v>
      </c>
      <c r="AU78" s="1">
        <v>641.0</v>
      </c>
      <c r="AV78" s="1">
        <v>38.0</v>
      </c>
      <c r="AW78" s="1">
        <v>130.0</v>
      </c>
      <c r="AX78" s="1">
        <v>5597.0</v>
      </c>
      <c r="AY78" s="1">
        <v>229.0</v>
      </c>
      <c r="AZ78" s="1" t="s">
        <v>133</v>
      </c>
      <c r="BA78" s="1" t="s">
        <v>121</v>
      </c>
    </row>
    <row r="79">
      <c r="A79" s="1" t="s">
        <v>390</v>
      </c>
      <c r="B79" s="1" t="s">
        <v>53</v>
      </c>
      <c r="C79" s="1">
        <v>2017.0</v>
      </c>
      <c r="D79" s="1" t="s">
        <v>391</v>
      </c>
      <c r="E79" s="1" t="s">
        <v>392</v>
      </c>
      <c r="F79" s="1" t="s">
        <v>359</v>
      </c>
      <c r="G79" s="1" t="s">
        <v>393</v>
      </c>
      <c r="H79" s="1" t="s">
        <v>394</v>
      </c>
      <c r="I79" s="1">
        <v>32.0</v>
      </c>
      <c r="J79" s="1">
        <v>1.0</v>
      </c>
      <c r="K79" s="2" t="s">
        <v>395</v>
      </c>
      <c r="L79" s="2" t="s">
        <v>60</v>
      </c>
      <c r="M79" s="1" t="s">
        <v>434</v>
      </c>
      <c r="N79" s="1" t="s">
        <v>62</v>
      </c>
      <c r="O79" s="1" t="s">
        <v>167</v>
      </c>
      <c r="P79" s="1" t="s">
        <v>406</v>
      </c>
      <c r="Q79" s="1">
        <v>17.228088</v>
      </c>
      <c r="R79" s="1">
        <v>-89.761455</v>
      </c>
      <c r="S79" s="1" t="s">
        <v>398</v>
      </c>
      <c r="T79" s="2" t="s">
        <v>194</v>
      </c>
      <c r="U79" s="1" t="s">
        <v>173</v>
      </c>
      <c r="V79" s="3" t="s">
        <v>68</v>
      </c>
      <c r="W79" s="1" t="s">
        <v>191</v>
      </c>
      <c r="X79" s="1" t="s">
        <v>70</v>
      </c>
      <c r="Y79" s="6" t="s">
        <v>76</v>
      </c>
      <c r="Z79" s="1" t="s">
        <v>173</v>
      </c>
      <c r="AB79" s="1">
        <v>2.0</v>
      </c>
      <c r="AI79" s="1" t="s">
        <v>408</v>
      </c>
      <c r="AJ79" s="1">
        <v>235.0</v>
      </c>
      <c r="AK79" s="1">
        <v>660.0</v>
      </c>
      <c r="AL79" s="2" t="s">
        <v>100</v>
      </c>
      <c r="AM79" s="2" t="s">
        <v>72</v>
      </c>
      <c r="AN79" s="1" t="s">
        <v>400</v>
      </c>
      <c r="AO79" s="2" t="s">
        <v>72</v>
      </c>
      <c r="AQ79" s="2" t="s">
        <v>75</v>
      </c>
      <c r="AR79" s="2" t="s">
        <v>76</v>
      </c>
      <c r="AS79" s="1">
        <v>1614.0</v>
      </c>
      <c r="AT79" s="1">
        <v>1614.0</v>
      </c>
      <c r="AU79" s="1">
        <v>641.0</v>
      </c>
      <c r="AV79" s="1">
        <v>38.0</v>
      </c>
      <c r="AW79" s="1">
        <v>130.0</v>
      </c>
      <c r="AX79" s="1">
        <v>5597.0</v>
      </c>
      <c r="AY79" s="1">
        <v>229.0</v>
      </c>
      <c r="AZ79" s="1" t="s">
        <v>133</v>
      </c>
      <c r="BA79" s="1" t="s">
        <v>121</v>
      </c>
    </row>
    <row r="80">
      <c r="A80" s="1" t="s">
        <v>435</v>
      </c>
      <c r="B80" s="1" t="s">
        <v>53</v>
      </c>
      <c r="C80" s="1">
        <v>2013.0</v>
      </c>
      <c r="D80" s="1" t="s">
        <v>436</v>
      </c>
      <c r="E80" s="1" t="s">
        <v>437</v>
      </c>
      <c r="F80" s="1" t="s">
        <v>438</v>
      </c>
      <c r="G80" s="1" t="s">
        <v>439</v>
      </c>
      <c r="H80" s="1" t="s">
        <v>440</v>
      </c>
      <c r="I80" s="1">
        <v>14.0</v>
      </c>
      <c r="J80" s="1">
        <v>9.0</v>
      </c>
      <c r="K80" s="2" t="s">
        <v>441</v>
      </c>
      <c r="L80" s="2" t="s">
        <v>60</v>
      </c>
      <c r="M80" s="1" t="s">
        <v>442</v>
      </c>
      <c r="N80" s="1" t="s">
        <v>62</v>
      </c>
      <c r="O80" s="1" t="s">
        <v>187</v>
      </c>
      <c r="P80" s="1" t="s">
        <v>443</v>
      </c>
      <c r="Q80" s="1">
        <v>17.117188</v>
      </c>
      <c r="R80" s="1">
        <v>-88.890606</v>
      </c>
      <c r="S80" s="1" t="s">
        <v>94</v>
      </c>
      <c r="T80" s="2" t="s">
        <v>95</v>
      </c>
      <c r="U80" s="2" t="s">
        <v>444</v>
      </c>
      <c r="V80" s="3" t="s">
        <v>97</v>
      </c>
      <c r="W80" s="2" t="s">
        <v>72</v>
      </c>
      <c r="X80" s="2" t="s">
        <v>99</v>
      </c>
      <c r="Y80" s="6" t="s">
        <v>76</v>
      </c>
      <c r="Z80" s="3" t="s">
        <v>76</v>
      </c>
      <c r="AA80" s="1">
        <v>1.0</v>
      </c>
      <c r="AJ80" s="1">
        <v>1978.0</v>
      </c>
      <c r="AK80" s="1">
        <v>2001.0</v>
      </c>
      <c r="AL80" s="2" t="s">
        <v>100</v>
      </c>
      <c r="AM80" s="2" t="s">
        <v>72</v>
      </c>
      <c r="AN80" s="2" t="s">
        <v>72</v>
      </c>
      <c r="AO80" s="2" t="s">
        <v>101</v>
      </c>
      <c r="AQ80" s="2" t="s">
        <v>102</v>
      </c>
      <c r="AR80" s="2" t="s">
        <v>76</v>
      </c>
      <c r="AS80" s="1">
        <v>1849.0</v>
      </c>
      <c r="AT80" s="1">
        <v>1849.0</v>
      </c>
      <c r="AU80" s="1">
        <v>723.0</v>
      </c>
      <c r="AV80" s="1">
        <v>44.0</v>
      </c>
      <c r="AW80" s="1">
        <v>156.0</v>
      </c>
      <c r="AX80" s="1">
        <v>5227.0</v>
      </c>
      <c r="AY80" s="1">
        <v>194.0</v>
      </c>
      <c r="AZ80" s="1" t="s">
        <v>445</v>
      </c>
      <c r="BA80" s="1" t="s">
        <v>446</v>
      </c>
    </row>
    <row r="81">
      <c r="A81" s="1" t="s">
        <v>447</v>
      </c>
      <c r="B81" s="1" t="s">
        <v>268</v>
      </c>
      <c r="C81" s="1">
        <v>1996.0</v>
      </c>
      <c r="D81" s="1" t="s">
        <v>448</v>
      </c>
      <c r="E81" s="1" t="s">
        <v>449</v>
      </c>
      <c r="H81" s="1" t="s">
        <v>450</v>
      </c>
      <c r="I81" s="1">
        <v>5.0</v>
      </c>
      <c r="K81" s="2" t="s">
        <v>451</v>
      </c>
      <c r="L81" s="2" t="s">
        <v>60</v>
      </c>
      <c r="M81" s="1" t="s">
        <v>452</v>
      </c>
      <c r="N81" s="1" t="s">
        <v>62</v>
      </c>
      <c r="O81" s="1" t="s">
        <v>92</v>
      </c>
      <c r="P81" s="1" t="s">
        <v>453</v>
      </c>
      <c r="Q81" s="1">
        <v>20.491511</v>
      </c>
      <c r="R81" s="1">
        <v>-87.738733</v>
      </c>
      <c r="S81" s="1" t="s">
        <v>148</v>
      </c>
      <c r="T81" s="2" t="s">
        <v>135</v>
      </c>
      <c r="U81" s="1" t="s">
        <v>454</v>
      </c>
      <c r="V81" s="3" t="s">
        <v>277</v>
      </c>
      <c r="W81" s="1" t="s">
        <v>455</v>
      </c>
      <c r="X81" s="1" t="s">
        <v>456</v>
      </c>
      <c r="Y81" s="6" t="s">
        <v>76</v>
      </c>
      <c r="Z81" s="3" t="s">
        <v>76</v>
      </c>
      <c r="AI81" s="1" t="s">
        <v>457</v>
      </c>
      <c r="AJ81" s="1">
        <v>-5650.0</v>
      </c>
      <c r="AK81" s="1">
        <v>1950.0</v>
      </c>
      <c r="AL81" s="2" t="s">
        <v>73</v>
      </c>
      <c r="AM81" s="2" t="s">
        <v>72</v>
      </c>
      <c r="AN81" s="2" t="s">
        <v>72</v>
      </c>
      <c r="AO81" s="2" t="s">
        <v>72</v>
      </c>
      <c r="AQ81" s="2" t="s">
        <v>75</v>
      </c>
      <c r="AR81" s="2" t="s">
        <v>76</v>
      </c>
      <c r="AS81" s="1">
        <v>1151.0</v>
      </c>
      <c r="AT81" s="1">
        <v>1151.0</v>
      </c>
      <c r="AU81" s="1">
        <v>500.0</v>
      </c>
      <c r="AV81" s="1">
        <v>42.0</v>
      </c>
      <c r="AW81" s="1">
        <v>129.0</v>
      </c>
      <c r="AX81" s="1">
        <v>5567.0</v>
      </c>
      <c r="AY81" s="1">
        <v>14.0</v>
      </c>
      <c r="AZ81" s="1" t="s">
        <v>239</v>
      </c>
      <c r="BA81" s="1" t="s">
        <v>121</v>
      </c>
    </row>
    <row r="82">
      <c r="A82" s="1" t="s">
        <v>435</v>
      </c>
      <c r="B82" s="1" t="s">
        <v>53</v>
      </c>
      <c r="C82" s="1">
        <v>2013.0</v>
      </c>
      <c r="D82" s="1" t="s">
        <v>436</v>
      </c>
      <c r="E82" s="1" t="s">
        <v>437</v>
      </c>
      <c r="F82" s="1" t="s">
        <v>438</v>
      </c>
      <c r="G82" s="1" t="s">
        <v>439</v>
      </c>
      <c r="H82" s="1" t="s">
        <v>440</v>
      </c>
      <c r="I82" s="1">
        <v>14.0</v>
      </c>
      <c r="J82" s="1">
        <v>9.0</v>
      </c>
      <c r="K82" s="2" t="s">
        <v>441</v>
      </c>
      <c r="L82" s="2" t="s">
        <v>60</v>
      </c>
      <c r="M82" s="1" t="s">
        <v>458</v>
      </c>
      <c r="N82" s="1" t="s">
        <v>62</v>
      </c>
      <c r="O82" s="1" t="s">
        <v>187</v>
      </c>
      <c r="P82" s="1" t="s">
        <v>443</v>
      </c>
      <c r="Q82" s="1">
        <v>17.117188</v>
      </c>
      <c r="R82" s="1">
        <v>-88.890606</v>
      </c>
      <c r="S82" s="1" t="s">
        <v>94</v>
      </c>
      <c r="T82" s="2" t="s">
        <v>135</v>
      </c>
      <c r="U82" s="2" t="s">
        <v>444</v>
      </c>
      <c r="V82" s="3" t="s">
        <v>97</v>
      </c>
      <c r="W82" s="2" t="s">
        <v>72</v>
      </c>
      <c r="X82" s="2" t="s">
        <v>99</v>
      </c>
      <c r="Y82" s="6" t="s">
        <v>76</v>
      </c>
      <c r="Z82" s="3" t="s">
        <v>76</v>
      </c>
      <c r="AA82" s="1">
        <v>1.0</v>
      </c>
      <c r="AJ82" s="1">
        <v>1978.0</v>
      </c>
      <c r="AK82" s="1">
        <v>2001.0</v>
      </c>
      <c r="AL82" s="2" t="s">
        <v>100</v>
      </c>
      <c r="AM82" s="2" t="s">
        <v>72</v>
      </c>
      <c r="AN82" s="2" t="s">
        <v>72</v>
      </c>
      <c r="AO82" s="2" t="s">
        <v>101</v>
      </c>
      <c r="AQ82" s="2" t="s">
        <v>102</v>
      </c>
      <c r="AR82" s="2" t="s">
        <v>76</v>
      </c>
      <c r="AS82" s="1">
        <v>1849.0</v>
      </c>
      <c r="AT82" s="1">
        <v>1849.0</v>
      </c>
      <c r="AU82" s="1">
        <v>723.0</v>
      </c>
      <c r="AV82" s="1">
        <v>44.0</v>
      </c>
      <c r="AW82" s="1">
        <v>156.0</v>
      </c>
      <c r="AX82" s="1">
        <v>5227.0</v>
      </c>
      <c r="AY82" s="1">
        <v>194.0</v>
      </c>
      <c r="AZ82" s="1" t="s">
        <v>445</v>
      </c>
      <c r="BA82" s="1" t="s">
        <v>446</v>
      </c>
    </row>
    <row r="83">
      <c r="A83" s="1" t="s">
        <v>459</v>
      </c>
      <c r="B83" s="1" t="s">
        <v>53</v>
      </c>
      <c r="C83" s="1">
        <v>2014.0</v>
      </c>
      <c r="D83" s="1" t="s">
        <v>460</v>
      </c>
      <c r="E83" s="1" t="s">
        <v>461</v>
      </c>
      <c r="F83" s="1" t="s">
        <v>462</v>
      </c>
      <c r="G83" s="1" t="s">
        <v>463</v>
      </c>
      <c r="H83" s="1" t="s">
        <v>464</v>
      </c>
      <c r="I83" s="1">
        <v>141.0</v>
      </c>
      <c r="K83" s="2" t="s">
        <v>374</v>
      </c>
      <c r="L83" s="2" t="s">
        <v>60</v>
      </c>
      <c r="M83" s="1" t="s">
        <v>465</v>
      </c>
      <c r="N83" s="1" t="s">
        <v>62</v>
      </c>
      <c r="O83" s="1" t="s">
        <v>92</v>
      </c>
      <c r="P83" s="1" t="s">
        <v>466</v>
      </c>
      <c r="Q83" s="1">
        <v>19.87</v>
      </c>
      <c r="R83" s="1">
        <v>-88.77</v>
      </c>
      <c r="S83" s="1" t="s">
        <v>148</v>
      </c>
      <c r="T83" s="2" t="s">
        <v>135</v>
      </c>
      <c r="U83" s="1" t="s">
        <v>467</v>
      </c>
      <c r="V83" s="3" t="s">
        <v>97</v>
      </c>
      <c r="W83" s="1" t="s">
        <v>468</v>
      </c>
      <c r="X83" s="1" t="s">
        <v>456</v>
      </c>
      <c r="Y83" s="6" t="s">
        <v>76</v>
      </c>
      <c r="Z83" s="3" t="s">
        <v>76</v>
      </c>
      <c r="AB83" s="1">
        <v>9.0</v>
      </c>
      <c r="AI83" s="1" t="s">
        <v>469</v>
      </c>
      <c r="AJ83" s="1" t="s">
        <v>470</v>
      </c>
      <c r="AK83" s="1" t="s">
        <v>470</v>
      </c>
      <c r="AL83" s="2" t="s">
        <v>73</v>
      </c>
      <c r="AM83" s="2" t="s">
        <v>72</v>
      </c>
      <c r="AN83" s="2" t="s">
        <v>132</v>
      </c>
      <c r="AO83" s="2" t="s">
        <v>60</v>
      </c>
      <c r="AP83" s="1" t="s">
        <v>471</v>
      </c>
      <c r="AQ83" s="2" t="s">
        <v>102</v>
      </c>
      <c r="AR83" s="2" t="s">
        <v>60</v>
      </c>
      <c r="AS83" s="1">
        <v>1244.0</v>
      </c>
      <c r="AT83" s="1">
        <v>1244.0</v>
      </c>
      <c r="AU83" s="1">
        <v>548.0</v>
      </c>
      <c r="AV83" s="1">
        <v>31.0</v>
      </c>
      <c r="AW83" s="1">
        <v>105.0</v>
      </c>
      <c r="AX83" s="1">
        <v>6267.0</v>
      </c>
      <c r="AY83" s="1">
        <v>36.0</v>
      </c>
      <c r="AZ83" s="1" t="s">
        <v>239</v>
      </c>
      <c r="BA83" s="1" t="s">
        <v>121</v>
      </c>
    </row>
    <row r="84">
      <c r="A84" s="1" t="s">
        <v>459</v>
      </c>
      <c r="B84" s="1" t="s">
        <v>53</v>
      </c>
      <c r="C84" s="1">
        <v>2014.0</v>
      </c>
      <c r="D84" s="1" t="s">
        <v>460</v>
      </c>
      <c r="E84" s="1" t="s">
        <v>461</v>
      </c>
      <c r="F84" s="1" t="s">
        <v>462</v>
      </c>
      <c r="G84" s="1" t="s">
        <v>472</v>
      </c>
      <c r="H84" s="1" t="s">
        <v>464</v>
      </c>
      <c r="I84" s="1">
        <v>141.0</v>
      </c>
      <c r="K84" s="2" t="s">
        <v>374</v>
      </c>
      <c r="L84" s="2" t="s">
        <v>60</v>
      </c>
      <c r="M84" s="1" t="s">
        <v>473</v>
      </c>
      <c r="N84" s="1" t="s">
        <v>62</v>
      </c>
      <c r="O84" s="1" t="s">
        <v>92</v>
      </c>
      <c r="P84" s="1" t="s">
        <v>466</v>
      </c>
      <c r="Q84" s="1">
        <v>19.87</v>
      </c>
      <c r="R84" s="1">
        <v>-88.77</v>
      </c>
      <c r="S84" s="1" t="s">
        <v>148</v>
      </c>
      <c r="T84" s="2" t="s">
        <v>474</v>
      </c>
      <c r="U84" s="8" t="s">
        <v>96</v>
      </c>
      <c r="V84" s="3" t="s">
        <v>97</v>
      </c>
      <c r="W84" s="1" t="s">
        <v>468</v>
      </c>
      <c r="X84" s="1" t="s">
        <v>456</v>
      </c>
      <c r="Y84" s="6" t="s">
        <v>76</v>
      </c>
      <c r="Z84" s="3" t="s">
        <v>76</v>
      </c>
      <c r="AB84" s="1">
        <v>9.0</v>
      </c>
      <c r="AI84" s="1" t="s">
        <v>469</v>
      </c>
      <c r="AJ84" s="1" t="s">
        <v>470</v>
      </c>
      <c r="AK84" s="1" t="s">
        <v>470</v>
      </c>
      <c r="AL84" s="2" t="s">
        <v>73</v>
      </c>
      <c r="AM84" s="2" t="s">
        <v>72</v>
      </c>
      <c r="AN84" s="2" t="s">
        <v>132</v>
      </c>
      <c r="AO84" s="2" t="s">
        <v>60</v>
      </c>
      <c r="AP84" s="1" t="s">
        <v>471</v>
      </c>
      <c r="AQ84" s="2" t="s">
        <v>102</v>
      </c>
      <c r="AR84" s="2" t="s">
        <v>60</v>
      </c>
      <c r="AS84" s="1">
        <v>1244.0</v>
      </c>
      <c r="AT84" s="1">
        <v>1244.0</v>
      </c>
      <c r="AU84" s="1">
        <v>548.0</v>
      </c>
      <c r="AV84" s="1">
        <v>31.0</v>
      </c>
      <c r="AW84" s="1">
        <v>105.0</v>
      </c>
      <c r="AX84" s="1">
        <v>6267.0</v>
      </c>
      <c r="AY84" s="1">
        <v>36.0</v>
      </c>
      <c r="AZ84" s="1" t="s">
        <v>239</v>
      </c>
      <c r="BA84" s="1" t="s">
        <v>121</v>
      </c>
    </row>
    <row r="85">
      <c r="A85" s="1" t="s">
        <v>475</v>
      </c>
      <c r="B85" s="1" t="s">
        <v>53</v>
      </c>
      <c r="C85" s="1">
        <v>2020.0</v>
      </c>
      <c r="D85" s="1" t="s">
        <v>476</v>
      </c>
      <c r="E85" s="1" t="s">
        <v>477</v>
      </c>
      <c r="F85" s="1" t="s">
        <v>462</v>
      </c>
      <c r="G85" s="1" t="s">
        <v>478</v>
      </c>
      <c r="H85" s="1" t="s">
        <v>479</v>
      </c>
      <c r="I85" s="1">
        <v>285.0</v>
      </c>
      <c r="K85" s="2" t="s">
        <v>480</v>
      </c>
      <c r="L85" s="2" t="s">
        <v>76</v>
      </c>
      <c r="M85" s="1" t="s">
        <v>475</v>
      </c>
      <c r="N85" s="1" t="s">
        <v>62</v>
      </c>
      <c r="O85" s="1" t="s">
        <v>92</v>
      </c>
      <c r="P85" s="1" t="s">
        <v>481</v>
      </c>
      <c r="Q85" s="1">
        <v>20.35244</v>
      </c>
      <c r="R85" s="1">
        <v>-87.8042</v>
      </c>
      <c r="S85" s="1" t="s">
        <v>94</v>
      </c>
      <c r="T85" s="2" t="s">
        <v>95</v>
      </c>
      <c r="U85" s="2" t="s">
        <v>96</v>
      </c>
      <c r="V85" s="3" t="s">
        <v>97</v>
      </c>
      <c r="W85" s="1" t="s">
        <v>482</v>
      </c>
      <c r="X85" s="1" t="s">
        <v>483</v>
      </c>
      <c r="Y85" s="6" t="s">
        <v>76</v>
      </c>
      <c r="Z85" s="3" t="s">
        <v>76</v>
      </c>
      <c r="AJ85" s="1">
        <v>2014.0</v>
      </c>
      <c r="AK85" s="1">
        <v>2019.0</v>
      </c>
      <c r="AL85" s="2" t="s">
        <v>153</v>
      </c>
      <c r="AM85" s="2" t="s">
        <v>60</v>
      </c>
      <c r="AN85" s="2" t="s">
        <v>101</v>
      </c>
      <c r="AO85" s="2" t="s">
        <v>72</v>
      </c>
      <c r="AP85" s="1" t="s">
        <v>484</v>
      </c>
      <c r="AQ85" s="2" t="s">
        <v>102</v>
      </c>
      <c r="AR85" s="2" t="s">
        <v>60</v>
      </c>
      <c r="AS85" s="1">
        <v>1155.0</v>
      </c>
      <c r="AT85" s="1">
        <v>1155.0</v>
      </c>
      <c r="AU85" s="1">
        <v>497.0</v>
      </c>
      <c r="AV85" s="1">
        <v>41.0</v>
      </c>
      <c r="AW85" s="1">
        <v>128.0</v>
      </c>
      <c r="AX85" s="1">
        <v>5543.0</v>
      </c>
      <c r="AY85" s="1">
        <v>16.0</v>
      </c>
      <c r="AZ85" s="1" t="s">
        <v>239</v>
      </c>
      <c r="BA85" s="1" t="s">
        <v>121</v>
      </c>
    </row>
    <row r="86">
      <c r="A86" s="1" t="s">
        <v>485</v>
      </c>
      <c r="B86" s="1" t="s">
        <v>53</v>
      </c>
      <c r="C86" s="1">
        <v>2005.0</v>
      </c>
      <c r="D86" s="1" t="s">
        <v>486</v>
      </c>
      <c r="E86" s="1" t="s">
        <v>487</v>
      </c>
      <c r="F86" s="1" t="s">
        <v>488</v>
      </c>
      <c r="G86" s="1" t="s">
        <v>489</v>
      </c>
      <c r="H86" s="1" t="s">
        <v>490</v>
      </c>
      <c r="I86" s="1">
        <v>33.0</v>
      </c>
      <c r="J86" s="1">
        <v>1.0</v>
      </c>
      <c r="K86" s="2" t="s">
        <v>491</v>
      </c>
      <c r="L86" s="2" t="s">
        <v>60</v>
      </c>
      <c r="M86" s="1" t="s">
        <v>492</v>
      </c>
      <c r="N86" s="1" t="s">
        <v>62</v>
      </c>
      <c r="O86" s="1" t="s">
        <v>112</v>
      </c>
      <c r="P86" s="1" t="s">
        <v>493</v>
      </c>
      <c r="Q86" s="1">
        <v>10.554751</v>
      </c>
      <c r="R86" s="1">
        <v>-84.768433</v>
      </c>
      <c r="S86" s="1" t="s">
        <v>94</v>
      </c>
      <c r="T86" s="2" t="s">
        <v>135</v>
      </c>
      <c r="U86" s="2" t="s">
        <v>96</v>
      </c>
      <c r="V86" s="3" t="s">
        <v>97</v>
      </c>
      <c r="W86" s="1" t="s">
        <v>494</v>
      </c>
      <c r="X86" s="2" t="s">
        <v>99</v>
      </c>
      <c r="Y86" s="6" t="s">
        <v>76</v>
      </c>
      <c r="Z86" s="3" t="s">
        <v>76</v>
      </c>
      <c r="AF86" s="1">
        <v>8.0</v>
      </c>
      <c r="AJ86" s="1">
        <v>-6890.0</v>
      </c>
      <c r="AK86" s="1">
        <v>-2970.0</v>
      </c>
      <c r="AL86" s="2" t="s">
        <v>153</v>
      </c>
      <c r="AM86" s="2" t="s">
        <v>60</v>
      </c>
      <c r="AN86" s="2" t="s">
        <v>72</v>
      </c>
      <c r="AO86" s="2" t="s">
        <v>72</v>
      </c>
      <c r="AQ86" s="2" t="s">
        <v>102</v>
      </c>
      <c r="AR86" s="2" t="s">
        <v>76</v>
      </c>
      <c r="AS86" s="1">
        <v>3499.0</v>
      </c>
      <c r="AT86" s="1">
        <v>3499.0</v>
      </c>
      <c r="AU86" s="1">
        <v>1184.0</v>
      </c>
      <c r="AV86" s="1">
        <v>62.0</v>
      </c>
      <c r="AW86" s="1">
        <v>304.0</v>
      </c>
      <c r="AX86" s="1">
        <v>4357.0</v>
      </c>
      <c r="AY86" s="1">
        <v>406.0</v>
      </c>
      <c r="AZ86" s="1" t="s">
        <v>120</v>
      </c>
      <c r="BA86" s="1" t="s">
        <v>121</v>
      </c>
    </row>
    <row r="87">
      <c r="A87" s="1" t="s">
        <v>485</v>
      </c>
      <c r="B87" s="1" t="s">
        <v>53</v>
      </c>
      <c r="C87" s="1">
        <v>2005.0</v>
      </c>
      <c r="D87" s="1" t="s">
        <v>486</v>
      </c>
      <c r="E87" s="1" t="s">
        <v>487</v>
      </c>
      <c r="F87" s="1" t="s">
        <v>488</v>
      </c>
      <c r="G87" s="1" t="s">
        <v>489</v>
      </c>
      <c r="H87" s="1" t="s">
        <v>490</v>
      </c>
      <c r="I87" s="1">
        <v>33.0</v>
      </c>
      <c r="J87" s="1">
        <v>1.0</v>
      </c>
      <c r="K87" s="2" t="s">
        <v>491</v>
      </c>
      <c r="L87" s="2" t="s">
        <v>60</v>
      </c>
      <c r="M87" s="1" t="s">
        <v>495</v>
      </c>
      <c r="N87" s="1" t="s">
        <v>62</v>
      </c>
      <c r="O87" s="1" t="s">
        <v>112</v>
      </c>
      <c r="P87" s="1" t="s">
        <v>493</v>
      </c>
      <c r="Q87" s="1">
        <v>10.554751</v>
      </c>
      <c r="R87" s="1">
        <v>-84.768433</v>
      </c>
      <c r="S87" s="1" t="s">
        <v>94</v>
      </c>
      <c r="T87" s="2" t="s">
        <v>95</v>
      </c>
      <c r="U87" s="2" t="s">
        <v>96</v>
      </c>
      <c r="V87" s="3" t="s">
        <v>97</v>
      </c>
      <c r="W87" s="1" t="s">
        <v>494</v>
      </c>
      <c r="X87" s="2" t="s">
        <v>99</v>
      </c>
      <c r="Y87" s="6" t="s">
        <v>76</v>
      </c>
      <c r="Z87" s="3" t="s">
        <v>76</v>
      </c>
      <c r="AF87" s="1">
        <v>8.0</v>
      </c>
      <c r="AJ87" s="1">
        <v>-6890.0</v>
      </c>
      <c r="AK87" s="1">
        <v>-2970.0</v>
      </c>
      <c r="AL87" s="2" t="s">
        <v>153</v>
      </c>
      <c r="AM87" s="2" t="s">
        <v>60</v>
      </c>
      <c r="AN87" s="2" t="s">
        <v>72</v>
      </c>
      <c r="AO87" s="2" t="s">
        <v>72</v>
      </c>
      <c r="AQ87" s="2" t="s">
        <v>102</v>
      </c>
      <c r="AR87" s="2" t="s">
        <v>76</v>
      </c>
      <c r="AS87" s="1">
        <v>3499.0</v>
      </c>
      <c r="AT87" s="1">
        <v>3499.0</v>
      </c>
      <c r="AU87" s="1">
        <v>1184.0</v>
      </c>
      <c r="AV87" s="1">
        <v>62.0</v>
      </c>
      <c r="AW87" s="1">
        <v>304.0</v>
      </c>
      <c r="AX87" s="1">
        <v>4357.0</v>
      </c>
      <c r="AY87" s="1">
        <v>406.0</v>
      </c>
      <c r="AZ87" s="1" t="s">
        <v>120</v>
      </c>
      <c r="BA87" s="1" t="s">
        <v>121</v>
      </c>
    </row>
    <row r="88">
      <c r="A88" s="1" t="s">
        <v>496</v>
      </c>
      <c r="B88" s="1" t="s">
        <v>53</v>
      </c>
      <c r="C88" s="1">
        <v>2007.0</v>
      </c>
      <c r="D88" s="1" t="s">
        <v>497</v>
      </c>
      <c r="E88" s="1" t="s">
        <v>498</v>
      </c>
      <c r="F88" s="1" t="s">
        <v>488</v>
      </c>
      <c r="G88" s="1" t="s">
        <v>499</v>
      </c>
      <c r="H88" s="1" t="s">
        <v>500</v>
      </c>
      <c r="I88" s="1">
        <v>35.0</v>
      </c>
      <c r="J88" s="1">
        <v>2.0</v>
      </c>
      <c r="K88" s="2" t="s">
        <v>501</v>
      </c>
      <c r="L88" s="2" t="s">
        <v>60</v>
      </c>
      <c r="M88" s="1" t="s">
        <v>502</v>
      </c>
      <c r="N88" s="1" t="s">
        <v>62</v>
      </c>
      <c r="O88" s="1" t="s">
        <v>187</v>
      </c>
      <c r="P88" s="1" t="s">
        <v>443</v>
      </c>
      <c r="Q88" s="1">
        <v>17.117188</v>
      </c>
      <c r="R88" s="1">
        <v>-88.890606</v>
      </c>
      <c r="S88" s="1" t="s">
        <v>94</v>
      </c>
      <c r="T88" s="2" t="s">
        <v>95</v>
      </c>
      <c r="U88" s="2" t="s">
        <v>444</v>
      </c>
      <c r="V88" s="3" t="s">
        <v>97</v>
      </c>
      <c r="W88" s="1" t="s">
        <v>503</v>
      </c>
      <c r="X88" s="2" t="s">
        <v>99</v>
      </c>
      <c r="Y88" s="6" t="s">
        <v>76</v>
      </c>
      <c r="Z88" s="3" t="s">
        <v>76</v>
      </c>
      <c r="AE88" s="1">
        <v>1.0</v>
      </c>
      <c r="AJ88" s="1">
        <v>1978.0</v>
      </c>
      <c r="AK88" s="1">
        <v>2001.0</v>
      </c>
      <c r="AL88" s="2" t="s">
        <v>153</v>
      </c>
      <c r="AM88" s="2" t="s">
        <v>60</v>
      </c>
      <c r="AN88" s="2" t="s">
        <v>72</v>
      </c>
      <c r="AO88" s="2" t="s">
        <v>101</v>
      </c>
      <c r="AQ88" s="2" t="s">
        <v>102</v>
      </c>
      <c r="AR88" s="2" t="s">
        <v>76</v>
      </c>
      <c r="AS88" s="1">
        <v>1849.0</v>
      </c>
      <c r="AT88" s="1">
        <v>1849.0</v>
      </c>
      <c r="AU88" s="1">
        <v>723.0</v>
      </c>
      <c r="AV88" s="1">
        <v>44.0</v>
      </c>
      <c r="AW88" s="1">
        <v>156.0</v>
      </c>
      <c r="AX88" s="1">
        <v>5227.0</v>
      </c>
      <c r="AY88" s="1">
        <v>194.0</v>
      </c>
      <c r="AZ88" s="1" t="s">
        <v>445</v>
      </c>
      <c r="BA88" s="1" t="s">
        <v>446</v>
      </c>
    </row>
    <row r="89">
      <c r="A89" s="1" t="s">
        <v>496</v>
      </c>
      <c r="B89" s="1" t="s">
        <v>53</v>
      </c>
      <c r="C89" s="1">
        <v>2007.0</v>
      </c>
      <c r="D89" s="1" t="s">
        <v>497</v>
      </c>
      <c r="E89" s="1" t="s">
        <v>498</v>
      </c>
      <c r="F89" s="1" t="s">
        <v>488</v>
      </c>
      <c r="G89" s="1" t="s">
        <v>499</v>
      </c>
      <c r="H89" s="1" t="s">
        <v>500</v>
      </c>
      <c r="I89" s="1">
        <v>35.0</v>
      </c>
      <c r="J89" s="1">
        <v>2.0</v>
      </c>
      <c r="K89" s="2" t="s">
        <v>501</v>
      </c>
      <c r="L89" s="2" t="s">
        <v>60</v>
      </c>
      <c r="M89" s="1" t="s">
        <v>504</v>
      </c>
      <c r="N89" s="1" t="s">
        <v>62</v>
      </c>
      <c r="O89" s="1" t="s">
        <v>187</v>
      </c>
      <c r="P89" s="1" t="s">
        <v>443</v>
      </c>
      <c r="Q89" s="1">
        <v>17.117188</v>
      </c>
      <c r="R89" s="1">
        <v>-88.890606</v>
      </c>
      <c r="S89" s="1" t="s">
        <v>94</v>
      </c>
      <c r="T89" s="2" t="s">
        <v>135</v>
      </c>
      <c r="U89" s="2" t="s">
        <v>444</v>
      </c>
      <c r="V89" s="3" t="s">
        <v>97</v>
      </c>
      <c r="W89" s="1" t="s">
        <v>503</v>
      </c>
      <c r="X89" s="2" t="s">
        <v>99</v>
      </c>
      <c r="Y89" s="6" t="s">
        <v>76</v>
      </c>
      <c r="Z89" s="3" t="s">
        <v>76</v>
      </c>
      <c r="AE89" s="1">
        <v>1.0</v>
      </c>
      <c r="AJ89" s="1">
        <v>1978.0</v>
      </c>
      <c r="AK89" s="1">
        <v>2001.0</v>
      </c>
      <c r="AL89" s="2" t="s">
        <v>153</v>
      </c>
      <c r="AM89" s="2" t="s">
        <v>60</v>
      </c>
      <c r="AN89" s="2" t="s">
        <v>72</v>
      </c>
      <c r="AO89" s="2" t="s">
        <v>101</v>
      </c>
      <c r="AQ89" s="2" t="s">
        <v>102</v>
      </c>
      <c r="AR89" s="2" t="s">
        <v>76</v>
      </c>
      <c r="AS89" s="1">
        <v>1849.0</v>
      </c>
      <c r="AT89" s="1">
        <v>1849.0</v>
      </c>
      <c r="AU89" s="1">
        <v>723.0</v>
      </c>
      <c r="AV89" s="1">
        <v>44.0</v>
      </c>
      <c r="AW89" s="1">
        <v>156.0</v>
      </c>
      <c r="AX89" s="1">
        <v>5227.0</v>
      </c>
      <c r="AY89" s="1">
        <v>194.0</v>
      </c>
      <c r="AZ89" s="1" t="s">
        <v>445</v>
      </c>
      <c r="BA89" s="1" t="s">
        <v>446</v>
      </c>
    </row>
    <row r="90">
      <c r="A90" s="1" t="s">
        <v>505</v>
      </c>
      <c r="B90" s="1" t="s">
        <v>53</v>
      </c>
      <c r="C90" s="1">
        <v>2010.0</v>
      </c>
      <c r="D90" s="1" t="s">
        <v>506</v>
      </c>
      <c r="E90" s="1" t="s">
        <v>507</v>
      </c>
      <c r="F90" s="1" t="s">
        <v>488</v>
      </c>
      <c r="G90" s="1" t="s">
        <v>508</v>
      </c>
      <c r="H90" s="1" t="s">
        <v>509</v>
      </c>
      <c r="I90" s="1">
        <v>38.0</v>
      </c>
      <c r="J90" s="1">
        <v>6.0</v>
      </c>
      <c r="K90" s="2" t="s">
        <v>510</v>
      </c>
      <c r="L90" s="2" t="s">
        <v>60</v>
      </c>
      <c r="M90" s="1" t="s">
        <v>511</v>
      </c>
      <c r="N90" s="1" t="s">
        <v>62</v>
      </c>
      <c r="O90" s="1" t="s">
        <v>167</v>
      </c>
      <c r="P90" s="1" t="s">
        <v>512</v>
      </c>
      <c r="Q90" s="1">
        <v>16.916667</v>
      </c>
      <c r="R90" s="1">
        <v>-89.833333</v>
      </c>
      <c r="S90" s="1" t="s">
        <v>148</v>
      </c>
      <c r="T90" s="2" t="s">
        <v>66</v>
      </c>
      <c r="U90" s="3" t="s">
        <v>513</v>
      </c>
      <c r="V90" s="3" t="s">
        <v>171</v>
      </c>
      <c r="W90" s="2" t="s">
        <v>72</v>
      </c>
      <c r="X90" s="1" t="s">
        <v>70</v>
      </c>
      <c r="Y90" s="5" t="s">
        <v>76</v>
      </c>
      <c r="Z90" s="3" t="s">
        <v>316</v>
      </c>
      <c r="AB90" s="1">
        <v>4.0</v>
      </c>
      <c r="AI90" s="1" t="s">
        <v>514</v>
      </c>
      <c r="AJ90" s="1">
        <v>880.0</v>
      </c>
      <c r="AK90" s="1">
        <v>1999.0</v>
      </c>
      <c r="AL90" s="3" t="s">
        <v>73</v>
      </c>
      <c r="AM90" s="2" t="s">
        <v>72</v>
      </c>
      <c r="AN90" s="2" t="s">
        <v>72</v>
      </c>
      <c r="AO90" s="2" t="s">
        <v>76</v>
      </c>
      <c r="AQ90" s="2" t="s">
        <v>75</v>
      </c>
      <c r="AR90" s="2" t="s">
        <v>76</v>
      </c>
      <c r="AS90" s="1">
        <v>1738.0</v>
      </c>
      <c r="AT90" s="1">
        <v>1738.0</v>
      </c>
      <c r="AU90" s="1">
        <v>690.0</v>
      </c>
      <c r="AV90" s="1">
        <v>36.0</v>
      </c>
      <c r="AW90" s="1">
        <v>144.0</v>
      </c>
      <c r="AX90" s="1">
        <v>5677.0</v>
      </c>
      <c r="AY90" s="1">
        <v>131.0</v>
      </c>
      <c r="AZ90" s="1" t="s">
        <v>133</v>
      </c>
      <c r="BA90" s="1" t="s">
        <v>121</v>
      </c>
    </row>
    <row r="91">
      <c r="A91" s="1" t="s">
        <v>515</v>
      </c>
      <c r="B91" s="1" t="s">
        <v>53</v>
      </c>
      <c r="C91" s="1">
        <v>2013.0</v>
      </c>
      <c r="D91" s="1" t="s">
        <v>516</v>
      </c>
      <c r="E91" s="1" t="s">
        <v>517</v>
      </c>
      <c r="F91" s="1" t="s">
        <v>488</v>
      </c>
      <c r="G91" s="1" t="s">
        <v>518</v>
      </c>
      <c r="H91" s="1" t="s">
        <v>519</v>
      </c>
      <c r="I91" s="1">
        <v>41.0</v>
      </c>
      <c r="J91" s="1">
        <v>2.0</v>
      </c>
      <c r="K91" s="2" t="s">
        <v>520</v>
      </c>
      <c r="L91" s="2" t="s">
        <v>76</v>
      </c>
      <c r="M91" s="1" t="s">
        <v>515</v>
      </c>
      <c r="N91" s="1" t="s">
        <v>62</v>
      </c>
      <c r="O91" s="1" t="s">
        <v>521</v>
      </c>
      <c r="P91" s="1" t="s">
        <v>522</v>
      </c>
      <c r="Q91" s="1">
        <v>11.906</v>
      </c>
      <c r="R91" s="1">
        <v>-85.918</v>
      </c>
      <c r="S91" s="1" t="s">
        <v>148</v>
      </c>
      <c r="T91" s="2" t="s">
        <v>95</v>
      </c>
      <c r="U91" s="2" t="s">
        <v>96</v>
      </c>
      <c r="V91" s="3" t="s">
        <v>97</v>
      </c>
      <c r="W91" s="2" t="s">
        <v>72</v>
      </c>
      <c r="X91" s="2" t="s">
        <v>99</v>
      </c>
      <c r="Y91" s="6" t="s">
        <v>76</v>
      </c>
      <c r="Z91" s="3" t="s">
        <v>76</v>
      </c>
      <c r="AB91" s="1">
        <v>5.0</v>
      </c>
      <c r="AI91" s="1" t="s">
        <v>523</v>
      </c>
      <c r="AJ91" s="1">
        <v>600.0</v>
      </c>
      <c r="AK91" s="1">
        <v>2004.0</v>
      </c>
      <c r="AL91" s="2" t="s">
        <v>73</v>
      </c>
      <c r="AM91" s="2" t="s">
        <v>60</v>
      </c>
      <c r="AN91" s="2" t="s">
        <v>524</v>
      </c>
      <c r="AO91" s="2" t="s">
        <v>72</v>
      </c>
      <c r="AQ91" s="2" t="s">
        <v>102</v>
      </c>
      <c r="AR91" s="2" t="s">
        <v>76</v>
      </c>
      <c r="AS91" s="1">
        <v>1535.0</v>
      </c>
      <c r="AT91" s="1">
        <v>1535.0</v>
      </c>
      <c r="AU91" s="1">
        <v>863.0</v>
      </c>
      <c r="AV91" s="1">
        <v>2.0</v>
      </c>
      <c r="AW91" s="1">
        <v>16.0</v>
      </c>
      <c r="AX91" s="1">
        <v>9899.0</v>
      </c>
      <c r="AY91" s="1">
        <v>43.0</v>
      </c>
      <c r="AZ91" s="1" t="s">
        <v>525</v>
      </c>
      <c r="BA91" s="1" t="s">
        <v>104</v>
      </c>
    </row>
    <row r="92">
      <c r="A92" s="1" t="s">
        <v>526</v>
      </c>
      <c r="B92" s="1" t="s">
        <v>53</v>
      </c>
      <c r="C92" s="1">
        <v>2019.0</v>
      </c>
      <c r="D92" s="1" t="s">
        <v>527</v>
      </c>
      <c r="E92" s="1" t="s">
        <v>528</v>
      </c>
      <c r="F92" s="1" t="s">
        <v>529</v>
      </c>
      <c r="G92" s="1" t="s">
        <v>530</v>
      </c>
      <c r="H92" s="1" t="s">
        <v>531</v>
      </c>
      <c r="I92" s="1">
        <v>331.0</v>
      </c>
      <c r="K92" s="2" t="s">
        <v>532</v>
      </c>
      <c r="L92" s="2" t="s">
        <v>60</v>
      </c>
      <c r="M92" s="1" t="s">
        <v>533</v>
      </c>
      <c r="N92" s="1" t="s">
        <v>62</v>
      </c>
      <c r="O92" s="1" t="s">
        <v>187</v>
      </c>
      <c r="P92" s="1" t="s">
        <v>534</v>
      </c>
      <c r="Q92" s="1">
        <v>17.824612</v>
      </c>
      <c r="R92" s="1">
        <v>-88.889705</v>
      </c>
      <c r="S92" s="1" t="s">
        <v>535</v>
      </c>
      <c r="T92" s="2" t="s">
        <v>66</v>
      </c>
      <c r="U92" s="3" t="s">
        <v>67</v>
      </c>
      <c r="V92" s="3" t="s">
        <v>68</v>
      </c>
      <c r="W92" s="2" t="s">
        <v>72</v>
      </c>
      <c r="X92" s="2" t="s">
        <v>72</v>
      </c>
      <c r="Y92" s="5" t="s">
        <v>60</v>
      </c>
      <c r="Z92" s="3" t="s">
        <v>118</v>
      </c>
      <c r="AB92" s="1">
        <v>4.0</v>
      </c>
      <c r="AI92" s="2" t="s">
        <v>72</v>
      </c>
      <c r="AJ92" s="1">
        <v>225.0</v>
      </c>
      <c r="AK92" s="1">
        <v>2014.0</v>
      </c>
      <c r="AL92" s="2" t="s">
        <v>153</v>
      </c>
      <c r="AM92" s="2" t="s">
        <v>72</v>
      </c>
      <c r="AN92" s="2" t="s">
        <v>72</v>
      </c>
      <c r="AO92" s="2" t="s">
        <v>72</v>
      </c>
      <c r="AQ92" s="2" t="s">
        <v>75</v>
      </c>
      <c r="AR92" s="2" t="s">
        <v>76</v>
      </c>
      <c r="AS92" s="1">
        <v>1512.0</v>
      </c>
      <c r="AT92" s="1">
        <v>1512.0</v>
      </c>
      <c r="AU92" s="1">
        <v>605.0</v>
      </c>
      <c r="AV92" s="1">
        <v>38.0</v>
      </c>
      <c r="AW92" s="1">
        <v>124.0</v>
      </c>
      <c r="AX92" s="1">
        <v>5497.0</v>
      </c>
      <c r="AY92" s="1">
        <v>46.0</v>
      </c>
      <c r="AZ92" s="1" t="s">
        <v>133</v>
      </c>
      <c r="BA92" s="1" t="s">
        <v>121</v>
      </c>
    </row>
    <row r="93">
      <c r="A93" s="1" t="s">
        <v>526</v>
      </c>
      <c r="B93" s="1" t="s">
        <v>53</v>
      </c>
      <c r="C93" s="1">
        <v>2019.0</v>
      </c>
      <c r="D93" s="1" t="s">
        <v>527</v>
      </c>
      <c r="E93" s="1" t="s">
        <v>528</v>
      </c>
      <c r="F93" s="1" t="s">
        <v>529</v>
      </c>
      <c r="G93" s="1" t="s">
        <v>530</v>
      </c>
      <c r="H93" s="1" t="s">
        <v>531</v>
      </c>
      <c r="I93" s="1">
        <v>331.0</v>
      </c>
      <c r="K93" s="2" t="s">
        <v>532</v>
      </c>
      <c r="L93" s="2" t="s">
        <v>60</v>
      </c>
      <c r="M93" s="1" t="s">
        <v>536</v>
      </c>
      <c r="N93" s="1" t="s">
        <v>62</v>
      </c>
      <c r="O93" s="1" t="s">
        <v>187</v>
      </c>
      <c r="P93" s="1" t="s">
        <v>534</v>
      </c>
      <c r="Q93" s="1">
        <v>17.824612</v>
      </c>
      <c r="R93" s="1">
        <v>-88.889705</v>
      </c>
      <c r="S93" s="1" t="s">
        <v>535</v>
      </c>
      <c r="T93" s="3" t="s">
        <v>80</v>
      </c>
      <c r="U93" s="3" t="s">
        <v>81</v>
      </c>
      <c r="V93" s="3" t="s">
        <v>68</v>
      </c>
      <c r="W93" s="2" t="s">
        <v>72</v>
      </c>
      <c r="X93" s="2" t="s">
        <v>72</v>
      </c>
      <c r="Y93" s="6" t="s">
        <v>76</v>
      </c>
      <c r="Z93" s="3" t="s">
        <v>84</v>
      </c>
      <c r="AB93" s="1">
        <v>4.0</v>
      </c>
      <c r="AI93" s="2" t="s">
        <v>72</v>
      </c>
      <c r="AJ93" s="1">
        <v>225.0</v>
      </c>
      <c r="AK93" s="1">
        <v>2014.0</v>
      </c>
      <c r="AL93" s="2" t="s">
        <v>153</v>
      </c>
      <c r="AM93" s="2" t="s">
        <v>72</v>
      </c>
      <c r="AN93" s="2" t="s">
        <v>72</v>
      </c>
      <c r="AO93" s="2" t="s">
        <v>72</v>
      </c>
      <c r="AQ93" s="2" t="s">
        <v>75</v>
      </c>
      <c r="AR93" s="2" t="s">
        <v>76</v>
      </c>
      <c r="AS93" s="1">
        <v>1512.0</v>
      </c>
      <c r="AT93" s="1">
        <v>1512.0</v>
      </c>
      <c r="AU93" s="1">
        <v>605.0</v>
      </c>
      <c r="AV93" s="1">
        <v>38.0</v>
      </c>
      <c r="AW93" s="1">
        <v>124.0</v>
      </c>
      <c r="AX93" s="1">
        <v>5497.0</v>
      </c>
      <c r="AY93" s="1">
        <v>46.0</v>
      </c>
      <c r="AZ93" s="1" t="s">
        <v>133</v>
      </c>
      <c r="BA93" s="1" t="s">
        <v>121</v>
      </c>
    </row>
    <row r="94">
      <c r="A94" s="1" t="s">
        <v>526</v>
      </c>
      <c r="B94" s="1" t="s">
        <v>53</v>
      </c>
      <c r="C94" s="1">
        <v>2019.0</v>
      </c>
      <c r="D94" s="1" t="s">
        <v>527</v>
      </c>
      <c r="E94" s="1" t="s">
        <v>528</v>
      </c>
      <c r="F94" s="1" t="s">
        <v>529</v>
      </c>
      <c r="G94" s="1" t="s">
        <v>530</v>
      </c>
      <c r="H94" s="1" t="s">
        <v>531</v>
      </c>
      <c r="I94" s="1">
        <v>331.0</v>
      </c>
      <c r="K94" s="2" t="s">
        <v>532</v>
      </c>
      <c r="L94" s="2" t="s">
        <v>60</v>
      </c>
      <c r="M94" s="1" t="s">
        <v>537</v>
      </c>
      <c r="N94" s="1" t="s">
        <v>62</v>
      </c>
      <c r="O94" s="1" t="s">
        <v>187</v>
      </c>
      <c r="P94" s="1" t="s">
        <v>534</v>
      </c>
      <c r="Q94" s="1">
        <v>17.824612</v>
      </c>
      <c r="R94" s="1">
        <v>-88.889705</v>
      </c>
      <c r="S94" s="1" t="s">
        <v>535</v>
      </c>
      <c r="T94" s="2" t="s">
        <v>194</v>
      </c>
      <c r="U94" s="1" t="s">
        <v>173</v>
      </c>
      <c r="V94" s="3" t="s">
        <v>68</v>
      </c>
      <c r="W94" s="1" t="s">
        <v>286</v>
      </c>
      <c r="X94" s="1" t="s">
        <v>70</v>
      </c>
      <c r="Y94" s="6" t="s">
        <v>76</v>
      </c>
      <c r="Z94" s="1" t="s">
        <v>173</v>
      </c>
      <c r="AB94" s="1">
        <v>4.0</v>
      </c>
      <c r="AI94" s="2" t="s">
        <v>72</v>
      </c>
      <c r="AJ94" s="1">
        <v>225.0</v>
      </c>
      <c r="AK94" s="1">
        <v>2014.0</v>
      </c>
      <c r="AL94" s="2" t="s">
        <v>153</v>
      </c>
      <c r="AM94" s="2" t="s">
        <v>72</v>
      </c>
      <c r="AN94" s="2" t="s">
        <v>72</v>
      </c>
      <c r="AO94" s="2" t="s">
        <v>72</v>
      </c>
      <c r="AQ94" s="2" t="s">
        <v>75</v>
      </c>
      <c r="AR94" s="2" t="s">
        <v>76</v>
      </c>
      <c r="AS94" s="1">
        <v>1512.0</v>
      </c>
      <c r="AT94" s="1">
        <v>1512.0</v>
      </c>
      <c r="AU94" s="1">
        <v>605.0</v>
      </c>
      <c r="AV94" s="1">
        <v>38.0</v>
      </c>
      <c r="AW94" s="1">
        <v>124.0</v>
      </c>
      <c r="AX94" s="1">
        <v>5497.0</v>
      </c>
      <c r="AY94" s="1">
        <v>46.0</v>
      </c>
      <c r="AZ94" s="1" t="s">
        <v>133</v>
      </c>
      <c r="BA94" s="1" t="s">
        <v>121</v>
      </c>
    </row>
    <row r="95">
      <c r="A95" s="1" t="s">
        <v>526</v>
      </c>
      <c r="B95" s="1" t="s">
        <v>53</v>
      </c>
      <c r="C95" s="1">
        <v>2019.0</v>
      </c>
      <c r="D95" s="1" t="s">
        <v>527</v>
      </c>
      <c r="E95" s="1" t="s">
        <v>528</v>
      </c>
      <c r="F95" s="1" t="s">
        <v>529</v>
      </c>
      <c r="G95" s="1" t="s">
        <v>530</v>
      </c>
      <c r="H95" s="1" t="s">
        <v>531</v>
      </c>
      <c r="I95" s="1">
        <v>331.0</v>
      </c>
      <c r="K95" s="2" t="s">
        <v>532</v>
      </c>
      <c r="L95" s="2" t="s">
        <v>60</v>
      </c>
      <c r="M95" s="1" t="s">
        <v>538</v>
      </c>
      <c r="N95" s="1" t="s">
        <v>62</v>
      </c>
      <c r="O95" s="1" t="s">
        <v>187</v>
      </c>
      <c r="P95" s="1" t="s">
        <v>534</v>
      </c>
      <c r="Q95" s="1">
        <v>17.824612</v>
      </c>
      <c r="R95" s="1">
        <v>-88.889705</v>
      </c>
      <c r="S95" s="1" t="s">
        <v>535</v>
      </c>
      <c r="T95" s="2" t="s">
        <v>189</v>
      </c>
      <c r="U95" s="1" t="s">
        <v>173</v>
      </c>
      <c r="V95" s="3" t="s">
        <v>68</v>
      </c>
      <c r="W95" s="1" t="s">
        <v>284</v>
      </c>
      <c r="X95" s="1" t="s">
        <v>70</v>
      </c>
      <c r="Y95" s="6" t="s">
        <v>76</v>
      </c>
      <c r="Z95" s="1" t="s">
        <v>173</v>
      </c>
      <c r="AB95" s="1">
        <v>4.0</v>
      </c>
      <c r="AI95" s="2" t="s">
        <v>72</v>
      </c>
      <c r="AJ95" s="1">
        <v>225.0</v>
      </c>
      <c r="AK95" s="1">
        <v>2014.0</v>
      </c>
      <c r="AL95" s="2" t="s">
        <v>153</v>
      </c>
      <c r="AM95" s="2" t="s">
        <v>72</v>
      </c>
      <c r="AN95" s="2" t="s">
        <v>72</v>
      </c>
      <c r="AO95" s="2" t="s">
        <v>72</v>
      </c>
      <c r="AQ95" s="2" t="s">
        <v>75</v>
      </c>
      <c r="AR95" s="2" t="s">
        <v>76</v>
      </c>
      <c r="AS95" s="1">
        <v>1512.0</v>
      </c>
      <c r="AT95" s="1">
        <v>1512.0</v>
      </c>
      <c r="AU95" s="1">
        <v>605.0</v>
      </c>
      <c r="AV95" s="1">
        <v>38.0</v>
      </c>
      <c r="AW95" s="1">
        <v>124.0</v>
      </c>
      <c r="AX95" s="1">
        <v>5497.0</v>
      </c>
      <c r="AY95" s="1">
        <v>46.0</v>
      </c>
      <c r="AZ95" s="1" t="s">
        <v>133</v>
      </c>
      <c r="BA95" s="1" t="s">
        <v>121</v>
      </c>
    </row>
    <row r="96">
      <c r="A96" s="1" t="s">
        <v>526</v>
      </c>
      <c r="B96" s="1" t="s">
        <v>53</v>
      </c>
      <c r="C96" s="1">
        <v>2019.0</v>
      </c>
      <c r="D96" s="1" t="s">
        <v>527</v>
      </c>
      <c r="E96" s="1" t="s">
        <v>528</v>
      </c>
      <c r="F96" s="1" t="s">
        <v>529</v>
      </c>
      <c r="G96" s="1" t="s">
        <v>530</v>
      </c>
      <c r="H96" s="1" t="s">
        <v>531</v>
      </c>
      <c r="I96" s="1">
        <v>331.0</v>
      </c>
      <c r="K96" s="2" t="s">
        <v>532</v>
      </c>
      <c r="L96" s="2" t="s">
        <v>60</v>
      </c>
      <c r="M96" s="1" t="s">
        <v>539</v>
      </c>
      <c r="N96" s="1" t="s">
        <v>62</v>
      </c>
      <c r="O96" s="1" t="s">
        <v>187</v>
      </c>
      <c r="P96" s="1" t="s">
        <v>534</v>
      </c>
      <c r="Q96" s="1">
        <v>17.824612</v>
      </c>
      <c r="R96" s="1">
        <v>-88.889705</v>
      </c>
      <c r="S96" s="1" t="s">
        <v>535</v>
      </c>
      <c r="T96" s="2" t="s">
        <v>169</v>
      </c>
      <c r="U96" s="2" t="s">
        <v>540</v>
      </c>
      <c r="V96" s="3" t="s">
        <v>68</v>
      </c>
      <c r="W96" s="1" t="s">
        <v>541</v>
      </c>
      <c r="X96" s="1" t="s">
        <v>70</v>
      </c>
      <c r="Y96" s="6" t="s">
        <v>76</v>
      </c>
      <c r="Z96" s="1" t="s">
        <v>173</v>
      </c>
      <c r="AB96" s="1">
        <v>4.0</v>
      </c>
      <c r="AI96" s="2" t="s">
        <v>72</v>
      </c>
      <c r="AJ96" s="1">
        <v>225.0</v>
      </c>
      <c r="AK96" s="1">
        <v>2014.0</v>
      </c>
      <c r="AL96" s="2" t="s">
        <v>153</v>
      </c>
      <c r="AM96" s="2" t="s">
        <v>72</v>
      </c>
      <c r="AN96" s="2" t="s">
        <v>72</v>
      </c>
      <c r="AO96" s="2" t="s">
        <v>72</v>
      </c>
      <c r="AQ96" s="2" t="s">
        <v>75</v>
      </c>
      <c r="AR96" s="2" t="s">
        <v>76</v>
      </c>
      <c r="AS96" s="1">
        <v>1512.0</v>
      </c>
      <c r="AT96" s="1">
        <v>1512.0</v>
      </c>
      <c r="AU96" s="1">
        <v>605.0</v>
      </c>
      <c r="AV96" s="1">
        <v>38.0</v>
      </c>
      <c r="AW96" s="1">
        <v>124.0</v>
      </c>
      <c r="AX96" s="1">
        <v>5497.0</v>
      </c>
      <c r="AY96" s="1">
        <v>46.0</v>
      </c>
      <c r="AZ96" s="1" t="s">
        <v>133</v>
      </c>
      <c r="BA96" s="1" t="s">
        <v>121</v>
      </c>
    </row>
    <row r="97">
      <c r="A97" s="1" t="s">
        <v>526</v>
      </c>
      <c r="B97" s="1" t="s">
        <v>53</v>
      </c>
      <c r="C97" s="1">
        <v>2019.0</v>
      </c>
      <c r="D97" s="1" t="s">
        <v>527</v>
      </c>
      <c r="E97" s="1" t="s">
        <v>528</v>
      </c>
      <c r="F97" s="1" t="s">
        <v>529</v>
      </c>
      <c r="G97" s="1" t="s">
        <v>530</v>
      </c>
      <c r="H97" s="1" t="s">
        <v>531</v>
      </c>
      <c r="I97" s="1">
        <v>331.0</v>
      </c>
      <c r="K97" s="2" t="s">
        <v>532</v>
      </c>
      <c r="L97" s="2" t="s">
        <v>60</v>
      </c>
      <c r="M97" s="1" t="s">
        <v>542</v>
      </c>
      <c r="N97" s="1" t="s">
        <v>62</v>
      </c>
      <c r="O97" s="1" t="s">
        <v>187</v>
      </c>
      <c r="P97" s="1" t="s">
        <v>534</v>
      </c>
      <c r="Q97" s="1">
        <v>17.824612</v>
      </c>
      <c r="R97" s="1">
        <v>-88.889705</v>
      </c>
      <c r="S97" s="1" t="s">
        <v>535</v>
      </c>
      <c r="T97" s="2" t="s">
        <v>382</v>
      </c>
      <c r="U97" s="1" t="s">
        <v>173</v>
      </c>
      <c r="V97" s="3" t="s">
        <v>68</v>
      </c>
      <c r="W97" s="1" t="s">
        <v>543</v>
      </c>
      <c r="X97" s="1" t="s">
        <v>544</v>
      </c>
      <c r="Y97" s="6" t="s">
        <v>76</v>
      </c>
      <c r="Z97" s="1" t="s">
        <v>173</v>
      </c>
      <c r="AB97" s="1">
        <v>4.0</v>
      </c>
      <c r="AI97" s="2" t="s">
        <v>72</v>
      </c>
      <c r="AJ97" s="1">
        <v>225.0</v>
      </c>
      <c r="AK97" s="1">
        <v>2014.0</v>
      </c>
      <c r="AL97" s="2" t="s">
        <v>153</v>
      </c>
      <c r="AM97" s="2" t="s">
        <v>72</v>
      </c>
      <c r="AN97" s="2" t="s">
        <v>72</v>
      </c>
      <c r="AO97" s="2" t="s">
        <v>72</v>
      </c>
      <c r="AQ97" s="2" t="s">
        <v>75</v>
      </c>
      <c r="AR97" s="2" t="s">
        <v>76</v>
      </c>
      <c r="AS97" s="1">
        <v>1512.0</v>
      </c>
      <c r="AT97" s="1">
        <v>1512.0</v>
      </c>
      <c r="AU97" s="1">
        <v>605.0</v>
      </c>
      <c r="AV97" s="1">
        <v>38.0</v>
      </c>
      <c r="AW97" s="1">
        <v>124.0</v>
      </c>
      <c r="AX97" s="1">
        <v>5497.0</v>
      </c>
      <c r="AY97" s="1">
        <v>46.0</v>
      </c>
      <c r="AZ97" s="1" t="s">
        <v>133</v>
      </c>
      <c r="BA97" s="1" t="s">
        <v>121</v>
      </c>
    </row>
    <row r="98">
      <c r="A98" s="1" t="s">
        <v>526</v>
      </c>
      <c r="B98" s="1" t="s">
        <v>53</v>
      </c>
      <c r="C98" s="1">
        <v>2019.0</v>
      </c>
      <c r="D98" s="1" t="s">
        <v>527</v>
      </c>
      <c r="E98" s="1" t="s">
        <v>528</v>
      </c>
      <c r="F98" s="1" t="s">
        <v>529</v>
      </c>
      <c r="G98" s="1" t="s">
        <v>530</v>
      </c>
      <c r="H98" s="1" t="s">
        <v>531</v>
      </c>
      <c r="I98" s="1">
        <v>331.0</v>
      </c>
      <c r="K98" s="2" t="s">
        <v>532</v>
      </c>
      <c r="L98" s="2" t="s">
        <v>60</v>
      </c>
      <c r="M98" s="1" t="s">
        <v>545</v>
      </c>
      <c r="N98" s="1" t="s">
        <v>62</v>
      </c>
      <c r="O98" s="1" t="s">
        <v>187</v>
      </c>
      <c r="P98" s="1" t="s">
        <v>534</v>
      </c>
      <c r="Q98" s="1">
        <v>17.824612</v>
      </c>
      <c r="R98" s="1">
        <v>-88.889705</v>
      </c>
      <c r="S98" s="1" t="s">
        <v>535</v>
      </c>
      <c r="T98" s="2" t="s">
        <v>135</v>
      </c>
      <c r="U98" s="3" t="s">
        <v>546</v>
      </c>
      <c r="V98" s="3" t="s">
        <v>68</v>
      </c>
      <c r="W98" s="1" t="s">
        <v>547</v>
      </c>
      <c r="X98" s="2" t="s">
        <v>99</v>
      </c>
      <c r="Y98" s="6" t="s">
        <v>76</v>
      </c>
      <c r="Z98" s="3" t="s">
        <v>411</v>
      </c>
      <c r="AB98" s="1">
        <v>4.0</v>
      </c>
      <c r="AI98" s="2" t="s">
        <v>72</v>
      </c>
      <c r="AJ98" s="1">
        <v>225.0</v>
      </c>
      <c r="AK98" s="1">
        <v>2014.0</v>
      </c>
      <c r="AL98" s="2" t="s">
        <v>153</v>
      </c>
      <c r="AM98" s="2" t="s">
        <v>72</v>
      </c>
      <c r="AN98" s="2" t="s">
        <v>72</v>
      </c>
      <c r="AO98" s="2" t="s">
        <v>72</v>
      </c>
      <c r="AQ98" s="2" t="s">
        <v>75</v>
      </c>
      <c r="AR98" s="2" t="s">
        <v>76</v>
      </c>
      <c r="AS98" s="1">
        <v>1512.0</v>
      </c>
      <c r="AT98" s="1">
        <v>1512.0</v>
      </c>
      <c r="AU98" s="1">
        <v>605.0</v>
      </c>
      <c r="AV98" s="1">
        <v>38.0</v>
      </c>
      <c r="AW98" s="1">
        <v>124.0</v>
      </c>
      <c r="AX98" s="1">
        <v>5497.0</v>
      </c>
      <c r="AY98" s="1">
        <v>46.0</v>
      </c>
      <c r="AZ98" s="1" t="s">
        <v>133</v>
      </c>
      <c r="BA98" s="1" t="s">
        <v>121</v>
      </c>
    </row>
    <row r="99">
      <c r="A99" s="1" t="s">
        <v>548</v>
      </c>
      <c r="B99" s="1" t="s">
        <v>53</v>
      </c>
      <c r="C99" s="1">
        <v>2014.0</v>
      </c>
      <c r="D99" s="1" t="s">
        <v>549</v>
      </c>
      <c r="E99" s="1" t="s">
        <v>550</v>
      </c>
      <c r="F99" s="1" t="s">
        <v>551</v>
      </c>
      <c r="G99" s="1" t="s">
        <v>552</v>
      </c>
      <c r="H99" s="1" t="s">
        <v>553</v>
      </c>
      <c r="I99" s="1">
        <v>41.0</v>
      </c>
      <c r="J99" s="1">
        <v>14.0</v>
      </c>
      <c r="K99" s="2" t="s">
        <v>554</v>
      </c>
      <c r="L99" s="2" t="s">
        <v>76</v>
      </c>
      <c r="M99" s="1" t="s">
        <v>548</v>
      </c>
      <c r="N99" s="1" t="s">
        <v>62</v>
      </c>
      <c r="O99" s="1" t="s">
        <v>92</v>
      </c>
      <c r="P99" s="1" t="s">
        <v>555</v>
      </c>
      <c r="Q99" s="1">
        <v>20.46</v>
      </c>
      <c r="R99" s="1">
        <v>-89.17</v>
      </c>
      <c r="S99" s="1" t="s">
        <v>94</v>
      </c>
      <c r="T99" s="2" t="s">
        <v>275</v>
      </c>
      <c r="U99" s="2" t="s">
        <v>556</v>
      </c>
      <c r="V99" s="3" t="s">
        <v>97</v>
      </c>
      <c r="W99" s="2" t="s">
        <v>72</v>
      </c>
      <c r="X99" s="1" t="s">
        <v>279</v>
      </c>
      <c r="Y99" s="6" t="s">
        <v>76</v>
      </c>
      <c r="Z99" s="3" t="s">
        <v>76</v>
      </c>
      <c r="AD99" s="1">
        <v>1.0</v>
      </c>
      <c r="AF99" s="1">
        <v>1.0</v>
      </c>
      <c r="AI99" s="2" t="s">
        <v>72</v>
      </c>
      <c r="AJ99" s="1">
        <v>1851.0</v>
      </c>
      <c r="AK99" s="1">
        <v>2007.0</v>
      </c>
      <c r="AL99" s="2" t="s">
        <v>153</v>
      </c>
      <c r="AM99" s="3" t="s">
        <v>60</v>
      </c>
      <c r="AN99" s="2" t="s">
        <v>101</v>
      </c>
      <c r="AO99" s="2" t="s">
        <v>101</v>
      </c>
      <c r="AQ99" s="2" t="s">
        <v>102</v>
      </c>
      <c r="AR99" s="2" t="s">
        <v>60</v>
      </c>
      <c r="AS99" s="1">
        <v>1167.0</v>
      </c>
      <c r="AT99" s="1">
        <v>1167.0</v>
      </c>
      <c r="AU99" s="1">
        <v>540.0</v>
      </c>
      <c r="AV99" s="1">
        <v>29.0</v>
      </c>
      <c r="AW99" s="1">
        <v>103.0</v>
      </c>
      <c r="AX99" s="1">
        <v>6564.0</v>
      </c>
      <c r="AY99" s="1">
        <v>21.0</v>
      </c>
      <c r="AZ99" s="1" t="s">
        <v>103</v>
      </c>
      <c r="BA99" s="1" t="s">
        <v>104</v>
      </c>
    </row>
    <row r="100">
      <c r="A100" s="1" t="s">
        <v>557</v>
      </c>
      <c r="B100" s="1" t="s">
        <v>53</v>
      </c>
      <c r="C100" s="1">
        <v>2016.0</v>
      </c>
      <c r="D100" s="1" t="s">
        <v>558</v>
      </c>
      <c r="E100" s="1" t="s">
        <v>559</v>
      </c>
      <c r="F100" s="1" t="s">
        <v>560</v>
      </c>
      <c r="G100" s="1" t="s">
        <v>561</v>
      </c>
      <c r="H100" s="1" t="s">
        <v>562</v>
      </c>
      <c r="I100" s="1">
        <v>138.0</v>
      </c>
      <c r="K100" s="2" t="s">
        <v>563</v>
      </c>
      <c r="L100" s="2" t="s">
        <v>76</v>
      </c>
      <c r="M100" s="1" t="s">
        <v>557</v>
      </c>
      <c r="N100" s="1" t="s">
        <v>62</v>
      </c>
      <c r="O100" s="1" t="s">
        <v>92</v>
      </c>
      <c r="P100" s="1" t="s">
        <v>564</v>
      </c>
      <c r="Q100" s="1">
        <v>20.5874</v>
      </c>
      <c r="R100" s="1">
        <v>-87.134033</v>
      </c>
      <c r="S100" s="1" t="s">
        <v>94</v>
      </c>
      <c r="T100" s="2" t="s">
        <v>95</v>
      </c>
      <c r="U100" s="2" t="s">
        <v>96</v>
      </c>
      <c r="V100" s="3" t="s">
        <v>97</v>
      </c>
      <c r="W100" s="1" t="s">
        <v>565</v>
      </c>
      <c r="X100" s="2" t="s">
        <v>99</v>
      </c>
      <c r="Y100" s="6" t="s">
        <v>76</v>
      </c>
      <c r="Z100" s="3" t="s">
        <v>76</v>
      </c>
      <c r="AF100" s="1">
        <v>13.0</v>
      </c>
      <c r="AJ100" s="1">
        <v>-1037.0</v>
      </c>
      <c r="AK100" s="1">
        <v>397.0</v>
      </c>
      <c r="AL100" s="2" t="s">
        <v>153</v>
      </c>
      <c r="AM100" s="3" t="s">
        <v>60</v>
      </c>
      <c r="AN100" s="2" t="s">
        <v>101</v>
      </c>
      <c r="AO100" s="2" t="s">
        <v>101</v>
      </c>
      <c r="AQ100" s="2" t="s">
        <v>102</v>
      </c>
      <c r="AR100" s="2" t="s">
        <v>60</v>
      </c>
      <c r="AS100" s="1">
        <v>1332.0</v>
      </c>
      <c r="AT100" s="1">
        <v>1332.0</v>
      </c>
      <c r="AU100" s="1">
        <v>570.0</v>
      </c>
      <c r="AV100" s="1">
        <v>36.0</v>
      </c>
      <c r="AW100" s="1">
        <v>137.0</v>
      </c>
      <c r="AX100" s="1">
        <v>5474.0</v>
      </c>
      <c r="AY100" s="1">
        <v>3.0</v>
      </c>
      <c r="AZ100" s="1" t="s">
        <v>239</v>
      </c>
      <c r="BA100" s="1" t="s">
        <v>121</v>
      </c>
    </row>
    <row r="101">
      <c r="A101" s="1" t="s">
        <v>566</v>
      </c>
      <c r="B101" s="1" t="s">
        <v>53</v>
      </c>
      <c r="C101" s="1">
        <v>1998.0</v>
      </c>
      <c r="D101" s="1" t="s">
        <v>567</v>
      </c>
      <c r="E101" s="1" t="s">
        <v>568</v>
      </c>
      <c r="F101" s="1" t="s">
        <v>303</v>
      </c>
      <c r="G101" s="1" t="s">
        <v>569</v>
      </c>
      <c r="H101" s="1" t="s">
        <v>570</v>
      </c>
      <c r="I101" s="1">
        <v>49.0</v>
      </c>
      <c r="J101" s="1">
        <v>1.0</v>
      </c>
      <c r="K101" s="2" t="s">
        <v>571</v>
      </c>
      <c r="L101" s="2" t="s">
        <v>60</v>
      </c>
      <c r="M101" s="1" t="s">
        <v>572</v>
      </c>
      <c r="N101" s="1" t="s">
        <v>62</v>
      </c>
      <c r="O101" s="1" t="s">
        <v>92</v>
      </c>
      <c r="P101" s="1" t="s">
        <v>453</v>
      </c>
      <c r="Q101" s="1">
        <v>20.491511</v>
      </c>
      <c r="R101" s="1">
        <v>-87.738733</v>
      </c>
      <c r="S101" s="1" t="s">
        <v>148</v>
      </c>
      <c r="T101" s="2" t="s">
        <v>189</v>
      </c>
      <c r="U101" s="1" t="s">
        <v>573</v>
      </c>
      <c r="V101" s="3" t="s">
        <v>277</v>
      </c>
      <c r="W101" s="1" t="s">
        <v>574</v>
      </c>
      <c r="X101" s="2" t="s">
        <v>575</v>
      </c>
      <c r="Y101" s="6" t="s">
        <v>76</v>
      </c>
      <c r="Z101" s="3" t="s">
        <v>76</v>
      </c>
      <c r="AB101" s="1">
        <v>8.0</v>
      </c>
      <c r="AI101" s="2" t="s">
        <v>72</v>
      </c>
      <c r="AJ101" s="1">
        <v>-6050.0</v>
      </c>
      <c r="AK101" s="1">
        <v>1950.0</v>
      </c>
      <c r="AL101" s="2" t="s">
        <v>73</v>
      </c>
      <c r="AM101" s="2" t="s">
        <v>72</v>
      </c>
      <c r="AN101" s="1" t="s">
        <v>74</v>
      </c>
      <c r="AO101" s="2" t="s">
        <v>60</v>
      </c>
      <c r="AQ101" s="2" t="s">
        <v>576</v>
      </c>
      <c r="AR101" s="2" t="s">
        <v>76</v>
      </c>
      <c r="AS101" s="1">
        <v>1151.0</v>
      </c>
      <c r="AT101" s="1">
        <v>1151.0</v>
      </c>
      <c r="AU101" s="1">
        <v>500.0</v>
      </c>
      <c r="AV101" s="1">
        <v>42.0</v>
      </c>
      <c r="AW101" s="1">
        <v>129.0</v>
      </c>
      <c r="AX101" s="1">
        <v>5567.0</v>
      </c>
      <c r="AY101" s="1">
        <v>14.0</v>
      </c>
      <c r="AZ101" s="1" t="s">
        <v>239</v>
      </c>
      <c r="BA101" s="1" t="s">
        <v>121</v>
      </c>
    </row>
    <row r="102">
      <c r="A102" s="1" t="s">
        <v>566</v>
      </c>
      <c r="B102" s="1" t="s">
        <v>53</v>
      </c>
      <c r="C102" s="1">
        <v>1998.0</v>
      </c>
      <c r="D102" s="1" t="s">
        <v>567</v>
      </c>
      <c r="E102" s="1" t="s">
        <v>568</v>
      </c>
      <c r="F102" s="1" t="s">
        <v>303</v>
      </c>
      <c r="G102" s="1" t="s">
        <v>569</v>
      </c>
      <c r="H102" s="1" t="s">
        <v>570</v>
      </c>
      <c r="I102" s="1">
        <v>49.0</v>
      </c>
      <c r="J102" s="1">
        <v>1.0</v>
      </c>
      <c r="K102" s="2" t="s">
        <v>571</v>
      </c>
      <c r="L102" s="2" t="s">
        <v>60</v>
      </c>
      <c r="M102" s="1" t="s">
        <v>577</v>
      </c>
      <c r="N102" s="1" t="s">
        <v>62</v>
      </c>
      <c r="O102" s="1" t="s">
        <v>92</v>
      </c>
      <c r="P102" s="1" t="s">
        <v>453</v>
      </c>
      <c r="Q102" s="1">
        <v>20.491511</v>
      </c>
      <c r="R102" s="1">
        <v>-87.738733</v>
      </c>
      <c r="S102" s="1" t="s">
        <v>148</v>
      </c>
      <c r="T102" s="2" t="s">
        <v>169</v>
      </c>
      <c r="U102" s="1" t="s">
        <v>573</v>
      </c>
      <c r="V102" s="3" t="s">
        <v>277</v>
      </c>
      <c r="W102" s="1" t="s">
        <v>578</v>
      </c>
      <c r="X102" s="2" t="s">
        <v>575</v>
      </c>
      <c r="Y102" s="6" t="s">
        <v>76</v>
      </c>
      <c r="Z102" s="3" t="s">
        <v>76</v>
      </c>
      <c r="AB102" s="1">
        <v>8.0</v>
      </c>
      <c r="AI102" s="2" t="s">
        <v>72</v>
      </c>
      <c r="AJ102" s="1">
        <v>-6050.0</v>
      </c>
      <c r="AK102" s="1">
        <v>1950.0</v>
      </c>
      <c r="AL102" s="2" t="s">
        <v>73</v>
      </c>
      <c r="AM102" s="2" t="s">
        <v>72</v>
      </c>
      <c r="AN102" s="1" t="s">
        <v>74</v>
      </c>
      <c r="AO102" s="2" t="s">
        <v>60</v>
      </c>
      <c r="AQ102" s="2" t="s">
        <v>576</v>
      </c>
      <c r="AR102" s="2" t="s">
        <v>76</v>
      </c>
      <c r="AS102" s="1">
        <v>1151.0</v>
      </c>
      <c r="AT102" s="1">
        <v>1151.0</v>
      </c>
      <c r="AU102" s="1">
        <v>500.0</v>
      </c>
      <c r="AV102" s="1">
        <v>42.0</v>
      </c>
      <c r="AW102" s="1">
        <v>129.0</v>
      </c>
      <c r="AX102" s="1">
        <v>5567.0</v>
      </c>
      <c r="AY102" s="1">
        <v>14.0</v>
      </c>
      <c r="AZ102" s="1" t="s">
        <v>239</v>
      </c>
      <c r="BA102" s="1" t="s">
        <v>121</v>
      </c>
    </row>
    <row r="103">
      <c r="A103" s="1" t="s">
        <v>566</v>
      </c>
      <c r="B103" s="1" t="s">
        <v>53</v>
      </c>
      <c r="C103" s="1">
        <v>1998.0</v>
      </c>
      <c r="D103" s="1" t="s">
        <v>567</v>
      </c>
      <c r="E103" s="1" t="s">
        <v>568</v>
      </c>
      <c r="F103" s="1" t="s">
        <v>303</v>
      </c>
      <c r="G103" s="1" t="s">
        <v>569</v>
      </c>
      <c r="H103" s="1" t="s">
        <v>570</v>
      </c>
      <c r="I103" s="1">
        <v>49.0</v>
      </c>
      <c r="J103" s="1">
        <v>1.0</v>
      </c>
      <c r="K103" s="2" t="s">
        <v>571</v>
      </c>
      <c r="L103" s="2" t="s">
        <v>60</v>
      </c>
      <c r="M103" s="1" t="s">
        <v>579</v>
      </c>
      <c r="N103" s="1" t="s">
        <v>62</v>
      </c>
      <c r="O103" s="1" t="s">
        <v>92</v>
      </c>
      <c r="P103" s="1" t="s">
        <v>453</v>
      </c>
      <c r="Q103" s="1">
        <v>20.491511</v>
      </c>
      <c r="R103" s="1">
        <v>-87.738733</v>
      </c>
      <c r="S103" s="1" t="s">
        <v>148</v>
      </c>
      <c r="T103" s="2" t="s">
        <v>194</v>
      </c>
      <c r="U103" s="1" t="s">
        <v>573</v>
      </c>
      <c r="V103" s="3" t="s">
        <v>277</v>
      </c>
      <c r="W103" s="1" t="s">
        <v>286</v>
      </c>
      <c r="X103" s="2" t="s">
        <v>575</v>
      </c>
      <c r="Y103" s="6" t="s">
        <v>76</v>
      </c>
      <c r="Z103" s="3" t="s">
        <v>76</v>
      </c>
      <c r="AB103" s="1">
        <v>8.0</v>
      </c>
      <c r="AI103" s="2" t="s">
        <v>72</v>
      </c>
      <c r="AJ103" s="1">
        <v>-6050.0</v>
      </c>
      <c r="AK103" s="1">
        <v>1950.0</v>
      </c>
      <c r="AL103" s="2" t="s">
        <v>73</v>
      </c>
      <c r="AM103" s="2" t="s">
        <v>72</v>
      </c>
      <c r="AN103" s="1" t="s">
        <v>74</v>
      </c>
      <c r="AO103" s="2" t="s">
        <v>60</v>
      </c>
      <c r="AQ103" s="2" t="s">
        <v>576</v>
      </c>
      <c r="AR103" s="2" t="s">
        <v>76</v>
      </c>
      <c r="AS103" s="1">
        <v>1151.0</v>
      </c>
      <c r="AT103" s="1">
        <v>1151.0</v>
      </c>
      <c r="AU103" s="1">
        <v>500.0</v>
      </c>
      <c r="AV103" s="1">
        <v>42.0</v>
      </c>
      <c r="AW103" s="1">
        <v>129.0</v>
      </c>
      <c r="AX103" s="1">
        <v>5567.0</v>
      </c>
      <c r="AY103" s="1">
        <v>14.0</v>
      </c>
      <c r="AZ103" s="1" t="s">
        <v>239</v>
      </c>
      <c r="BA103" s="1" t="s">
        <v>121</v>
      </c>
    </row>
    <row r="104">
      <c r="A104" s="1" t="s">
        <v>580</v>
      </c>
      <c r="B104" s="1" t="s">
        <v>53</v>
      </c>
      <c r="C104" s="1">
        <v>2007.0</v>
      </c>
      <c r="D104" s="1" t="s">
        <v>581</v>
      </c>
      <c r="E104" s="1" t="s">
        <v>582</v>
      </c>
      <c r="F104" s="1" t="s">
        <v>583</v>
      </c>
      <c r="G104" s="1" t="s">
        <v>584</v>
      </c>
      <c r="H104" s="1" t="s">
        <v>585</v>
      </c>
      <c r="I104" s="1">
        <v>17.0</v>
      </c>
      <c r="J104" s="1">
        <v>6.0</v>
      </c>
      <c r="K104" s="2" t="s">
        <v>586</v>
      </c>
      <c r="L104" s="2" t="s">
        <v>60</v>
      </c>
      <c r="M104" s="1" t="s">
        <v>587</v>
      </c>
      <c r="N104" s="1" t="s">
        <v>62</v>
      </c>
      <c r="O104" s="1" t="s">
        <v>167</v>
      </c>
      <c r="P104" s="1" t="s">
        <v>588</v>
      </c>
      <c r="Q104" s="1">
        <v>17.533333</v>
      </c>
      <c r="R104" s="1">
        <v>-90.183333</v>
      </c>
      <c r="S104" s="1" t="s">
        <v>148</v>
      </c>
      <c r="T104" s="2" t="s">
        <v>66</v>
      </c>
      <c r="U104" s="3" t="s">
        <v>67</v>
      </c>
      <c r="V104" s="3" t="s">
        <v>171</v>
      </c>
      <c r="W104" s="1" t="s">
        <v>589</v>
      </c>
      <c r="X104" s="1" t="s">
        <v>70</v>
      </c>
      <c r="Y104" s="5" t="s">
        <v>60</v>
      </c>
      <c r="Z104" s="3" t="s">
        <v>345</v>
      </c>
      <c r="AB104" s="1">
        <v>6.0</v>
      </c>
      <c r="AI104" s="1" t="s">
        <v>590</v>
      </c>
      <c r="AJ104" s="1">
        <v>-2700.0</v>
      </c>
      <c r="AK104" s="1">
        <v>2001.0</v>
      </c>
      <c r="AL104" s="2" t="s">
        <v>73</v>
      </c>
      <c r="AM104" s="2" t="s">
        <v>76</v>
      </c>
      <c r="AN104" s="1" t="s">
        <v>400</v>
      </c>
      <c r="AO104" s="2" t="s">
        <v>72</v>
      </c>
      <c r="AQ104" s="2" t="s">
        <v>102</v>
      </c>
      <c r="AR104" s="2" t="s">
        <v>76</v>
      </c>
      <c r="AS104" s="1">
        <v>1598.0</v>
      </c>
      <c r="AT104" s="1">
        <v>1598.0</v>
      </c>
      <c r="AU104" s="1">
        <v>686.0</v>
      </c>
      <c r="AV104" s="1">
        <v>33.0</v>
      </c>
      <c r="AW104" s="1">
        <v>119.0</v>
      </c>
      <c r="AX104" s="1">
        <v>6059.0</v>
      </c>
      <c r="AY104" s="1">
        <v>238.0</v>
      </c>
      <c r="AZ104" s="1" t="s">
        <v>133</v>
      </c>
      <c r="BA104" s="1" t="s">
        <v>121</v>
      </c>
    </row>
    <row r="105">
      <c r="A105" s="1" t="s">
        <v>591</v>
      </c>
      <c r="B105" s="1" t="s">
        <v>268</v>
      </c>
      <c r="C105" s="1">
        <v>2001.0</v>
      </c>
      <c r="D105" s="1" t="s">
        <v>592</v>
      </c>
      <c r="E105" s="1" t="s">
        <v>593</v>
      </c>
      <c r="H105" s="1" t="s">
        <v>594</v>
      </c>
      <c r="I105" s="1">
        <v>11.0</v>
      </c>
      <c r="K105" s="2" t="s">
        <v>595</v>
      </c>
      <c r="L105" s="2" t="s">
        <v>60</v>
      </c>
      <c r="M105" s="1" t="s">
        <v>596</v>
      </c>
      <c r="N105" s="1" t="s">
        <v>62</v>
      </c>
      <c r="O105" s="1" t="s">
        <v>112</v>
      </c>
      <c r="P105" s="1" t="s">
        <v>597</v>
      </c>
      <c r="Q105" s="1">
        <v>8.813</v>
      </c>
      <c r="R105" s="1">
        <v>-82.963</v>
      </c>
      <c r="S105" s="1" t="s">
        <v>148</v>
      </c>
      <c r="T105" s="2" t="s">
        <v>189</v>
      </c>
      <c r="U105" s="1" t="s">
        <v>72</v>
      </c>
      <c r="V105" s="3" t="s">
        <v>277</v>
      </c>
      <c r="W105" s="1" t="s">
        <v>284</v>
      </c>
      <c r="X105" s="1" t="s">
        <v>70</v>
      </c>
      <c r="Y105" s="6" t="s">
        <v>76</v>
      </c>
      <c r="Z105" s="3" t="s">
        <v>76</v>
      </c>
      <c r="AB105" s="1">
        <v>3.0</v>
      </c>
      <c r="AI105" s="2" t="s">
        <v>72</v>
      </c>
      <c r="AJ105" s="1">
        <v>-1050.0</v>
      </c>
      <c r="AK105" s="1">
        <v>1997.0</v>
      </c>
      <c r="AL105" s="2" t="s">
        <v>100</v>
      </c>
      <c r="AM105" s="2" t="s">
        <v>76</v>
      </c>
      <c r="AN105" s="1" t="s">
        <v>74</v>
      </c>
      <c r="AO105" s="2" t="s">
        <v>72</v>
      </c>
      <c r="AQ105" s="2" t="s">
        <v>75</v>
      </c>
      <c r="AR105" s="2" t="s">
        <v>76</v>
      </c>
      <c r="AS105" s="1">
        <v>2841.0</v>
      </c>
      <c r="AT105" s="1">
        <v>2841.0</v>
      </c>
      <c r="AU105" s="1">
        <v>1165.0</v>
      </c>
      <c r="AV105" s="1">
        <v>40.0</v>
      </c>
      <c r="AW105" s="1">
        <v>166.0</v>
      </c>
      <c r="AX105" s="1">
        <v>6482.0</v>
      </c>
      <c r="AY105" s="1">
        <v>1094.0</v>
      </c>
      <c r="AZ105" s="1" t="s">
        <v>154</v>
      </c>
      <c r="BA105" s="1" t="s">
        <v>121</v>
      </c>
    </row>
    <row r="106">
      <c r="A106" s="1" t="s">
        <v>591</v>
      </c>
      <c r="B106" s="1" t="s">
        <v>268</v>
      </c>
      <c r="C106" s="1">
        <v>2001.0</v>
      </c>
      <c r="D106" s="1" t="s">
        <v>592</v>
      </c>
      <c r="E106" s="1" t="s">
        <v>593</v>
      </c>
      <c r="H106" s="1" t="s">
        <v>594</v>
      </c>
      <c r="I106" s="1">
        <v>11.0</v>
      </c>
      <c r="K106" s="2" t="s">
        <v>595</v>
      </c>
      <c r="L106" s="2" t="s">
        <v>60</v>
      </c>
      <c r="M106" s="1" t="s">
        <v>598</v>
      </c>
      <c r="N106" s="1" t="s">
        <v>62</v>
      </c>
      <c r="O106" s="1" t="s">
        <v>112</v>
      </c>
      <c r="P106" s="1" t="s">
        <v>597</v>
      </c>
      <c r="Q106" s="1">
        <v>8.813</v>
      </c>
      <c r="R106" s="1">
        <v>-82.963</v>
      </c>
      <c r="S106" s="1" t="s">
        <v>148</v>
      </c>
      <c r="T106" s="3" t="s">
        <v>599</v>
      </c>
      <c r="U106" s="1" t="s">
        <v>72</v>
      </c>
      <c r="V106" s="3" t="s">
        <v>277</v>
      </c>
      <c r="W106" s="2" t="s">
        <v>72</v>
      </c>
      <c r="X106" s="1" t="s">
        <v>600</v>
      </c>
      <c r="Y106" s="6" t="s">
        <v>76</v>
      </c>
      <c r="Z106" s="3" t="s">
        <v>76</v>
      </c>
      <c r="AB106" s="1">
        <v>3.0</v>
      </c>
      <c r="AI106" s="2" t="s">
        <v>72</v>
      </c>
      <c r="AJ106" s="1">
        <v>-1050.0</v>
      </c>
      <c r="AK106" s="1">
        <v>1997.0</v>
      </c>
      <c r="AL106" s="2" t="s">
        <v>100</v>
      </c>
      <c r="AM106" s="2" t="s">
        <v>76</v>
      </c>
      <c r="AN106" s="1" t="s">
        <v>74</v>
      </c>
      <c r="AO106" s="2" t="s">
        <v>72</v>
      </c>
      <c r="AQ106" s="2" t="s">
        <v>75</v>
      </c>
      <c r="AR106" s="2" t="s">
        <v>76</v>
      </c>
      <c r="AS106" s="1">
        <v>2841.0</v>
      </c>
      <c r="AT106" s="1">
        <v>2841.0</v>
      </c>
      <c r="AU106" s="1">
        <v>1165.0</v>
      </c>
      <c r="AV106" s="1">
        <v>40.0</v>
      </c>
      <c r="AW106" s="1">
        <v>166.0</v>
      </c>
      <c r="AX106" s="1">
        <v>6482.0</v>
      </c>
      <c r="AY106" s="1">
        <v>1094.0</v>
      </c>
      <c r="AZ106" s="1" t="s">
        <v>154</v>
      </c>
      <c r="BA106" s="1" t="s">
        <v>121</v>
      </c>
    </row>
    <row r="107">
      <c r="A107" s="1" t="s">
        <v>591</v>
      </c>
      <c r="B107" s="1" t="s">
        <v>268</v>
      </c>
      <c r="C107" s="1">
        <v>2001.0</v>
      </c>
      <c r="D107" s="1" t="s">
        <v>592</v>
      </c>
      <c r="E107" s="1" t="s">
        <v>593</v>
      </c>
      <c r="H107" s="1" t="s">
        <v>594</v>
      </c>
      <c r="I107" s="1">
        <v>11.0</v>
      </c>
      <c r="K107" s="2" t="s">
        <v>595</v>
      </c>
      <c r="L107" s="2" t="s">
        <v>60</v>
      </c>
      <c r="M107" s="1" t="s">
        <v>601</v>
      </c>
      <c r="N107" s="1" t="s">
        <v>62</v>
      </c>
      <c r="O107" s="1" t="s">
        <v>112</v>
      </c>
      <c r="P107" s="1" t="s">
        <v>597</v>
      </c>
      <c r="Q107" s="1">
        <v>8.813</v>
      </c>
      <c r="R107" s="1">
        <v>-82.963</v>
      </c>
      <c r="S107" s="1" t="s">
        <v>148</v>
      </c>
      <c r="T107" s="2" t="s">
        <v>275</v>
      </c>
      <c r="U107" s="1" t="s">
        <v>72</v>
      </c>
      <c r="V107" s="3" t="s">
        <v>277</v>
      </c>
      <c r="W107" s="1" t="s">
        <v>278</v>
      </c>
      <c r="X107" s="1" t="s">
        <v>279</v>
      </c>
      <c r="Y107" s="6" t="s">
        <v>76</v>
      </c>
      <c r="Z107" s="3" t="s">
        <v>76</v>
      </c>
      <c r="AB107" s="1">
        <v>3.0</v>
      </c>
      <c r="AI107" s="2" t="s">
        <v>72</v>
      </c>
      <c r="AJ107" s="1">
        <v>-1050.0</v>
      </c>
      <c r="AK107" s="1">
        <v>1997.0</v>
      </c>
      <c r="AL107" s="2" t="s">
        <v>100</v>
      </c>
      <c r="AM107" s="2" t="s">
        <v>76</v>
      </c>
      <c r="AN107" s="1" t="s">
        <v>74</v>
      </c>
      <c r="AO107" s="2" t="s">
        <v>72</v>
      </c>
      <c r="AQ107" s="2" t="s">
        <v>75</v>
      </c>
      <c r="AR107" s="2" t="s">
        <v>76</v>
      </c>
      <c r="AS107" s="1">
        <v>2841.0</v>
      </c>
      <c r="AT107" s="1">
        <v>2841.0</v>
      </c>
      <c r="AU107" s="1">
        <v>1165.0</v>
      </c>
      <c r="AV107" s="1">
        <v>40.0</v>
      </c>
      <c r="AW107" s="1">
        <v>166.0</v>
      </c>
      <c r="AX107" s="1">
        <v>6482.0</v>
      </c>
      <c r="AY107" s="1">
        <v>1094.0</v>
      </c>
      <c r="AZ107" s="1" t="s">
        <v>154</v>
      </c>
      <c r="BA107" s="1" t="s">
        <v>121</v>
      </c>
    </row>
    <row r="108">
      <c r="A108" s="1" t="s">
        <v>591</v>
      </c>
      <c r="B108" s="1" t="s">
        <v>268</v>
      </c>
      <c r="C108" s="1">
        <v>2001.0</v>
      </c>
      <c r="D108" s="1" t="s">
        <v>592</v>
      </c>
      <c r="E108" s="1" t="s">
        <v>593</v>
      </c>
      <c r="H108" s="1" t="s">
        <v>594</v>
      </c>
      <c r="I108" s="1">
        <v>11.0</v>
      </c>
      <c r="K108" s="2" t="s">
        <v>595</v>
      </c>
      <c r="L108" s="2" t="s">
        <v>60</v>
      </c>
      <c r="M108" s="1" t="s">
        <v>602</v>
      </c>
      <c r="N108" s="1" t="s">
        <v>62</v>
      </c>
      <c r="O108" s="1" t="s">
        <v>112</v>
      </c>
      <c r="P108" s="1" t="s">
        <v>597</v>
      </c>
      <c r="Q108" s="1">
        <v>8.813</v>
      </c>
      <c r="R108" s="1">
        <v>-82.963</v>
      </c>
      <c r="S108" s="1" t="s">
        <v>148</v>
      </c>
      <c r="T108" s="2" t="s">
        <v>194</v>
      </c>
      <c r="U108" s="1" t="s">
        <v>72</v>
      </c>
      <c r="V108" s="3" t="s">
        <v>277</v>
      </c>
      <c r="W108" s="1" t="s">
        <v>286</v>
      </c>
      <c r="X108" s="1" t="s">
        <v>70</v>
      </c>
      <c r="Y108" s="6" t="s">
        <v>76</v>
      </c>
      <c r="Z108" s="3" t="s">
        <v>76</v>
      </c>
      <c r="AB108" s="1">
        <v>3.0</v>
      </c>
      <c r="AI108" s="2" t="s">
        <v>72</v>
      </c>
      <c r="AJ108" s="1">
        <v>-1050.0</v>
      </c>
      <c r="AK108" s="1">
        <v>1997.0</v>
      </c>
      <c r="AL108" s="2" t="s">
        <v>100</v>
      </c>
      <c r="AM108" s="2" t="s">
        <v>76</v>
      </c>
      <c r="AN108" s="1" t="s">
        <v>74</v>
      </c>
      <c r="AO108" s="2" t="s">
        <v>72</v>
      </c>
      <c r="AQ108" s="2" t="s">
        <v>75</v>
      </c>
      <c r="AR108" s="2" t="s">
        <v>76</v>
      </c>
      <c r="AS108" s="1">
        <v>2841.0</v>
      </c>
      <c r="AT108" s="1">
        <v>2841.0</v>
      </c>
      <c r="AU108" s="1">
        <v>1165.0</v>
      </c>
      <c r="AV108" s="1">
        <v>40.0</v>
      </c>
      <c r="AW108" s="1">
        <v>166.0</v>
      </c>
      <c r="AX108" s="1">
        <v>6482.0</v>
      </c>
      <c r="AY108" s="1">
        <v>1094.0</v>
      </c>
      <c r="AZ108" s="1" t="s">
        <v>154</v>
      </c>
      <c r="BA108" s="1" t="s">
        <v>121</v>
      </c>
    </row>
    <row r="109">
      <c r="A109" s="1" t="s">
        <v>580</v>
      </c>
      <c r="B109" s="1" t="s">
        <v>53</v>
      </c>
      <c r="C109" s="1">
        <v>2007.0</v>
      </c>
      <c r="D109" s="1" t="s">
        <v>581</v>
      </c>
      <c r="E109" s="1" t="s">
        <v>582</v>
      </c>
      <c r="F109" s="1" t="s">
        <v>583</v>
      </c>
      <c r="G109" s="1" t="s">
        <v>584</v>
      </c>
      <c r="H109" s="1" t="s">
        <v>585</v>
      </c>
      <c r="I109" s="1">
        <v>17.0</v>
      </c>
      <c r="J109" s="1">
        <v>6.0</v>
      </c>
      <c r="K109" s="2" t="s">
        <v>586</v>
      </c>
      <c r="L109" s="2" t="s">
        <v>60</v>
      </c>
      <c r="M109" s="1" t="s">
        <v>603</v>
      </c>
      <c r="N109" s="1" t="s">
        <v>62</v>
      </c>
      <c r="O109" s="1" t="s">
        <v>167</v>
      </c>
      <c r="P109" s="1" t="s">
        <v>588</v>
      </c>
      <c r="Q109" s="1">
        <v>17.533333</v>
      </c>
      <c r="R109" s="1">
        <v>-90.183333</v>
      </c>
      <c r="S109" s="1" t="s">
        <v>148</v>
      </c>
      <c r="T109" s="2" t="s">
        <v>189</v>
      </c>
      <c r="U109" s="7" t="s">
        <v>173</v>
      </c>
      <c r="V109" s="3" t="s">
        <v>116</v>
      </c>
      <c r="W109" s="1" t="s">
        <v>286</v>
      </c>
      <c r="X109" s="1" t="s">
        <v>70</v>
      </c>
      <c r="Y109" s="6" t="s">
        <v>76</v>
      </c>
      <c r="Z109" s="3" t="s">
        <v>173</v>
      </c>
      <c r="AB109" s="1">
        <v>6.0</v>
      </c>
      <c r="AI109" s="1" t="s">
        <v>590</v>
      </c>
      <c r="AJ109" s="1">
        <v>-2700.0</v>
      </c>
      <c r="AK109" s="1">
        <v>2001.0</v>
      </c>
      <c r="AL109" s="2" t="s">
        <v>73</v>
      </c>
      <c r="AM109" s="2" t="s">
        <v>76</v>
      </c>
      <c r="AN109" s="1" t="s">
        <v>400</v>
      </c>
      <c r="AO109" s="2" t="s">
        <v>72</v>
      </c>
      <c r="AQ109" s="2" t="s">
        <v>102</v>
      </c>
      <c r="AR109" s="2" t="s">
        <v>76</v>
      </c>
      <c r="AS109" s="1">
        <v>1598.0</v>
      </c>
      <c r="AT109" s="1">
        <v>1598.0</v>
      </c>
      <c r="AU109" s="1">
        <v>686.0</v>
      </c>
      <c r="AV109" s="1">
        <v>33.0</v>
      </c>
      <c r="AW109" s="1">
        <v>119.0</v>
      </c>
      <c r="AX109" s="1">
        <v>6059.0</v>
      </c>
      <c r="AY109" s="1">
        <v>238.0</v>
      </c>
      <c r="AZ109" s="1" t="s">
        <v>133</v>
      </c>
      <c r="BA109" s="1" t="s">
        <v>121</v>
      </c>
    </row>
    <row r="110">
      <c r="A110" s="1" t="s">
        <v>580</v>
      </c>
      <c r="B110" s="1" t="s">
        <v>53</v>
      </c>
      <c r="C110" s="1">
        <v>2007.0</v>
      </c>
      <c r="D110" s="1" t="s">
        <v>581</v>
      </c>
      <c r="E110" s="1" t="s">
        <v>582</v>
      </c>
      <c r="F110" s="1" t="s">
        <v>583</v>
      </c>
      <c r="G110" s="1" t="s">
        <v>584</v>
      </c>
      <c r="H110" s="1" t="s">
        <v>585</v>
      </c>
      <c r="I110" s="1">
        <v>17.0</v>
      </c>
      <c r="J110" s="1">
        <v>6.0</v>
      </c>
      <c r="K110" s="2" t="s">
        <v>586</v>
      </c>
      <c r="L110" s="2" t="s">
        <v>60</v>
      </c>
      <c r="M110" s="1" t="s">
        <v>604</v>
      </c>
      <c r="N110" s="1" t="s">
        <v>62</v>
      </c>
      <c r="O110" s="1" t="s">
        <v>167</v>
      </c>
      <c r="P110" s="1" t="s">
        <v>588</v>
      </c>
      <c r="Q110" s="1">
        <v>17.533333</v>
      </c>
      <c r="R110" s="1">
        <v>-90.183333</v>
      </c>
      <c r="S110" s="1" t="s">
        <v>148</v>
      </c>
      <c r="T110" s="2" t="s">
        <v>194</v>
      </c>
      <c r="U110" s="7" t="s">
        <v>173</v>
      </c>
      <c r="V110" s="3" t="s">
        <v>116</v>
      </c>
      <c r="W110" s="1" t="s">
        <v>284</v>
      </c>
      <c r="X110" s="1" t="s">
        <v>70</v>
      </c>
      <c r="Y110" s="6" t="s">
        <v>76</v>
      </c>
      <c r="Z110" s="3" t="s">
        <v>173</v>
      </c>
      <c r="AB110" s="1">
        <v>6.0</v>
      </c>
      <c r="AI110" s="1" t="s">
        <v>590</v>
      </c>
      <c r="AJ110" s="1">
        <v>-2700.0</v>
      </c>
      <c r="AK110" s="1">
        <v>2001.0</v>
      </c>
      <c r="AL110" s="2" t="s">
        <v>73</v>
      </c>
      <c r="AM110" s="2" t="s">
        <v>76</v>
      </c>
      <c r="AN110" s="1" t="s">
        <v>400</v>
      </c>
      <c r="AO110" s="2" t="s">
        <v>72</v>
      </c>
      <c r="AQ110" s="2" t="s">
        <v>102</v>
      </c>
      <c r="AR110" s="2" t="s">
        <v>76</v>
      </c>
      <c r="AS110" s="1">
        <v>1598.0</v>
      </c>
      <c r="AT110" s="1">
        <v>1598.0</v>
      </c>
      <c r="AU110" s="1">
        <v>686.0</v>
      </c>
      <c r="AV110" s="1">
        <v>33.0</v>
      </c>
      <c r="AW110" s="1">
        <v>119.0</v>
      </c>
      <c r="AX110" s="1">
        <v>6059.0</v>
      </c>
      <c r="AY110" s="1">
        <v>238.0</v>
      </c>
      <c r="AZ110" s="1" t="s">
        <v>133</v>
      </c>
      <c r="BA110" s="1" t="s">
        <v>121</v>
      </c>
    </row>
    <row r="111">
      <c r="A111" s="1" t="s">
        <v>580</v>
      </c>
      <c r="B111" s="1" t="s">
        <v>53</v>
      </c>
      <c r="C111" s="1">
        <v>2007.0</v>
      </c>
      <c r="D111" s="1" t="s">
        <v>581</v>
      </c>
      <c r="E111" s="1" t="s">
        <v>582</v>
      </c>
      <c r="F111" s="1" t="s">
        <v>583</v>
      </c>
      <c r="G111" s="1" t="s">
        <v>584</v>
      </c>
      <c r="H111" s="1" t="s">
        <v>585</v>
      </c>
      <c r="I111" s="1">
        <v>17.0</v>
      </c>
      <c r="J111" s="1">
        <v>6.0</v>
      </c>
      <c r="K111" s="2" t="s">
        <v>586</v>
      </c>
      <c r="L111" s="2" t="s">
        <v>60</v>
      </c>
      <c r="M111" s="1" t="s">
        <v>605</v>
      </c>
      <c r="N111" s="1" t="s">
        <v>62</v>
      </c>
      <c r="O111" s="1" t="s">
        <v>167</v>
      </c>
      <c r="P111" s="1" t="s">
        <v>588</v>
      </c>
      <c r="Q111" s="1">
        <v>17.533333</v>
      </c>
      <c r="R111" s="1">
        <v>-90.183333</v>
      </c>
      <c r="S111" s="1" t="s">
        <v>148</v>
      </c>
      <c r="T111" s="2" t="s">
        <v>382</v>
      </c>
      <c r="U111" s="7" t="s">
        <v>173</v>
      </c>
      <c r="V111" s="3" t="s">
        <v>116</v>
      </c>
      <c r="W111" s="1" t="s">
        <v>606</v>
      </c>
      <c r="X111" s="1" t="s">
        <v>544</v>
      </c>
      <c r="Y111" s="6" t="s">
        <v>76</v>
      </c>
      <c r="Z111" s="3" t="s">
        <v>173</v>
      </c>
      <c r="AB111" s="1">
        <v>6.0</v>
      </c>
      <c r="AI111" s="1" t="s">
        <v>590</v>
      </c>
      <c r="AJ111" s="1">
        <v>-2700.0</v>
      </c>
      <c r="AK111" s="1">
        <v>2001.0</v>
      </c>
      <c r="AL111" s="2" t="s">
        <v>73</v>
      </c>
      <c r="AM111" s="2" t="s">
        <v>76</v>
      </c>
      <c r="AN111" s="1" t="s">
        <v>400</v>
      </c>
      <c r="AO111" s="2" t="s">
        <v>72</v>
      </c>
      <c r="AQ111" s="2" t="s">
        <v>102</v>
      </c>
      <c r="AR111" s="2" t="s">
        <v>76</v>
      </c>
      <c r="AS111" s="1">
        <v>1598.0</v>
      </c>
      <c r="AT111" s="1">
        <v>1598.0</v>
      </c>
      <c r="AU111" s="1">
        <v>686.0</v>
      </c>
      <c r="AV111" s="1">
        <v>33.0</v>
      </c>
      <c r="AW111" s="1">
        <v>119.0</v>
      </c>
      <c r="AX111" s="1">
        <v>6059.0</v>
      </c>
      <c r="AY111" s="1">
        <v>238.0</v>
      </c>
      <c r="AZ111" s="1" t="s">
        <v>133</v>
      </c>
      <c r="BA111" s="1" t="s">
        <v>121</v>
      </c>
    </row>
    <row r="112">
      <c r="A112" s="1" t="s">
        <v>607</v>
      </c>
      <c r="B112" s="1" t="s">
        <v>53</v>
      </c>
      <c r="C112" s="1">
        <v>2017.0</v>
      </c>
      <c r="D112" s="1" t="s">
        <v>608</v>
      </c>
      <c r="E112" s="1" t="s">
        <v>609</v>
      </c>
      <c r="F112" s="1" t="s">
        <v>583</v>
      </c>
      <c r="G112" s="1" t="s">
        <v>610</v>
      </c>
      <c r="H112" s="1" t="s">
        <v>611</v>
      </c>
      <c r="I112" s="1">
        <v>27.0</v>
      </c>
      <c r="J112" s="1">
        <v>9.0</v>
      </c>
      <c r="K112" s="2" t="s">
        <v>612</v>
      </c>
      <c r="L112" s="2" t="s">
        <v>76</v>
      </c>
      <c r="M112" s="1" t="s">
        <v>607</v>
      </c>
      <c r="N112" s="1" t="s">
        <v>62</v>
      </c>
      <c r="O112" s="1" t="s">
        <v>92</v>
      </c>
      <c r="P112" s="1" t="s">
        <v>613</v>
      </c>
      <c r="Q112" s="1">
        <v>16.9</v>
      </c>
      <c r="R112" s="1">
        <v>-91.6</v>
      </c>
      <c r="S112" s="1" t="s">
        <v>148</v>
      </c>
      <c r="T112" s="2" t="s">
        <v>614</v>
      </c>
      <c r="U112" s="2" t="s">
        <v>615</v>
      </c>
      <c r="V112" s="3" t="s">
        <v>97</v>
      </c>
      <c r="W112" s="1" t="s">
        <v>264</v>
      </c>
      <c r="X112" s="2" t="s">
        <v>83</v>
      </c>
      <c r="Y112" s="6" t="s">
        <v>76</v>
      </c>
      <c r="Z112" s="3" t="s">
        <v>76</v>
      </c>
      <c r="AB112" s="1">
        <v>7.0</v>
      </c>
      <c r="AI112" s="2" t="s">
        <v>72</v>
      </c>
      <c r="AJ112" s="1">
        <v>-7590.0</v>
      </c>
      <c r="AK112" s="1">
        <v>1950.0</v>
      </c>
      <c r="AL112" s="2" t="s">
        <v>73</v>
      </c>
      <c r="AM112" s="2" t="s">
        <v>72</v>
      </c>
      <c r="AN112" s="2" t="s">
        <v>132</v>
      </c>
      <c r="AO112" s="2" t="s">
        <v>72</v>
      </c>
      <c r="AQ112" s="2" t="s">
        <v>102</v>
      </c>
      <c r="AR112" s="2" t="s">
        <v>76</v>
      </c>
      <c r="AS112" s="1">
        <v>2025.0</v>
      </c>
      <c r="AT112" s="1">
        <v>2025.0</v>
      </c>
      <c r="AU112" s="1">
        <v>887.0</v>
      </c>
      <c r="AV112" s="1">
        <v>52.0</v>
      </c>
      <c r="AW112" s="1">
        <v>167.0</v>
      </c>
      <c r="AX112" s="1">
        <v>6573.0</v>
      </c>
      <c r="AY112" s="1">
        <v>687.0</v>
      </c>
      <c r="AZ112" s="1" t="s">
        <v>133</v>
      </c>
      <c r="BA112" s="1" t="s">
        <v>121</v>
      </c>
    </row>
    <row r="113">
      <c r="A113" s="1" t="s">
        <v>616</v>
      </c>
      <c r="B113" s="1" t="s">
        <v>53</v>
      </c>
      <c r="C113" s="1">
        <v>2019.0</v>
      </c>
      <c r="D113" s="1" t="s">
        <v>617</v>
      </c>
      <c r="E113" s="1" t="s">
        <v>618</v>
      </c>
      <c r="F113" s="1" t="s">
        <v>583</v>
      </c>
      <c r="G113" s="1" t="s">
        <v>619</v>
      </c>
      <c r="H113" s="1" t="s">
        <v>620</v>
      </c>
      <c r="I113" s="1">
        <v>29.0</v>
      </c>
      <c r="J113" s="1">
        <v>11.0</v>
      </c>
      <c r="K113" s="2" t="s">
        <v>621</v>
      </c>
      <c r="L113" s="2" t="s">
        <v>60</v>
      </c>
      <c r="M113" s="1" t="s">
        <v>622</v>
      </c>
      <c r="N113" s="1" t="s">
        <v>62</v>
      </c>
      <c r="O113" s="1" t="s">
        <v>112</v>
      </c>
      <c r="P113" s="1" t="s">
        <v>623</v>
      </c>
      <c r="Q113" s="1">
        <v>10.730842</v>
      </c>
      <c r="R113" s="1">
        <v>-85.264185</v>
      </c>
      <c r="S113" s="1" t="s">
        <v>148</v>
      </c>
      <c r="T113" s="2" t="s">
        <v>66</v>
      </c>
      <c r="U113" s="3" t="s">
        <v>67</v>
      </c>
      <c r="V113" s="3" t="s">
        <v>68</v>
      </c>
      <c r="W113" s="1" t="s">
        <v>624</v>
      </c>
      <c r="X113" s="1" t="s">
        <v>70</v>
      </c>
      <c r="Y113" s="5" t="s">
        <v>60</v>
      </c>
      <c r="Z113" s="3" t="s">
        <v>625</v>
      </c>
      <c r="AB113" s="1">
        <v>10.0</v>
      </c>
      <c r="AI113" s="1" t="s">
        <v>626</v>
      </c>
      <c r="AJ113" s="1">
        <v>-2250.0</v>
      </c>
      <c r="AK113" s="1">
        <v>2014.0</v>
      </c>
      <c r="AL113" s="2" t="s">
        <v>73</v>
      </c>
      <c r="AM113" s="3" t="s">
        <v>72</v>
      </c>
      <c r="AN113" s="2" t="s">
        <v>132</v>
      </c>
      <c r="AO113" s="2" t="s">
        <v>72</v>
      </c>
      <c r="AQ113" s="2" t="s">
        <v>102</v>
      </c>
      <c r="AR113" s="2" t="s">
        <v>76</v>
      </c>
      <c r="AS113" s="1">
        <v>2220.0</v>
      </c>
      <c r="AT113" s="1">
        <v>2220.0</v>
      </c>
      <c r="AU113" s="1">
        <v>951.0</v>
      </c>
      <c r="AV113" s="1">
        <v>22.0</v>
      </c>
      <c r="AW113" s="1">
        <v>105.0</v>
      </c>
      <c r="AX113" s="1">
        <v>6837.0</v>
      </c>
      <c r="AY113" s="1">
        <v>690.0</v>
      </c>
      <c r="AZ113" s="1" t="s">
        <v>627</v>
      </c>
      <c r="BA113" s="1" t="s">
        <v>121</v>
      </c>
    </row>
    <row r="114">
      <c r="A114" s="1" t="s">
        <v>628</v>
      </c>
      <c r="B114" s="1" t="s">
        <v>53</v>
      </c>
      <c r="C114" s="1">
        <v>2001.0</v>
      </c>
      <c r="D114" s="1" t="s">
        <v>629</v>
      </c>
      <c r="E114" s="1" t="s">
        <v>630</v>
      </c>
      <c r="F114" s="1" t="s">
        <v>631</v>
      </c>
      <c r="G114" s="1" t="s">
        <v>632</v>
      </c>
      <c r="H114" s="1" t="s">
        <v>633</v>
      </c>
      <c r="I114" s="1">
        <v>12.0</v>
      </c>
      <c r="J114" s="1">
        <v>2.0</v>
      </c>
      <c r="K114" s="2" t="s">
        <v>634</v>
      </c>
      <c r="L114" s="2" t="s">
        <v>60</v>
      </c>
      <c r="M114" s="1" t="s">
        <v>635</v>
      </c>
      <c r="N114" s="1" t="s">
        <v>62</v>
      </c>
      <c r="O114" s="1" t="s">
        <v>167</v>
      </c>
      <c r="P114" s="1" t="s">
        <v>636</v>
      </c>
      <c r="Q114" s="1">
        <v>16.2</v>
      </c>
      <c r="R114" s="1">
        <v>-90.1</v>
      </c>
      <c r="S114" s="1" t="s">
        <v>148</v>
      </c>
      <c r="T114" s="2" t="s">
        <v>189</v>
      </c>
      <c r="U114" s="1" t="s">
        <v>72</v>
      </c>
      <c r="V114" s="3" t="s">
        <v>277</v>
      </c>
      <c r="W114" s="1" t="s">
        <v>637</v>
      </c>
      <c r="X114" s="1" t="s">
        <v>70</v>
      </c>
      <c r="Y114" s="6" t="s">
        <v>76</v>
      </c>
      <c r="Z114" s="3" t="s">
        <v>76</v>
      </c>
      <c r="AB114" s="1">
        <v>4.0</v>
      </c>
      <c r="AI114" s="1" t="s">
        <v>638</v>
      </c>
      <c r="AJ114" s="1">
        <v>-2080.0</v>
      </c>
      <c r="AK114" s="1">
        <v>1950.0</v>
      </c>
      <c r="AL114" s="2" t="s">
        <v>100</v>
      </c>
      <c r="AM114" s="2" t="s">
        <v>60</v>
      </c>
      <c r="AN114" s="2" t="s">
        <v>72</v>
      </c>
      <c r="AO114" s="2" t="s">
        <v>60</v>
      </c>
      <c r="AQ114" s="2" t="s">
        <v>75</v>
      </c>
      <c r="AR114" s="2" t="s">
        <v>76</v>
      </c>
      <c r="AS114" s="1">
        <v>3418.0</v>
      </c>
      <c r="AT114" s="1">
        <v>3418.0</v>
      </c>
      <c r="AU114" s="1">
        <v>1440.0</v>
      </c>
      <c r="AV114" s="1">
        <v>86.0</v>
      </c>
      <c r="AW114" s="1">
        <v>311.0</v>
      </c>
      <c r="AX114" s="1">
        <v>5582.0</v>
      </c>
      <c r="AY114" s="1">
        <v>136.0</v>
      </c>
      <c r="AZ114" s="1" t="s">
        <v>133</v>
      </c>
      <c r="BA114" s="1" t="s">
        <v>121</v>
      </c>
    </row>
    <row r="115">
      <c r="A115" s="1" t="s">
        <v>616</v>
      </c>
      <c r="B115" s="1" t="s">
        <v>53</v>
      </c>
      <c r="C115" s="1">
        <v>2019.0</v>
      </c>
      <c r="D115" s="1" t="s">
        <v>617</v>
      </c>
      <c r="E115" s="1" t="s">
        <v>618</v>
      </c>
      <c r="F115" s="1" t="s">
        <v>583</v>
      </c>
      <c r="G115" s="1" t="s">
        <v>619</v>
      </c>
      <c r="H115" s="1" t="s">
        <v>620</v>
      </c>
      <c r="I115" s="1">
        <v>29.0</v>
      </c>
      <c r="J115" s="1">
        <v>11.0</v>
      </c>
      <c r="K115" s="2" t="s">
        <v>621</v>
      </c>
      <c r="L115" s="2" t="s">
        <v>60</v>
      </c>
      <c r="M115" s="1" t="s">
        <v>639</v>
      </c>
      <c r="N115" s="1" t="s">
        <v>62</v>
      </c>
      <c r="O115" s="1" t="s">
        <v>112</v>
      </c>
      <c r="P115" s="1" t="s">
        <v>623</v>
      </c>
      <c r="Q115" s="1">
        <v>10.730842</v>
      </c>
      <c r="R115" s="1">
        <v>-85.264185</v>
      </c>
      <c r="S115" s="1" t="s">
        <v>148</v>
      </c>
      <c r="T115" s="2" t="s">
        <v>80</v>
      </c>
      <c r="U115" s="3" t="s">
        <v>81</v>
      </c>
      <c r="V115" s="3" t="s">
        <v>68</v>
      </c>
      <c r="W115" s="1" t="s">
        <v>640</v>
      </c>
      <c r="X115" s="2" t="s">
        <v>641</v>
      </c>
      <c r="Y115" s="6" t="s">
        <v>76</v>
      </c>
      <c r="Z115" s="3" t="s">
        <v>84</v>
      </c>
      <c r="AB115" s="1">
        <v>10.0</v>
      </c>
      <c r="AI115" s="1" t="s">
        <v>626</v>
      </c>
      <c r="AJ115" s="1">
        <v>-2250.0</v>
      </c>
      <c r="AK115" s="1">
        <v>2014.0</v>
      </c>
      <c r="AL115" s="2" t="s">
        <v>73</v>
      </c>
      <c r="AM115" s="3" t="s">
        <v>72</v>
      </c>
      <c r="AN115" s="2" t="s">
        <v>132</v>
      </c>
      <c r="AO115" s="2" t="s">
        <v>72</v>
      </c>
      <c r="AQ115" s="2" t="s">
        <v>102</v>
      </c>
      <c r="AR115" s="2" t="s">
        <v>76</v>
      </c>
      <c r="AS115" s="1">
        <v>2220.0</v>
      </c>
      <c r="AT115" s="1">
        <v>2220.0</v>
      </c>
      <c r="AU115" s="1">
        <v>951.0</v>
      </c>
      <c r="AV115" s="1">
        <v>22.0</v>
      </c>
      <c r="AW115" s="1">
        <v>105.0</v>
      </c>
      <c r="AX115" s="1">
        <v>6837.0</v>
      </c>
      <c r="AY115" s="1">
        <v>690.0</v>
      </c>
      <c r="AZ115" s="1" t="s">
        <v>627</v>
      </c>
      <c r="BA115" s="1" t="s">
        <v>121</v>
      </c>
    </row>
    <row r="116">
      <c r="A116" s="1" t="s">
        <v>616</v>
      </c>
      <c r="B116" s="1" t="s">
        <v>53</v>
      </c>
      <c r="C116" s="1">
        <v>2019.0</v>
      </c>
      <c r="D116" s="1" t="s">
        <v>617</v>
      </c>
      <c r="E116" s="1" t="s">
        <v>618</v>
      </c>
      <c r="F116" s="1" t="s">
        <v>583</v>
      </c>
      <c r="G116" s="1" t="s">
        <v>619</v>
      </c>
      <c r="H116" s="1" t="s">
        <v>620</v>
      </c>
      <c r="I116" s="1">
        <v>29.0</v>
      </c>
      <c r="J116" s="1">
        <v>11.0</v>
      </c>
      <c r="K116" s="2" t="s">
        <v>621</v>
      </c>
      <c r="L116" s="2" t="s">
        <v>60</v>
      </c>
      <c r="M116" s="1" t="s">
        <v>642</v>
      </c>
      <c r="N116" s="1" t="s">
        <v>62</v>
      </c>
      <c r="O116" s="1" t="s">
        <v>112</v>
      </c>
      <c r="P116" s="1" t="s">
        <v>623</v>
      </c>
      <c r="Q116" s="1">
        <v>10.730842</v>
      </c>
      <c r="R116" s="1">
        <v>-85.264185</v>
      </c>
      <c r="S116" s="1" t="s">
        <v>148</v>
      </c>
      <c r="T116" s="2" t="s">
        <v>135</v>
      </c>
      <c r="U116" s="3" t="s">
        <v>67</v>
      </c>
      <c r="V116" s="3" t="s">
        <v>68</v>
      </c>
      <c r="W116" s="1" t="s">
        <v>643</v>
      </c>
      <c r="X116" s="2" t="s">
        <v>99</v>
      </c>
      <c r="Y116" s="6" t="s">
        <v>76</v>
      </c>
      <c r="Z116" s="3" t="s">
        <v>411</v>
      </c>
      <c r="AB116" s="1">
        <v>10.0</v>
      </c>
      <c r="AI116" s="1" t="s">
        <v>626</v>
      </c>
      <c r="AJ116" s="1">
        <v>-2250.0</v>
      </c>
      <c r="AK116" s="1">
        <v>2014.0</v>
      </c>
      <c r="AL116" s="2" t="s">
        <v>73</v>
      </c>
      <c r="AM116" s="3" t="s">
        <v>72</v>
      </c>
      <c r="AN116" s="2" t="s">
        <v>132</v>
      </c>
      <c r="AO116" s="2" t="s">
        <v>72</v>
      </c>
      <c r="AQ116" s="2" t="s">
        <v>102</v>
      </c>
      <c r="AR116" s="2" t="s">
        <v>76</v>
      </c>
      <c r="AS116" s="1">
        <v>2220.0</v>
      </c>
      <c r="AT116" s="1">
        <v>2220.0</v>
      </c>
      <c r="AU116" s="1">
        <v>951.0</v>
      </c>
      <c r="AV116" s="1">
        <v>22.0</v>
      </c>
      <c r="AW116" s="1">
        <v>105.0</v>
      </c>
      <c r="AX116" s="1">
        <v>6837.0</v>
      </c>
      <c r="AY116" s="1">
        <v>690.0</v>
      </c>
      <c r="AZ116" s="1" t="s">
        <v>627</v>
      </c>
      <c r="BA116" s="1" t="s">
        <v>121</v>
      </c>
    </row>
    <row r="117">
      <c r="A117" s="1" t="s">
        <v>616</v>
      </c>
      <c r="B117" s="1" t="s">
        <v>53</v>
      </c>
      <c r="C117" s="1">
        <v>2019.0</v>
      </c>
      <c r="D117" s="1" t="s">
        <v>617</v>
      </c>
      <c r="E117" s="1" t="s">
        <v>618</v>
      </c>
      <c r="F117" s="1" t="s">
        <v>583</v>
      </c>
      <c r="G117" s="1" t="s">
        <v>619</v>
      </c>
      <c r="H117" s="1" t="s">
        <v>620</v>
      </c>
      <c r="I117" s="1">
        <v>29.0</v>
      </c>
      <c r="J117" s="1">
        <v>11.0</v>
      </c>
      <c r="K117" s="2" t="s">
        <v>621</v>
      </c>
      <c r="L117" s="2" t="s">
        <v>60</v>
      </c>
      <c r="M117" s="1" t="s">
        <v>644</v>
      </c>
      <c r="N117" s="1" t="s">
        <v>62</v>
      </c>
      <c r="O117" s="1" t="s">
        <v>112</v>
      </c>
      <c r="P117" s="1" t="s">
        <v>623</v>
      </c>
      <c r="Q117" s="1">
        <v>10.730842</v>
      </c>
      <c r="R117" s="1">
        <v>-85.264185</v>
      </c>
      <c r="S117" s="1" t="s">
        <v>148</v>
      </c>
      <c r="T117" s="2" t="s">
        <v>169</v>
      </c>
      <c r="U117" s="9" t="s">
        <v>173</v>
      </c>
      <c r="V117" s="3" t="s">
        <v>116</v>
      </c>
      <c r="W117" s="2" t="s">
        <v>645</v>
      </c>
      <c r="X117" s="2" t="s">
        <v>72</v>
      </c>
      <c r="Y117" s="5" t="s">
        <v>76</v>
      </c>
      <c r="Z117" s="3" t="s">
        <v>173</v>
      </c>
      <c r="AB117" s="1">
        <v>10.0</v>
      </c>
      <c r="AI117" s="1" t="s">
        <v>626</v>
      </c>
      <c r="AJ117" s="1">
        <v>-2250.0</v>
      </c>
      <c r="AK117" s="1">
        <v>2014.0</v>
      </c>
      <c r="AL117" s="2" t="s">
        <v>73</v>
      </c>
      <c r="AM117" s="3" t="s">
        <v>72</v>
      </c>
      <c r="AN117" s="2" t="s">
        <v>132</v>
      </c>
      <c r="AO117" s="2" t="s">
        <v>72</v>
      </c>
      <c r="AQ117" s="2" t="s">
        <v>102</v>
      </c>
      <c r="AR117" s="2" t="s">
        <v>76</v>
      </c>
      <c r="AS117" s="1">
        <v>2220.0</v>
      </c>
      <c r="AT117" s="1">
        <v>2220.0</v>
      </c>
      <c r="AU117" s="1">
        <v>951.0</v>
      </c>
      <c r="AV117" s="1">
        <v>22.0</v>
      </c>
      <c r="AW117" s="1">
        <v>105.0</v>
      </c>
      <c r="AX117" s="1">
        <v>6837.0</v>
      </c>
      <c r="AY117" s="1">
        <v>690.0</v>
      </c>
      <c r="AZ117" s="1" t="s">
        <v>627</v>
      </c>
      <c r="BA117" s="1" t="s">
        <v>121</v>
      </c>
    </row>
    <row r="118">
      <c r="A118" s="1" t="s">
        <v>628</v>
      </c>
      <c r="B118" s="1" t="s">
        <v>53</v>
      </c>
      <c r="C118" s="1">
        <v>2001.0</v>
      </c>
      <c r="D118" s="1" t="s">
        <v>629</v>
      </c>
      <c r="E118" s="1" t="s">
        <v>630</v>
      </c>
      <c r="F118" s="1" t="s">
        <v>631</v>
      </c>
      <c r="G118" s="1" t="s">
        <v>632</v>
      </c>
      <c r="H118" s="1" t="s">
        <v>633</v>
      </c>
      <c r="I118" s="1">
        <v>12.0</v>
      </c>
      <c r="J118" s="1">
        <v>2.0</v>
      </c>
      <c r="K118" s="2" t="s">
        <v>634</v>
      </c>
      <c r="L118" s="2" t="s">
        <v>60</v>
      </c>
      <c r="M118" s="1" t="s">
        <v>646</v>
      </c>
      <c r="N118" s="1" t="s">
        <v>62</v>
      </c>
      <c r="O118" s="1" t="s">
        <v>167</v>
      </c>
      <c r="P118" s="1" t="s">
        <v>636</v>
      </c>
      <c r="Q118" s="1">
        <v>16.2</v>
      </c>
      <c r="R118" s="1">
        <v>-90.1</v>
      </c>
      <c r="S118" s="1" t="s">
        <v>148</v>
      </c>
      <c r="T118" s="2" t="s">
        <v>275</v>
      </c>
      <c r="U118" s="1" t="s">
        <v>276</v>
      </c>
      <c r="V118" s="3" t="s">
        <v>277</v>
      </c>
      <c r="W118" s="1" t="s">
        <v>278</v>
      </c>
      <c r="X118" s="1" t="s">
        <v>279</v>
      </c>
      <c r="Y118" s="6" t="s">
        <v>76</v>
      </c>
      <c r="Z118" s="3" t="s">
        <v>76</v>
      </c>
      <c r="AB118" s="1">
        <v>4.0</v>
      </c>
      <c r="AI118" s="1" t="s">
        <v>638</v>
      </c>
      <c r="AJ118" s="1">
        <v>-2080.0</v>
      </c>
      <c r="AK118" s="1">
        <v>1950.0</v>
      </c>
      <c r="AL118" s="2" t="s">
        <v>100</v>
      </c>
      <c r="AM118" s="2" t="s">
        <v>60</v>
      </c>
      <c r="AN118" s="2" t="s">
        <v>72</v>
      </c>
      <c r="AO118" s="2" t="s">
        <v>60</v>
      </c>
      <c r="AQ118" s="2" t="s">
        <v>75</v>
      </c>
      <c r="AR118" s="2" t="s">
        <v>76</v>
      </c>
      <c r="AS118" s="1">
        <v>3418.0</v>
      </c>
      <c r="AT118" s="1">
        <v>3418.0</v>
      </c>
      <c r="AU118" s="1">
        <v>1440.0</v>
      </c>
      <c r="AV118" s="1">
        <v>86.0</v>
      </c>
      <c r="AW118" s="1">
        <v>311.0</v>
      </c>
      <c r="AX118" s="1">
        <v>5582.0</v>
      </c>
      <c r="AY118" s="1">
        <v>136.0</v>
      </c>
      <c r="AZ118" s="1" t="s">
        <v>133</v>
      </c>
      <c r="BA118" s="1" t="s">
        <v>121</v>
      </c>
    </row>
    <row r="119">
      <c r="A119" s="1" t="s">
        <v>647</v>
      </c>
      <c r="B119" s="1" t="s">
        <v>53</v>
      </c>
      <c r="C119" s="1">
        <v>2017.0</v>
      </c>
      <c r="D119" s="1" t="s">
        <v>648</v>
      </c>
      <c r="E119" s="1" t="s">
        <v>649</v>
      </c>
      <c r="F119" s="1" t="s">
        <v>650</v>
      </c>
      <c r="G119" s="1" t="s">
        <v>651</v>
      </c>
      <c r="H119" s="1" t="s">
        <v>652</v>
      </c>
      <c r="I119" s="1">
        <v>106.0</v>
      </c>
      <c r="J119" s="1">
        <v>1.0</v>
      </c>
      <c r="K119" s="2" t="s">
        <v>653</v>
      </c>
      <c r="L119" s="2" t="s">
        <v>60</v>
      </c>
      <c r="M119" s="1" t="s">
        <v>654</v>
      </c>
      <c r="N119" s="1" t="s">
        <v>62</v>
      </c>
      <c r="O119" s="1" t="s">
        <v>187</v>
      </c>
      <c r="P119" s="1" t="s">
        <v>655</v>
      </c>
      <c r="Q119" s="1">
        <v>17.230639</v>
      </c>
      <c r="R119" s="1">
        <v>-88.30375</v>
      </c>
      <c r="S119" s="1" t="s">
        <v>148</v>
      </c>
      <c r="T119" s="2" t="s">
        <v>275</v>
      </c>
      <c r="U119" s="1" t="s">
        <v>656</v>
      </c>
      <c r="V119" s="3" t="s">
        <v>97</v>
      </c>
      <c r="W119" s="1" t="s">
        <v>278</v>
      </c>
      <c r="X119" s="1" t="s">
        <v>279</v>
      </c>
      <c r="Y119" s="6" t="s">
        <v>76</v>
      </c>
      <c r="Z119" s="3" t="s">
        <v>76</v>
      </c>
      <c r="AB119" s="1">
        <v>2.0</v>
      </c>
      <c r="AI119" s="1" t="s">
        <v>657</v>
      </c>
      <c r="AJ119" s="2" t="s">
        <v>72</v>
      </c>
      <c r="AK119" s="2" t="s">
        <v>72</v>
      </c>
      <c r="AL119" s="2" t="s">
        <v>100</v>
      </c>
      <c r="AM119" s="2" t="s">
        <v>76</v>
      </c>
      <c r="AN119" s="2" t="s">
        <v>524</v>
      </c>
      <c r="AO119" s="2" t="s">
        <v>72</v>
      </c>
      <c r="AQ119" s="2" t="s">
        <v>75</v>
      </c>
      <c r="AR119" s="2" t="s">
        <v>76</v>
      </c>
      <c r="AS119" s="1">
        <v>2032.0</v>
      </c>
      <c r="AT119" s="1">
        <v>2032.0</v>
      </c>
      <c r="AU119" s="1">
        <v>787.0</v>
      </c>
      <c r="AV119" s="1">
        <v>50.0</v>
      </c>
      <c r="AW119" s="1">
        <v>169.0</v>
      </c>
      <c r="AX119" s="1">
        <v>5281.0</v>
      </c>
      <c r="AY119" s="1">
        <v>1.0</v>
      </c>
      <c r="AZ119" s="1" t="s">
        <v>658</v>
      </c>
      <c r="BA119" s="1" t="s">
        <v>659</v>
      </c>
    </row>
    <row r="120">
      <c r="A120" s="1" t="s">
        <v>647</v>
      </c>
      <c r="B120" s="1" t="s">
        <v>53</v>
      </c>
      <c r="C120" s="1">
        <v>2017.0</v>
      </c>
      <c r="D120" s="1" t="s">
        <v>648</v>
      </c>
      <c r="E120" s="1" t="s">
        <v>649</v>
      </c>
      <c r="F120" s="1" t="s">
        <v>650</v>
      </c>
      <c r="G120" s="1" t="s">
        <v>651</v>
      </c>
      <c r="H120" s="1" t="s">
        <v>652</v>
      </c>
      <c r="I120" s="1">
        <v>106.0</v>
      </c>
      <c r="J120" s="1">
        <v>1.0</v>
      </c>
      <c r="K120" s="2" t="s">
        <v>653</v>
      </c>
      <c r="L120" s="2" t="s">
        <v>60</v>
      </c>
      <c r="M120" s="1" t="s">
        <v>660</v>
      </c>
      <c r="N120" s="1" t="s">
        <v>62</v>
      </c>
      <c r="O120" s="1" t="s">
        <v>187</v>
      </c>
      <c r="P120" s="1" t="s">
        <v>655</v>
      </c>
      <c r="Q120" s="1">
        <v>17.211611</v>
      </c>
      <c r="R120" s="1">
        <v>-88.314806</v>
      </c>
      <c r="S120" s="1" t="s">
        <v>148</v>
      </c>
      <c r="T120" s="2" t="s">
        <v>275</v>
      </c>
      <c r="U120" s="1" t="s">
        <v>656</v>
      </c>
      <c r="V120" s="3" t="s">
        <v>97</v>
      </c>
      <c r="W120" s="1" t="s">
        <v>278</v>
      </c>
      <c r="X120" s="1" t="s">
        <v>279</v>
      </c>
      <c r="Y120" s="6" t="s">
        <v>76</v>
      </c>
      <c r="Z120" s="3" t="s">
        <v>76</v>
      </c>
      <c r="AB120" s="1">
        <v>3.0</v>
      </c>
      <c r="AI120" s="1" t="s">
        <v>657</v>
      </c>
      <c r="AJ120" s="2" t="s">
        <v>72</v>
      </c>
      <c r="AK120" s="2" t="s">
        <v>72</v>
      </c>
      <c r="AL120" s="2" t="s">
        <v>100</v>
      </c>
      <c r="AM120" s="2" t="s">
        <v>76</v>
      </c>
      <c r="AN120" s="2" t="s">
        <v>524</v>
      </c>
      <c r="AO120" s="2" t="s">
        <v>72</v>
      </c>
      <c r="AQ120" s="2" t="s">
        <v>75</v>
      </c>
      <c r="AR120" s="2" t="s">
        <v>76</v>
      </c>
      <c r="AS120" s="1">
        <v>2047.0</v>
      </c>
      <c r="AT120" s="1">
        <v>2047.0</v>
      </c>
      <c r="AU120" s="1">
        <v>795.0</v>
      </c>
      <c r="AV120" s="1">
        <v>51.0</v>
      </c>
      <c r="AW120" s="1">
        <v>171.0</v>
      </c>
      <c r="AX120" s="1">
        <v>5295.0</v>
      </c>
      <c r="AY120" s="1">
        <v>2.0</v>
      </c>
      <c r="AZ120" s="1" t="s">
        <v>658</v>
      </c>
      <c r="BA120" s="1" t="s">
        <v>659</v>
      </c>
    </row>
    <row r="121">
      <c r="A121" s="1" t="s">
        <v>647</v>
      </c>
      <c r="B121" s="1" t="s">
        <v>53</v>
      </c>
      <c r="C121" s="1">
        <v>2017.0</v>
      </c>
      <c r="D121" s="1" t="s">
        <v>648</v>
      </c>
      <c r="E121" s="1" t="s">
        <v>649</v>
      </c>
      <c r="F121" s="1" t="s">
        <v>650</v>
      </c>
      <c r="G121" s="1" t="s">
        <v>651</v>
      </c>
      <c r="H121" s="1" t="s">
        <v>652</v>
      </c>
      <c r="I121" s="1">
        <v>106.0</v>
      </c>
      <c r="J121" s="1">
        <v>1.0</v>
      </c>
      <c r="K121" s="2" t="s">
        <v>653</v>
      </c>
      <c r="L121" s="2" t="s">
        <v>60</v>
      </c>
      <c r="M121" s="1" t="s">
        <v>661</v>
      </c>
      <c r="N121" s="1" t="s">
        <v>62</v>
      </c>
      <c r="O121" s="1" t="s">
        <v>187</v>
      </c>
      <c r="P121" s="1" t="s">
        <v>655</v>
      </c>
      <c r="Q121" s="1">
        <v>17.211528</v>
      </c>
      <c r="R121" s="1">
        <v>-88.312833</v>
      </c>
      <c r="S121" s="1" t="s">
        <v>148</v>
      </c>
      <c r="T121" s="2" t="s">
        <v>275</v>
      </c>
      <c r="U121" s="1" t="s">
        <v>656</v>
      </c>
      <c r="V121" s="3" t="s">
        <v>97</v>
      </c>
      <c r="W121" s="1" t="s">
        <v>278</v>
      </c>
      <c r="X121" s="1" t="s">
        <v>279</v>
      </c>
      <c r="Y121" s="6" t="s">
        <v>76</v>
      </c>
      <c r="Z121" s="3" t="s">
        <v>76</v>
      </c>
      <c r="AB121" s="1">
        <v>4.0</v>
      </c>
      <c r="AI121" s="1" t="s">
        <v>657</v>
      </c>
      <c r="AJ121" s="2" t="s">
        <v>72</v>
      </c>
      <c r="AK121" s="2" t="s">
        <v>72</v>
      </c>
      <c r="AL121" s="2" t="s">
        <v>100</v>
      </c>
      <c r="AM121" s="2" t="s">
        <v>76</v>
      </c>
      <c r="AN121" s="2" t="s">
        <v>524</v>
      </c>
      <c r="AO121" s="2" t="s">
        <v>72</v>
      </c>
      <c r="AQ121" s="2" t="s">
        <v>75</v>
      </c>
      <c r="AR121" s="2" t="s">
        <v>76</v>
      </c>
      <c r="AS121" s="1">
        <v>2047.0</v>
      </c>
      <c r="AT121" s="1">
        <v>2047.0</v>
      </c>
      <c r="AU121" s="1">
        <v>795.0</v>
      </c>
      <c r="AV121" s="1">
        <v>51.0</v>
      </c>
      <c r="AW121" s="1">
        <v>171.0</v>
      </c>
      <c r="AX121" s="1">
        <v>5295.0</v>
      </c>
      <c r="AY121" s="1">
        <v>2.0</v>
      </c>
      <c r="AZ121" s="1" t="s">
        <v>658</v>
      </c>
      <c r="BA121" s="1" t="s">
        <v>659</v>
      </c>
    </row>
    <row r="122">
      <c r="A122" s="1" t="s">
        <v>647</v>
      </c>
      <c r="B122" s="1" t="s">
        <v>53</v>
      </c>
      <c r="C122" s="1">
        <v>2017.0</v>
      </c>
      <c r="D122" s="1" t="s">
        <v>648</v>
      </c>
      <c r="E122" s="1" t="s">
        <v>649</v>
      </c>
      <c r="F122" s="1" t="s">
        <v>650</v>
      </c>
      <c r="G122" s="1" t="s">
        <v>651</v>
      </c>
      <c r="H122" s="1" t="s">
        <v>652</v>
      </c>
      <c r="I122" s="1">
        <v>106.0</v>
      </c>
      <c r="J122" s="1">
        <v>1.0</v>
      </c>
      <c r="K122" s="2" t="s">
        <v>653</v>
      </c>
      <c r="L122" s="2" t="s">
        <v>60</v>
      </c>
      <c r="M122" s="1" t="s">
        <v>662</v>
      </c>
      <c r="N122" s="1" t="s">
        <v>62</v>
      </c>
      <c r="O122" s="1" t="s">
        <v>187</v>
      </c>
      <c r="P122" s="1" t="s">
        <v>655</v>
      </c>
      <c r="Q122" s="1">
        <v>17.211389</v>
      </c>
      <c r="R122" s="1">
        <v>-88.317556</v>
      </c>
      <c r="S122" s="1" t="s">
        <v>148</v>
      </c>
      <c r="T122" s="2" t="s">
        <v>275</v>
      </c>
      <c r="U122" s="1" t="s">
        <v>656</v>
      </c>
      <c r="V122" s="3" t="s">
        <v>97</v>
      </c>
      <c r="W122" s="1" t="s">
        <v>278</v>
      </c>
      <c r="X122" s="1" t="s">
        <v>279</v>
      </c>
      <c r="Y122" s="6" t="s">
        <v>76</v>
      </c>
      <c r="Z122" s="3" t="s">
        <v>76</v>
      </c>
      <c r="AB122" s="1">
        <v>1.0</v>
      </c>
      <c r="AI122" s="1" t="s">
        <v>663</v>
      </c>
      <c r="AJ122" s="2" t="s">
        <v>72</v>
      </c>
      <c r="AK122" s="2" t="s">
        <v>72</v>
      </c>
      <c r="AL122" s="2" t="s">
        <v>100</v>
      </c>
      <c r="AM122" s="2" t="s">
        <v>76</v>
      </c>
      <c r="AN122" s="2" t="s">
        <v>524</v>
      </c>
      <c r="AO122" s="2" t="s">
        <v>72</v>
      </c>
      <c r="AQ122" s="2" t="s">
        <v>75</v>
      </c>
      <c r="AR122" s="2" t="s">
        <v>76</v>
      </c>
      <c r="AS122" s="1">
        <v>2055.0</v>
      </c>
      <c r="AT122" s="1">
        <v>2055.0</v>
      </c>
      <c r="AU122" s="1">
        <v>797.0</v>
      </c>
      <c r="AV122" s="1">
        <v>51.0</v>
      </c>
      <c r="AW122" s="1">
        <v>172.0</v>
      </c>
      <c r="AX122" s="1">
        <v>5286.0</v>
      </c>
      <c r="AY122" s="1">
        <v>2.0</v>
      </c>
      <c r="AZ122" s="1" t="s">
        <v>658</v>
      </c>
      <c r="BA122" s="1" t="s">
        <v>659</v>
      </c>
    </row>
    <row r="123">
      <c r="A123" s="1" t="s">
        <v>647</v>
      </c>
      <c r="B123" s="1" t="s">
        <v>53</v>
      </c>
      <c r="C123" s="1">
        <v>2017.0</v>
      </c>
      <c r="D123" s="1" t="s">
        <v>648</v>
      </c>
      <c r="E123" s="1" t="s">
        <v>649</v>
      </c>
      <c r="F123" s="1" t="s">
        <v>650</v>
      </c>
      <c r="G123" s="1" t="s">
        <v>651</v>
      </c>
      <c r="H123" s="1" t="s">
        <v>652</v>
      </c>
      <c r="I123" s="1">
        <v>106.0</v>
      </c>
      <c r="J123" s="1">
        <v>1.0</v>
      </c>
      <c r="K123" s="2" t="s">
        <v>653</v>
      </c>
      <c r="L123" s="2" t="s">
        <v>60</v>
      </c>
      <c r="M123" s="1" t="s">
        <v>664</v>
      </c>
      <c r="N123" s="1" t="s">
        <v>62</v>
      </c>
      <c r="O123" s="1" t="s">
        <v>187</v>
      </c>
      <c r="P123" s="1" t="s">
        <v>655</v>
      </c>
      <c r="Q123" s="1">
        <v>17.211056</v>
      </c>
      <c r="R123" s="1">
        <v>-88.303833</v>
      </c>
      <c r="S123" s="1" t="s">
        <v>148</v>
      </c>
      <c r="T123" s="2" t="s">
        <v>275</v>
      </c>
      <c r="U123" s="1" t="s">
        <v>656</v>
      </c>
      <c r="V123" s="3" t="s">
        <v>97</v>
      </c>
      <c r="W123" s="1" t="s">
        <v>278</v>
      </c>
      <c r="X123" s="1" t="s">
        <v>279</v>
      </c>
      <c r="Y123" s="6" t="s">
        <v>76</v>
      </c>
      <c r="Z123" s="3" t="s">
        <v>76</v>
      </c>
      <c r="AB123" s="1">
        <v>2.0</v>
      </c>
      <c r="AI123" s="1" t="s">
        <v>657</v>
      </c>
      <c r="AJ123" s="2" t="s">
        <v>72</v>
      </c>
      <c r="AK123" s="2" t="s">
        <v>72</v>
      </c>
      <c r="AL123" s="2" t="s">
        <v>100</v>
      </c>
      <c r="AM123" s="2" t="s">
        <v>76</v>
      </c>
      <c r="AN123" s="2" t="s">
        <v>524</v>
      </c>
      <c r="AO123" s="2" t="s">
        <v>72</v>
      </c>
      <c r="AQ123" s="2" t="s">
        <v>75</v>
      </c>
      <c r="AR123" s="2" t="s">
        <v>76</v>
      </c>
      <c r="AS123" s="1">
        <v>2046.0</v>
      </c>
      <c r="AT123" s="1">
        <v>2046.0</v>
      </c>
      <c r="AU123" s="1">
        <v>792.0</v>
      </c>
      <c r="AV123" s="1">
        <v>51.0</v>
      </c>
      <c r="AW123" s="1">
        <v>171.0</v>
      </c>
      <c r="AX123" s="1">
        <v>5270.0</v>
      </c>
      <c r="AY123" s="1">
        <v>1.0</v>
      </c>
      <c r="AZ123" s="1" t="s">
        <v>658</v>
      </c>
      <c r="BA123" s="1" t="s">
        <v>659</v>
      </c>
    </row>
    <row r="124">
      <c r="A124" s="1" t="s">
        <v>195</v>
      </c>
      <c r="B124" s="1" t="s">
        <v>53</v>
      </c>
      <c r="C124" s="1">
        <v>2002.0</v>
      </c>
      <c r="D124" s="1" t="s">
        <v>196</v>
      </c>
      <c r="E124" s="1" t="s">
        <v>197</v>
      </c>
      <c r="F124" s="1" t="s">
        <v>198</v>
      </c>
      <c r="G124" s="1" t="s">
        <v>199</v>
      </c>
      <c r="H124" s="1" t="s">
        <v>200</v>
      </c>
      <c r="I124" s="1">
        <v>48.0</v>
      </c>
      <c r="J124" s="1">
        <v>4.0</v>
      </c>
      <c r="K124" s="2" t="s">
        <v>201</v>
      </c>
      <c r="L124" s="2" t="s">
        <v>60</v>
      </c>
      <c r="M124" s="1" t="s">
        <v>665</v>
      </c>
      <c r="N124" s="1" t="s">
        <v>62</v>
      </c>
      <c r="O124" s="1" t="s">
        <v>187</v>
      </c>
      <c r="P124" s="1" t="s">
        <v>203</v>
      </c>
      <c r="Q124" s="1">
        <v>18.441426</v>
      </c>
      <c r="R124" s="1">
        <v>-88.476495</v>
      </c>
      <c r="S124" s="1" t="s">
        <v>114</v>
      </c>
      <c r="T124" s="2" t="s">
        <v>189</v>
      </c>
      <c r="U124" s="1" t="s">
        <v>276</v>
      </c>
      <c r="V124" s="3" t="s">
        <v>277</v>
      </c>
      <c r="W124" s="1" t="s">
        <v>666</v>
      </c>
      <c r="X124" s="1" t="s">
        <v>70</v>
      </c>
      <c r="Y124" s="6" t="s">
        <v>76</v>
      </c>
      <c r="Z124" s="3" t="s">
        <v>76</v>
      </c>
      <c r="AD124" s="1">
        <v>13.0</v>
      </c>
      <c r="AJ124" s="1">
        <v>1889.0</v>
      </c>
      <c r="AK124" s="1">
        <v>1998.0</v>
      </c>
      <c r="AL124" s="2" t="s">
        <v>153</v>
      </c>
      <c r="AM124" s="2" t="s">
        <v>60</v>
      </c>
      <c r="AN124" s="2" t="s">
        <v>72</v>
      </c>
      <c r="AO124" s="2" t="s">
        <v>101</v>
      </c>
      <c r="AQ124" s="2" t="s">
        <v>75</v>
      </c>
      <c r="AR124" s="2" t="s">
        <v>76</v>
      </c>
      <c r="AS124" s="1">
        <v>1213.0</v>
      </c>
      <c r="AT124" s="1">
        <v>1213.0</v>
      </c>
      <c r="AU124" s="1">
        <v>500.0</v>
      </c>
      <c r="AV124" s="1">
        <v>23.0</v>
      </c>
      <c r="AW124" s="1">
        <v>86.0</v>
      </c>
      <c r="AX124" s="1">
        <v>6265.0</v>
      </c>
      <c r="AY124" s="1">
        <v>3.0</v>
      </c>
      <c r="AZ124" s="1" t="s">
        <v>133</v>
      </c>
      <c r="BA124" s="1" t="s">
        <v>121</v>
      </c>
    </row>
    <row r="125">
      <c r="A125" s="1" t="s">
        <v>195</v>
      </c>
      <c r="B125" s="1" t="s">
        <v>53</v>
      </c>
      <c r="C125" s="1">
        <v>2002.0</v>
      </c>
      <c r="D125" s="1" t="s">
        <v>196</v>
      </c>
      <c r="E125" s="1" t="s">
        <v>197</v>
      </c>
      <c r="F125" s="1" t="s">
        <v>198</v>
      </c>
      <c r="G125" s="1" t="s">
        <v>199</v>
      </c>
      <c r="H125" s="1" t="s">
        <v>200</v>
      </c>
      <c r="I125" s="1">
        <v>48.0</v>
      </c>
      <c r="J125" s="1">
        <v>4.0</v>
      </c>
      <c r="K125" s="2" t="s">
        <v>201</v>
      </c>
      <c r="L125" s="2" t="s">
        <v>60</v>
      </c>
      <c r="M125" s="1" t="s">
        <v>667</v>
      </c>
      <c r="N125" s="1" t="s">
        <v>62</v>
      </c>
      <c r="O125" s="1" t="s">
        <v>187</v>
      </c>
      <c r="P125" s="1" t="s">
        <v>208</v>
      </c>
      <c r="Q125" s="1">
        <v>18.385586</v>
      </c>
      <c r="R125" s="1">
        <v>-88.470017</v>
      </c>
      <c r="S125" s="1" t="s">
        <v>114</v>
      </c>
      <c r="T125" s="2" t="s">
        <v>189</v>
      </c>
      <c r="U125" s="1" t="s">
        <v>276</v>
      </c>
      <c r="V125" s="3" t="s">
        <v>277</v>
      </c>
      <c r="W125" s="1" t="s">
        <v>666</v>
      </c>
      <c r="X125" s="1" t="s">
        <v>70</v>
      </c>
      <c r="Y125" s="6" t="s">
        <v>76</v>
      </c>
      <c r="Z125" s="3" t="s">
        <v>76</v>
      </c>
      <c r="AD125" s="1">
        <v>15.0</v>
      </c>
      <c r="AJ125" s="1">
        <v>1880.0</v>
      </c>
      <c r="AK125" s="1">
        <v>1998.0</v>
      </c>
      <c r="AL125" s="2" t="s">
        <v>153</v>
      </c>
      <c r="AM125" s="2" t="s">
        <v>60</v>
      </c>
      <c r="AN125" s="2" t="s">
        <v>72</v>
      </c>
      <c r="AO125" s="2" t="s">
        <v>101</v>
      </c>
      <c r="AQ125" s="2" t="s">
        <v>75</v>
      </c>
      <c r="AR125" s="2" t="s">
        <v>76</v>
      </c>
      <c r="AS125" s="1">
        <v>1249.0</v>
      </c>
      <c r="AT125" s="1">
        <v>1249.0</v>
      </c>
      <c r="AU125" s="1">
        <v>516.0</v>
      </c>
      <c r="AV125" s="1">
        <v>23.0</v>
      </c>
      <c r="AW125" s="1">
        <v>86.0</v>
      </c>
      <c r="AX125" s="1">
        <v>6353.0</v>
      </c>
      <c r="AY125" s="1">
        <v>14.0</v>
      </c>
      <c r="AZ125" s="1" t="s">
        <v>133</v>
      </c>
      <c r="BA125" s="1" t="s">
        <v>121</v>
      </c>
    </row>
    <row r="126">
      <c r="A126" s="1" t="s">
        <v>195</v>
      </c>
      <c r="B126" s="1" t="s">
        <v>53</v>
      </c>
      <c r="C126" s="1">
        <v>2002.0</v>
      </c>
      <c r="D126" s="1" t="s">
        <v>196</v>
      </c>
      <c r="E126" s="1" t="s">
        <v>197</v>
      </c>
      <c r="F126" s="1" t="s">
        <v>198</v>
      </c>
      <c r="G126" s="1" t="s">
        <v>199</v>
      </c>
      <c r="H126" s="1" t="s">
        <v>200</v>
      </c>
      <c r="I126" s="1">
        <v>48.0</v>
      </c>
      <c r="J126" s="1">
        <v>4.0</v>
      </c>
      <c r="K126" s="2" t="s">
        <v>201</v>
      </c>
      <c r="L126" s="2" t="s">
        <v>60</v>
      </c>
      <c r="M126" s="1" t="s">
        <v>668</v>
      </c>
      <c r="N126" s="1" t="s">
        <v>62</v>
      </c>
      <c r="O126" s="1" t="s">
        <v>187</v>
      </c>
      <c r="P126" s="1" t="s">
        <v>210</v>
      </c>
      <c r="Q126" s="1">
        <v>18.0866</v>
      </c>
      <c r="R126" s="1">
        <v>-88.448328</v>
      </c>
      <c r="S126" s="1" t="s">
        <v>114</v>
      </c>
      <c r="T126" s="2" t="s">
        <v>189</v>
      </c>
      <c r="U126" s="1" t="s">
        <v>276</v>
      </c>
      <c r="V126" s="3" t="s">
        <v>277</v>
      </c>
      <c r="W126" s="1" t="s">
        <v>666</v>
      </c>
      <c r="X126" s="1" t="s">
        <v>70</v>
      </c>
      <c r="Y126" s="6" t="s">
        <v>76</v>
      </c>
      <c r="Z126" s="3" t="s">
        <v>76</v>
      </c>
      <c r="AD126" s="1">
        <v>15.0</v>
      </c>
      <c r="AJ126" s="1">
        <v>1898.0</v>
      </c>
      <c r="AK126" s="1">
        <v>1998.0</v>
      </c>
      <c r="AL126" s="2" t="s">
        <v>153</v>
      </c>
      <c r="AM126" s="2" t="s">
        <v>60</v>
      </c>
      <c r="AN126" s="2" t="s">
        <v>72</v>
      </c>
      <c r="AO126" s="2" t="s">
        <v>101</v>
      </c>
      <c r="AQ126" s="2" t="s">
        <v>75</v>
      </c>
      <c r="AR126" s="2" t="s">
        <v>76</v>
      </c>
      <c r="AS126" s="1">
        <v>1484.0</v>
      </c>
      <c r="AT126" s="1">
        <v>1484.0</v>
      </c>
      <c r="AU126" s="1">
        <v>582.0</v>
      </c>
      <c r="AV126" s="1">
        <v>33.0</v>
      </c>
      <c r="AW126" s="1">
        <v>113.0</v>
      </c>
      <c r="AX126" s="1">
        <v>5756.0</v>
      </c>
      <c r="AY126" s="1">
        <v>10.0</v>
      </c>
      <c r="AZ126" s="1" t="s">
        <v>133</v>
      </c>
      <c r="BA126" s="1" t="s">
        <v>121</v>
      </c>
    </row>
    <row r="127">
      <c r="A127" s="1" t="s">
        <v>195</v>
      </c>
      <c r="B127" s="1" t="s">
        <v>53</v>
      </c>
      <c r="C127" s="1">
        <v>2002.0</v>
      </c>
      <c r="D127" s="1" t="s">
        <v>196</v>
      </c>
      <c r="E127" s="1" t="s">
        <v>197</v>
      </c>
      <c r="F127" s="1" t="s">
        <v>198</v>
      </c>
      <c r="G127" s="1" t="s">
        <v>199</v>
      </c>
      <c r="H127" s="1" t="s">
        <v>200</v>
      </c>
      <c r="I127" s="1">
        <v>48.0</v>
      </c>
      <c r="J127" s="1">
        <v>4.0</v>
      </c>
      <c r="K127" s="2" t="s">
        <v>201</v>
      </c>
      <c r="L127" s="2" t="s">
        <v>60</v>
      </c>
      <c r="M127" s="1" t="s">
        <v>669</v>
      </c>
      <c r="N127" s="1" t="s">
        <v>62</v>
      </c>
      <c r="O127" s="1" t="s">
        <v>187</v>
      </c>
      <c r="P127" s="1" t="s">
        <v>212</v>
      </c>
      <c r="Q127" s="1">
        <v>17.98935</v>
      </c>
      <c r="R127" s="1">
        <v>-88.466374</v>
      </c>
      <c r="S127" s="1" t="s">
        <v>114</v>
      </c>
      <c r="T127" s="2" t="s">
        <v>189</v>
      </c>
      <c r="U127" s="1" t="s">
        <v>276</v>
      </c>
      <c r="V127" s="3" t="s">
        <v>277</v>
      </c>
      <c r="W127" s="1" t="s">
        <v>666</v>
      </c>
      <c r="X127" s="1" t="s">
        <v>70</v>
      </c>
      <c r="Y127" s="6" t="s">
        <v>76</v>
      </c>
      <c r="Z127" s="3" t="s">
        <v>76</v>
      </c>
      <c r="AD127" s="1">
        <v>13.0</v>
      </c>
      <c r="AJ127" s="1">
        <v>1857.0</v>
      </c>
      <c r="AK127" s="1">
        <v>1998.0</v>
      </c>
      <c r="AL127" s="2" t="s">
        <v>153</v>
      </c>
      <c r="AM127" s="2" t="s">
        <v>60</v>
      </c>
      <c r="AN127" s="2" t="s">
        <v>72</v>
      </c>
      <c r="AO127" s="2" t="s">
        <v>101</v>
      </c>
      <c r="AQ127" s="2" t="s">
        <v>75</v>
      </c>
      <c r="AR127" s="2" t="s">
        <v>76</v>
      </c>
      <c r="AS127" s="1">
        <v>1563.0</v>
      </c>
      <c r="AT127" s="1">
        <v>1563.0</v>
      </c>
      <c r="AU127" s="1">
        <v>606.0</v>
      </c>
      <c r="AV127" s="1">
        <v>40.0</v>
      </c>
      <c r="AW127" s="1">
        <v>126.0</v>
      </c>
      <c r="AX127" s="1">
        <v>5565.0</v>
      </c>
      <c r="AY127" s="1">
        <v>20.0</v>
      </c>
      <c r="AZ127" s="1" t="s">
        <v>133</v>
      </c>
      <c r="BA127" s="1" t="s">
        <v>121</v>
      </c>
    </row>
    <row r="128">
      <c r="A128" s="1" t="s">
        <v>195</v>
      </c>
      <c r="B128" s="1" t="s">
        <v>53</v>
      </c>
      <c r="C128" s="1">
        <v>2002.0</v>
      </c>
      <c r="D128" s="1" t="s">
        <v>196</v>
      </c>
      <c r="E128" s="1" t="s">
        <v>197</v>
      </c>
      <c r="F128" s="1" t="s">
        <v>198</v>
      </c>
      <c r="G128" s="1" t="s">
        <v>199</v>
      </c>
      <c r="H128" s="1" t="s">
        <v>200</v>
      </c>
      <c r="I128" s="1">
        <v>48.0</v>
      </c>
      <c r="J128" s="1">
        <v>4.0</v>
      </c>
      <c r="K128" s="2" t="s">
        <v>201</v>
      </c>
      <c r="L128" s="2" t="s">
        <v>60</v>
      </c>
      <c r="M128" s="1" t="s">
        <v>670</v>
      </c>
      <c r="N128" s="1" t="s">
        <v>62</v>
      </c>
      <c r="O128" s="1" t="s">
        <v>187</v>
      </c>
      <c r="P128" s="1" t="s">
        <v>214</v>
      </c>
      <c r="Q128" s="1">
        <v>17.988299</v>
      </c>
      <c r="R128" s="1">
        <v>-88.511265</v>
      </c>
      <c r="S128" s="1" t="s">
        <v>114</v>
      </c>
      <c r="T128" s="2" t="s">
        <v>189</v>
      </c>
      <c r="U128" s="1" t="s">
        <v>276</v>
      </c>
      <c r="V128" s="3" t="s">
        <v>277</v>
      </c>
      <c r="W128" s="1" t="s">
        <v>666</v>
      </c>
      <c r="X128" s="1" t="s">
        <v>70</v>
      </c>
      <c r="Y128" s="6" t="s">
        <v>76</v>
      </c>
      <c r="Z128" s="3" t="s">
        <v>76</v>
      </c>
      <c r="AD128" s="1">
        <v>13.0</v>
      </c>
      <c r="AJ128" s="1">
        <v>1868.0</v>
      </c>
      <c r="AK128" s="1">
        <v>1998.0</v>
      </c>
      <c r="AL128" s="2" t="s">
        <v>153</v>
      </c>
      <c r="AM128" s="2" t="s">
        <v>60</v>
      </c>
      <c r="AN128" s="2" t="s">
        <v>72</v>
      </c>
      <c r="AO128" s="2" t="s">
        <v>101</v>
      </c>
      <c r="AQ128" s="2" t="s">
        <v>75</v>
      </c>
      <c r="AR128" s="2" t="s">
        <v>76</v>
      </c>
      <c r="AS128" s="1">
        <v>1550.0</v>
      </c>
      <c r="AT128" s="1">
        <v>1550.0</v>
      </c>
      <c r="AU128" s="1">
        <v>608.0</v>
      </c>
      <c r="AV128" s="1">
        <v>38.0</v>
      </c>
      <c r="AW128" s="1">
        <v>124.0</v>
      </c>
      <c r="AX128" s="1">
        <v>5599.0</v>
      </c>
      <c r="AY128" s="1">
        <v>41.0</v>
      </c>
      <c r="AZ128" s="1" t="s">
        <v>133</v>
      </c>
      <c r="BA128" s="1" t="s">
        <v>121</v>
      </c>
    </row>
    <row r="129">
      <c r="A129" s="1" t="s">
        <v>195</v>
      </c>
      <c r="B129" s="1" t="s">
        <v>53</v>
      </c>
      <c r="C129" s="1">
        <v>2002.0</v>
      </c>
      <c r="D129" s="1" t="s">
        <v>196</v>
      </c>
      <c r="E129" s="1" t="s">
        <v>197</v>
      </c>
      <c r="F129" s="1" t="s">
        <v>198</v>
      </c>
      <c r="G129" s="1" t="s">
        <v>199</v>
      </c>
      <c r="H129" s="1" t="s">
        <v>200</v>
      </c>
      <c r="I129" s="1">
        <v>48.0</v>
      </c>
      <c r="J129" s="1">
        <v>4.0</v>
      </c>
      <c r="K129" s="2" t="s">
        <v>201</v>
      </c>
      <c r="L129" s="2" t="s">
        <v>60</v>
      </c>
      <c r="M129" s="1" t="s">
        <v>671</v>
      </c>
      <c r="N129" s="1" t="s">
        <v>62</v>
      </c>
      <c r="O129" s="1" t="s">
        <v>187</v>
      </c>
      <c r="P129" s="1" t="s">
        <v>216</v>
      </c>
      <c r="Q129" s="1">
        <v>17.986626</v>
      </c>
      <c r="R129" s="1">
        <v>-88.417657</v>
      </c>
      <c r="S129" s="1" t="s">
        <v>114</v>
      </c>
      <c r="T129" s="2" t="s">
        <v>189</v>
      </c>
      <c r="U129" s="1" t="s">
        <v>276</v>
      </c>
      <c r="V129" s="3" t="s">
        <v>277</v>
      </c>
      <c r="W129" s="1" t="s">
        <v>666</v>
      </c>
      <c r="X129" s="1" t="s">
        <v>70</v>
      </c>
      <c r="Y129" s="6" t="s">
        <v>76</v>
      </c>
      <c r="Z129" s="3" t="s">
        <v>76</v>
      </c>
      <c r="AD129" s="1">
        <v>14.0</v>
      </c>
      <c r="AJ129" s="1">
        <v>1855.0</v>
      </c>
      <c r="AK129" s="1">
        <v>1998.0</v>
      </c>
      <c r="AL129" s="2" t="s">
        <v>153</v>
      </c>
      <c r="AM129" s="2" t="s">
        <v>60</v>
      </c>
      <c r="AN129" s="2" t="s">
        <v>72</v>
      </c>
      <c r="AO129" s="2" t="s">
        <v>101</v>
      </c>
      <c r="AQ129" s="2" t="s">
        <v>75</v>
      </c>
      <c r="AR129" s="2" t="s">
        <v>76</v>
      </c>
      <c r="AS129" s="1">
        <v>1575.0</v>
      </c>
      <c r="AT129" s="1">
        <v>1575.0</v>
      </c>
      <c r="AU129" s="1">
        <v>608.0</v>
      </c>
      <c r="AV129" s="1">
        <v>40.0</v>
      </c>
      <c r="AW129" s="1">
        <v>126.0</v>
      </c>
      <c r="AX129" s="1">
        <v>5511.0</v>
      </c>
      <c r="AY129" s="1">
        <v>18.0</v>
      </c>
      <c r="AZ129" s="1" t="s">
        <v>133</v>
      </c>
      <c r="BA129" s="1" t="s">
        <v>121</v>
      </c>
    </row>
    <row r="130">
      <c r="A130" s="1" t="s">
        <v>647</v>
      </c>
      <c r="B130" s="1" t="s">
        <v>53</v>
      </c>
      <c r="C130" s="1">
        <v>2017.0</v>
      </c>
      <c r="D130" s="1" t="s">
        <v>648</v>
      </c>
      <c r="E130" s="1" t="s">
        <v>649</v>
      </c>
      <c r="F130" s="1" t="s">
        <v>650</v>
      </c>
      <c r="G130" s="1" t="s">
        <v>651</v>
      </c>
      <c r="H130" s="1" t="s">
        <v>652</v>
      </c>
      <c r="I130" s="1">
        <v>106.0</v>
      </c>
      <c r="J130" s="1">
        <v>1.0</v>
      </c>
      <c r="K130" s="2" t="s">
        <v>653</v>
      </c>
      <c r="L130" s="2" t="s">
        <v>60</v>
      </c>
      <c r="M130" s="1" t="s">
        <v>672</v>
      </c>
      <c r="N130" s="1" t="s">
        <v>62</v>
      </c>
      <c r="O130" s="1" t="s">
        <v>187</v>
      </c>
      <c r="P130" s="1" t="s">
        <v>673</v>
      </c>
      <c r="Q130" s="1">
        <v>17.119889</v>
      </c>
      <c r="R130" s="1">
        <v>-88.300611</v>
      </c>
      <c r="S130" s="1" t="s">
        <v>674</v>
      </c>
      <c r="T130" s="2" t="s">
        <v>275</v>
      </c>
      <c r="U130" s="1" t="s">
        <v>656</v>
      </c>
      <c r="V130" s="3" t="s">
        <v>97</v>
      </c>
      <c r="W130" s="1" t="s">
        <v>278</v>
      </c>
      <c r="X130" s="1" t="s">
        <v>279</v>
      </c>
      <c r="Y130" s="6" t="s">
        <v>76</v>
      </c>
      <c r="Z130" s="3" t="s">
        <v>76</v>
      </c>
      <c r="AB130" s="1">
        <v>2.0</v>
      </c>
      <c r="AI130" s="1" t="s">
        <v>675</v>
      </c>
      <c r="AJ130" s="2" t="s">
        <v>72</v>
      </c>
      <c r="AK130" s="2" t="s">
        <v>72</v>
      </c>
      <c r="AL130" s="2" t="s">
        <v>100</v>
      </c>
      <c r="AM130" s="2" t="s">
        <v>76</v>
      </c>
      <c r="AN130" s="2" t="s">
        <v>524</v>
      </c>
      <c r="AO130" s="2" t="s">
        <v>72</v>
      </c>
      <c r="AQ130" s="2" t="s">
        <v>75</v>
      </c>
      <c r="AR130" s="2" t="s">
        <v>76</v>
      </c>
      <c r="AS130" s="1">
        <v>2143.0</v>
      </c>
      <c r="AT130" s="1">
        <v>2143.0</v>
      </c>
      <c r="AU130" s="1">
        <v>827.0</v>
      </c>
      <c r="AV130" s="1">
        <v>54.0</v>
      </c>
      <c r="AW130" s="1">
        <v>177.0</v>
      </c>
      <c r="AX130" s="1">
        <v>5251.0</v>
      </c>
      <c r="AY130" s="1">
        <v>3.0</v>
      </c>
      <c r="AZ130" s="1" t="s">
        <v>133</v>
      </c>
      <c r="BA130" s="1" t="s">
        <v>121</v>
      </c>
    </row>
    <row r="131">
      <c r="A131" s="1" t="s">
        <v>647</v>
      </c>
      <c r="B131" s="1" t="s">
        <v>53</v>
      </c>
      <c r="C131" s="1">
        <v>2017.0</v>
      </c>
      <c r="D131" s="1" t="s">
        <v>648</v>
      </c>
      <c r="E131" s="1" t="s">
        <v>649</v>
      </c>
      <c r="F131" s="1" t="s">
        <v>650</v>
      </c>
      <c r="G131" s="1" t="s">
        <v>651</v>
      </c>
      <c r="H131" s="1" t="s">
        <v>652</v>
      </c>
      <c r="I131" s="1">
        <v>106.0</v>
      </c>
      <c r="J131" s="1">
        <v>1.0</v>
      </c>
      <c r="K131" s="2" t="s">
        <v>653</v>
      </c>
      <c r="L131" s="2" t="s">
        <v>60</v>
      </c>
      <c r="M131" s="1" t="s">
        <v>676</v>
      </c>
      <c r="N131" s="1" t="s">
        <v>62</v>
      </c>
      <c r="O131" s="1" t="s">
        <v>187</v>
      </c>
      <c r="P131" s="1" t="s">
        <v>673</v>
      </c>
      <c r="Q131" s="1">
        <v>17.119833</v>
      </c>
      <c r="R131" s="1">
        <v>-88.3</v>
      </c>
      <c r="S131" s="1" t="s">
        <v>674</v>
      </c>
      <c r="T131" s="2" t="s">
        <v>275</v>
      </c>
      <c r="U131" s="1" t="s">
        <v>656</v>
      </c>
      <c r="V131" s="3" t="s">
        <v>97</v>
      </c>
      <c r="W131" s="1" t="s">
        <v>278</v>
      </c>
      <c r="X131" s="1" t="s">
        <v>279</v>
      </c>
      <c r="Y131" s="6" t="s">
        <v>76</v>
      </c>
      <c r="Z131" s="3" t="s">
        <v>76</v>
      </c>
      <c r="AB131" s="1">
        <v>3.0</v>
      </c>
      <c r="AI131" s="1" t="s">
        <v>657</v>
      </c>
      <c r="AJ131" s="2" t="s">
        <v>72</v>
      </c>
      <c r="AK131" s="2" t="s">
        <v>72</v>
      </c>
      <c r="AL131" s="2" t="s">
        <v>100</v>
      </c>
      <c r="AM131" s="2" t="s">
        <v>76</v>
      </c>
      <c r="AN131" s="2" t="s">
        <v>524</v>
      </c>
      <c r="AO131" s="2" t="s">
        <v>72</v>
      </c>
      <c r="AQ131" s="2" t="s">
        <v>75</v>
      </c>
      <c r="AR131" s="2" t="s">
        <v>76</v>
      </c>
      <c r="AS131" s="1">
        <v>2143.0</v>
      </c>
      <c r="AT131" s="1">
        <v>2143.0</v>
      </c>
      <c r="AU131" s="1">
        <v>827.0</v>
      </c>
      <c r="AV131" s="1">
        <v>54.0</v>
      </c>
      <c r="AW131" s="1">
        <v>177.0</v>
      </c>
      <c r="AX131" s="1">
        <v>5251.0</v>
      </c>
      <c r="AY131" s="1">
        <v>3.0</v>
      </c>
      <c r="AZ131" s="1" t="s">
        <v>133</v>
      </c>
      <c r="BA131" s="1" t="s">
        <v>121</v>
      </c>
    </row>
    <row r="132">
      <c r="A132" s="1" t="s">
        <v>647</v>
      </c>
      <c r="B132" s="1" t="s">
        <v>53</v>
      </c>
      <c r="C132" s="1">
        <v>2017.0</v>
      </c>
      <c r="D132" s="1" t="s">
        <v>648</v>
      </c>
      <c r="E132" s="1" t="s">
        <v>649</v>
      </c>
      <c r="F132" s="1" t="s">
        <v>650</v>
      </c>
      <c r="G132" s="1" t="s">
        <v>651</v>
      </c>
      <c r="H132" s="1" t="s">
        <v>652</v>
      </c>
      <c r="I132" s="1">
        <v>106.0</v>
      </c>
      <c r="J132" s="1">
        <v>1.0</v>
      </c>
      <c r="K132" s="2" t="s">
        <v>653</v>
      </c>
      <c r="L132" s="2" t="s">
        <v>60</v>
      </c>
      <c r="M132" s="1" t="s">
        <v>677</v>
      </c>
      <c r="N132" s="1" t="s">
        <v>62</v>
      </c>
      <c r="O132" s="1" t="s">
        <v>187</v>
      </c>
      <c r="P132" s="1" t="s">
        <v>673</v>
      </c>
      <c r="Q132" s="1">
        <v>17.119611</v>
      </c>
      <c r="R132" s="1">
        <v>-88.301833</v>
      </c>
      <c r="S132" s="1" t="s">
        <v>674</v>
      </c>
      <c r="T132" s="2" t="s">
        <v>275</v>
      </c>
      <c r="U132" s="1" t="s">
        <v>656</v>
      </c>
      <c r="V132" s="3" t="s">
        <v>97</v>
      </c>
      <c r="W132" s="1" t="s">
        <v>278</v>
      </c>
      <c r="X132" s="1" t="s">
        <v>279</v>
      </c>
      <c r="Y132" s="6" t="s">
        <v>76</v>
      </c>
      <c r="Z132" s="3" t="s">
        <v>76</v>
      </c>
      <c r="AB132" s="1">
        <v>1.0</v>
      </c>
      <c r="AI132" s="1" t="s">
        <v>675</v>
      </c>
      <c r="AJ132" s="2" t="s">
        <v>72</v>
      </c>
      <c r="AK132" s="2" t="s">
        <v>72</v>
      </c>
      <c r="AL132" s="2" t="s">
        <v>100</v>
      </c>
      <c r="AM132" s="2" t="s">
        <v>76</v>
      </c>
      <c r="AN132" s="2" t="s">
        <v>524</v>
      </c>
      <c r="AO132" s="2" t="s">
        <v>72</v>
      </c>
      <c r="AQ132" s="2" t="s">
        <v>75</v>
      </c>
      <c r="AR132" s="2" t="s">
        <v>76</v>
      </c>
      <c r="AS132" s="1">
        <v>2143.0</v>
      </c>
      <c r="AT132" s="1">
        <v>2143.0</v>
      </c>
      <c r="AU132" s="1">
        <v>827.0</v>
      </c>
      <c r="AV132" s="1">
        <v>54.0</v>
      </c>
      <c r="AW132" s="1">
        <v>177.0</v>
      </c>
      <c r="AX132" s="1">
        <v>5251.0</v>
      </c>
      <c r="AY132" s="1">
        <v>3.0</v>
      </c>
      <c r="AZ132" s="1" t="s">
        <v>133</v>
      </c>
      <c r="BA132" s="1" t="s">
        <v>121</v>
      </c>
    </row>
    <row r="133">
      <c r="A133" s="1" t="s">
        <v>647</v>
      </c>
      <c r="B133" s="1" t="s">
        <v>53</v>
      </c>
      <c r="C133" s="1">
        <v>2017.0</v>
      </c>
      <c r="D133" s="1" t="s">
        <v>648</v>
      </c>
      <c r="E133" s="1" t="s">
        <v>649</v>
      </c>
      <c r="F133" s="1" t="s">
        <v>650</v>
      </c>
      <c r="G133" s="1" t="s">
        <v>651</v>
      </c>
      <c r="H133" s="1" t="s">
        <v>652</v>
      </c>
      <c r="I133" s="1">
        <v>106.0</v>
      </c>
      <c r="J133" s="1">
        <v>1.0</v>
      </c>
      <c r="K133" s="2" t="s">
        <v>653</v>
      </c>
      <c r="L133" s="2" t="s">
        <v>60</v>
      </c>
      <c r="M133" s="1" t="s">
        <v>678</v>
      </c>
      <c r="N133" s="1" t="s">
        <v>62</v>
      </c>
      <c r="O133" s="1" t="s">
        <v>187</v>
      </c>
      <c r="P133" s="1" t="s">
        <v>673</v>
      </c>
      <c r="Q133" s="1">
        <v>17.119583</v>
      </c>
      <c r="R133" s="1">
        <v>-88.301528</v>
      </c>
      <c r="S133" s="1" t="s">
        <v>674</v>
      </c>
      <c r="T133" s="2" t="s">
        <v>275</v>
      </c>
      <c r="U133" s="1" t="s">
        <v>656</v>
      </c>
      <c r="V133" s="3" t="s">
        <v>97</v>
      </c>
      <c r="W133" s="1" t="s">
        <v>278</v>
      </c>
      <c r="X133" s="1" t="s">
        <v>279</v>
      </c>
      <c r="Y133" s="6" t="s">
        <v>76</v>
      </c>
      <c r="Z133" s="3" t="s">
        <v>76</v>
      </c>
      <c r="AB133" s="1">
        <v>2.0</v>
      </c>
      <c r="AI133" s="1" t="s">
        <v>675</v>
      </c>
      <c r="AJ133" s="2" t="s">
        <v>72</v>
      </c>
      <c r="AK133" s="2" t="s">
        <v>72</v>
      </c>
      <c r="AL133" s="2" t="s">
        <v>100</v>
      </c>
      <c r="AM133" s="2" t="s">
        <v>76</v>
      </c>
      <c r="AN133" s="2" t="s">
        <v>524</v>
      </c>
      <c r="AO133" s="2" t="s">
        <v>72</v>
      </c>
      <c r="AQ133" s="2" t="s">
        <v>75</v>
      </c>
      <c r="AR133" s="2" t="s">
        <v>76</v>
      </c>
      <c r="AS133" s="1">
        <v>2143.0</v>
      </c>
      <c r="AT133" s="1">
        <v>2143.0</v>
      </c>
      <c r="AU133" s="1">
        <v>827.0</v>
      </c>
      <c r="AV133" s="1">
        <v>54.0</v>
      </c>
      <c r="AW133" s="1">
        <v>177.0</v>
      </c>
      <c r="AX133" s="1">
        <v>5251.0</v>
      </c>
      <c r="AY133" s="1">
        <v>3.0</v>
      </c>
      <c r="AZ133" s="1" t="s">
        <v>133</v>
      </c>
      <c r="BA133" s="1" t="s">
        <v>121</v>
      </c>
    </row>
    <row r="134">
      <c r="A134" s="1" t="s">
        <v>647</v>
      </c>
      <c r="B134" s="1" t="s">
        <v>53</v>
      </c>
      <c r="C134" s="1">
        <v>2017.0</v>
      </c>
      <c r="D134" s="1" t="s">
        <v>648</v>
      </c>
      <c r="E134" s="1" t="s">
        <v>649</v>
      </c>
      <c r="F134" s="1" t="s">
        <v>650</v>
      </c>
      <c r="G134" s="1" t="s">
        <v>651</v>
      </c>
      <c r="H134" s="1" t="s">
        <v>652</v>
      </c>
      <c r="I134" s="1">
        <v>106.0</v>
      </c>
      <c r="J134" s="1">
        <v>1.0</v>
      </c>
      <c r="K134" s="2" t="s">
        <v>653</v>
      </c>
      <c r="L134" s="2" t="s">
        <v>60</v>
      </c>
      <c r="M134" s="1" t="s">
        <v>679</v>
      </c>
      <c r="N134" s="1" t="s">
        <v>62</v>
      </c>
      <c r="O134" s="1" t="s">
        <v>187</v>
      </c>
      <c r="P134" s="1" t="s">
        <v>680</v>
      </c>
      <c r="Q134" s="1">
        <v>17.060444</v>
      </c>
      <c r="R134" s="1">
        <v>-88.253278</v>
      </c>
      <c r="S134" s="1" t="s">
        <v>148</v>
      </c>
      <c r="T134" s="2" t="s">
        <v>275</v>
      </c>
      <c r="U134" s="1" t="s">
        <v>656</v>
      </c>
      <c r="V134" s="3" t="s">
        <v>97</v>
      </c>
      <c r="W134" s="1" t="s">
        <v>278</v>
      </c>
      <c r="X134" s="1" t="s">
        <v>279</v>
      </c>
      <c r="Y134" s="6" t="s">
        <v>76</v>
      </c>
      <c r="Z134" s="3" t="s">
        <v>76</v>
      </c>
      <c r="AB134" s="1">
        <v>2.0</v>
      </c>
      <c r="AI134" s="1" t="s">
        <v>663</v>
      </c>
      <c r="AJ134" s="2" t="s">
        <v>72</v>
      </c>
      <c r="AK134" s="2" t="s">
        <v>72</v>
      </c>
      <c r="AL134" s="2" t="s">
        <v>100</v>
      </c>
      <c r="AM134" s="2" t="s">
        <v>76</v>
      </c>
      <c r="AN134" s="2" t="s">
        <v>524</v>
      </c>
      <c r="AO134" s="2" t="s">
        <v>72</v>
      </c>
      <c r="AQ134" s="2" t="s">
        <v>75</v>
      </c>
      <c r="AR134" s="2" t="s">
        <v>76</v>
      </c>
      <c r="AS134" s="1">
        <v>2197.0</v>
      </c>
      <c r="AT134" s="1">
        <v>2197.0</v>
      </c>
      <c r="AU134" s="1">
        <v>842.0</v>
      </c>
      <c r="AV134" s="1">
        <v>55.0</v>
      </c>
      <c r="AW134" s="1">
        <v>182.0</v>
      </c>
      <c r="AX134" s="1">
        <v>5170.0</v>
      </c>
      <c r="AY134" s="1">
        <v>3.0</v>
      </c>
      <c r="AZ134" s="1" t="s">
        <v>658</v>
      </c>
      <c r="BA134" s="1" t="s">
        <v>659</v>
      </c>
    </row>
    <row r="135">
      <c r="A135" s="1" t="s">
        <v>647</v>
      </c>
      <c r="B135" s="1" t="s">
        <v>53</v>
      </c>
      <c r="C135" s="1">
        <v>2017.0</v>
      </c>
      <c r="D135" s="1" t="s">
        <v>648</v>
      </c>
      <c r="E135" s="1" t="s">
        <v>649</v>
      </c>
      <c r="F135" s="1" t="s">
        <v>650</v>
      </c>
      <c r="G135" s="1" t="s">
        <v>651</v>
      </c>
      <c r="H135" s="1" t="s">
        <v>652</v>
      </c>
      <c r="I135" s="1">
        <v>106.0</v>
      </c>
      <c r="J135" s="1">
        <v>1.0</v>
      </c>
      <c r="K135" s="2" t="s">
        <v>653</v>
      </c>
      <c r="L135" s="2" t="s">
        <v>60</v>
      </c>
      <c r="M135" s="1" t="s">
        <v>681</v>
      </c>
      <c r="N135" s="1" t="s">
        <v>62</v>
      </c>
      <c r="O135" s="1" t="s">
        <v>187</v>
      </c>
      <c r="P135" s="1" t="s">
        <v>680</v>
      </c>
      <c r="Q135" s="1">
        <v>17.057528</v>
      </c>
      <c r="R135" s="1">
        <v>-88.274111</v>
      </c>
      <c r="S135" s="1" t="s">
        <v>148</v>
      </c>
      <c r="T135" s="2" t="s">
        <v>275</v>
      </c>
      <c r="U135" s="1" t="s">
        <v>656</v>
      </c>
      <c r="V135" s="3" t="s">
        <v>97</v>
      </c>
      <c r="W135" s="1" t="s">
        <v>278</v>
      </c>
      <c r="X135" s="1" t="s">
        <v>279</v>
      </c>
      <c r="Y135" s="6" t="s">
        <v>76</v>
      </c>
      <c r="Z135" s="3" t="s">
        <v>76</v>
      </c>
      <c r="AI135" s="2" t="s">
        <v>72</v>
      </c>
      <c r="AJ135" s="2" t="s">
        <v>72</v>
      </c>
      <c r="AK135" s="2" t="s">
        <v>72</v>
      </c>
      <c r="AL135" s="2" t="s">
        <v>100</v>
      </c>
      <c r="AM135" s="2" t="s">
        <v>76</v>
      </c>
      <c r="AN135" s="2" t="s">
        <v>524</v>
      </c>
      <c r="AO135" s="2" t="s">
        <v>72</v>
      </c>
      <c r="AQ135" s="2" t="s">
        <v>75</v>
      </c>
      <c r="AR135" s="2" t="s">
        <v>76</v>
      </c>
      <c r="AS135" s="1">
        <v>2229.0</v>
      </c>
      <c r="AT135" s="1">
        <v>2229.0</v>
      </c>
      <c r="AU135" s="1">
        <v>851.0</v>
      </c>
      <c r="AV135" s="1">
        <v>56.0</v>
      </c>
      <c r="AW135" s="1">
        <v>185.0</v>
      </c>
      <c r="AX135" s="1">
        <v>5127.0</v>
      </c>
      <c r="AY135" s="1">
        <v>1.0</v>
      </c>
      <c r="AZ135" s="1" t="s">
        <v>133</v>
      </c>
      <c r="BA135" s="1" t="s">
        <v>121</v>
      </c>
    </row>
    <row r="136">
      <c r="A136" s="1" t="s">
        <v>195</v>
      </c>
      <c r="B136" s="1" t="s">
        <v>53</v>
      </c>
      <c r="C136" s="1">
        <v>2002.0</v>
      </c>
      <c r="D136" s="1" t="s">
        <v>196</v>
      </c>
      <c r="E136" s="1" t="s">
        <v>197</v>
      </c>
      <c r="F136" s="1" t="s">
        <v>198</v>
      </c>
      <c r="G136" s="1" t="s">
        <v>199</v>
      </c>
      <c r="H136" s="1" t="s">
        <v>200</v>
      </c>
      <c r="I136" s="1">
        <v>48.0</v>
      </c>
      <c r="J136" s="1">
        <v>4.0</v>
      </c>
      <c r="K136" s="2" t="s">
        <v>201</v>
      </c>
      <c r="L136" s="2" t="s">
        <v>60</v>
      </c>
      <c r="M136" s="1" t="s">
        <v>682</v>
      </c>
      <c r="N136" s="1" t="s">
        <v>62</v>
      </c>
      <c r="O136" s="1" t="s">
        <v>187</v>
      </c>
      <c r="P136" s="1" t="s">
        <v>203</v>
      </c>
      <c r="Q136" s="1">
        <v>18.441426</v>
      </c>
      <c r="R136" s="1">
        <v>-88.476495</v>
      </c>
      <c r="S136" s="1" t="s">
        <v>114</v>
      </c>
      <c r="T136" s="2" t="s">
        <v>169</v>
      </c>
      <c r="U136" s="1" t="s">
        <v>276</v>
      </c>
      <c r="V136" s="3" t="s">
        <v>277</v>
      </c>
      <c r="W136" s="1" t="s">
        <v>683</v>
      </c>
      <c r="X136" s="1" t="s">
        <v>684</v>
      </c>
      <c r="Y136" s="6" t="s">
        <v>76</v>
      </c>
      <c r="Z136" s="3" t="s">
        <v>76</v>
      </c>
      <c r="AD136" s="1">
        <v>13.0</v>
      </c>
      <c r="AJ136" s="1">
        <v>1889.0</v>
      </c>
      <c r="AK136" s="1">
        <v>1998.0</v>
      </c>
      <c r="AL136" s="2" t="s">
        <v>153</v>
      </c>
      <c r="AM136" s="2" t="s">
        <v>60</v>
      </c>
      <c r="AN136" s="2" t="s">
        <v>72</v>
      </c>
      <c r="AO136" s="2" t="s">
        <v>101</v>
      </c>
      <c r="AQ136" s="2" t="s">
        <v>75</v>
      </c>
      <c r="AR136" s="2" t="s">
        <v>76</v>
      </c>
      <c r="AS136" s="1">
        <v>1213.0</v>
      </c>
      <c r="AT136" s="1">
        <v>1213.0</v>
      </c>
      <c r="AU136" s="1">
        <v>500.0</v>
      </c>
      <c r="AV136" s="1">
        <v>23.0</v>
      </c>
      <c r="AW136" s="1">
        <v>86.0</v>
      </c>
      <c r="AX136" s="1">
        <v>6265.0</v>
      </c>
      <c r="AY136" s="1">
        <v>3.0</v>
      </c>
      <c r="AZ136" s="1" t="s">
        <v>133</v>
      </c>
      <c r="BA136" s="1" t="s">
        <v>121</v>
      </c>
    </row>
    <row r="137">
      <c r="A137" s="1" t="s">
        <v>195</v>
      </c>
      <c r="B137" s="1" t="s">
        <v>53</v>
      </c>
      <c r="C137" s="1">
        <v>2002.0</v>
      </c>
      <c r="D137" s="1" t="s">
        <v>196</v>
      </c>
      <c r="E137" s="1" t="s">
        <v>197</v>
      </c>
      <c r="F137" s="1" t="s">
        <v>198</v>
      </c>
      <c r="G137" s="1" t="s">
        <v>199</v>
      </c>
      <c r="H137" s="1" t="s">
        <v>200</v>
      </c>
      <c r="I137" s="1">
        <v>48.0</v>
      </c>
      <c r="J137" s="1">
        <v>4.0</v>
      </c>
      <c r="K137" s="2" t="s">
        <v>201</v>
      </c>
      <c r="L137" s="2" t="s">
        <v>60</v>
      </c>
      <c r="M137" s="1" t="s">
        <v>685</v>
      </c>
      <c r="N137" s="1" t="s">
        <v>62</v>
      </c>
      <c r="O137" s="1" t="s">
        <v>187</v>
      </c>
      <c r="P137" s="1" t="s">
        <v>208</v>
      </c>
      <c r="Q137" s="1">
        <v>18.385586</v>
      </c>
      <c r="R137" s="1">
        <v>-88.470017</v>
      </c>
      <c r="S137" s="1" t="s">
        <v>114</v>
      </c>
      <c r="T137" s="2" t="s">
        <v>169</v>
      </c>
      <c r="U137" s="1" t="s">
        <v>276</v>
      </c>
      <c r="V137" s="3" t="s">
        <v>277</v>
      </c>
      <c r="W137" s="1" t="s">
        <v>683</v>
      </c>
      <c r="X137" s="2" t="s">
        <v>684</v>
      </c>
      <c r="Y137" s="6" t="s">
        <v>76</v>
      </c>
      <c r="Z137" s="3" t="s">
        <v>76</v>
      </c>
      <c r="AD137" s="1">
        <v>15.0</v>
      </c>
      <c r="AJ137" s="1">
        <v>1880.0</v>
      </c>
      <c r="AK137" s="1">
        <v>1998.0</v>
      </c>
      <c r="AL137" s="2" t="s">
        <v>153</v>
      </c>
      <c r="AM137" s="2" t="s">
        <v>60</v>
      </c>
      <c r="AN137" s="2" t="s">
        <v>72</v>
      </c>
      <c r="AO137" s="2" t="s">
        <v>101</v>
      </c>
      <c r="AQ137" s="2" t="s">
        <v>75</v>
      </c>
      <c r="AR137" s="2" t="s">
        <v>76</v>
      </c>
      <c r="AS137" s="1">
        <v>1249.0</v>
      </c>
      <c r="AT137" s="1">
        <v>1249.0</v>
      </c>
      <c r="AU137" s="1">
        <v>516.0</v>
      </c>
      <c r="AV137" s="1">
        <v>23.0</v>
      </c>
      <c r="AW137" s="1">
        <v>86.0</v>
      </c>
      <c r="AX137" s="1">
        <v>6353.0</v>
      </c>
      <c r="AY137" s="1">
        <v>14.0</v>
      </c>
      <c r="AZ137" s="1" t="s">
        <v>133</v>
      </c>
      <c r="BA137" s="1" t="s">
        <v>121</v>
      </c>
    </row>
    <row r="138">
      <c r="A138" s="1" t="s">
        <v>195</v>
      </c>
      <c r="B138" s="1" t="s">
        <v>53</v>
      </c>
      <c r="C138" s="1">
        <v>2002.0</v>
      </c>
      <c r="D138" s="1" t="s">
        <v>196</v>
      </c>
      <c r="E138" s="1" t="s">
        <v>197</v>
      </c>
      <c r="F138" s="1" t="s">
        <v>198</v>
      </c>
      <c r="G138" s="1" t="s">
        <v>199</v>
      </c>
      <c r="H138" s="1" t="s">
        <v>200</v>
      </c>
      <c r="I138" s="1">
        <v>48.0</v>
      </c>
      <c r="J138" s="1">
        <v>4.0</v>
      </c>
      <c r="K138" s="2" t="s">
        <v>201</v>
      </c>
      <c r="L138" s="2" t="s">
        <v>60</v>
      </c>
      <c r="M138" s="1" t="s">
        <v>686</v>
      </c>
      <c r="N138" s="1" t="s">
        <v>62</v>
      </c>
      <c r="O138" s="1" t="s">
        <v>187</v>
      </c>
      <c r="P138" s="1" t="s">
        <v>210</v>
      </c>
      <c r="Q138" s="1">
        <v>18.0866</v>
      </c>
      <c r="R138" s="1">
        <v>-88.448328</v>
      </c>
      <c r="S138" s="1" t="s">
        <v>114</v>
      </c>
      <c r="T138" s="2" t="s">
        <v>169</v>
      </c>
      <c r="U138" s="1" t="s">
        <v>276</v>
      </c>
      <c r="V138" s="3" t="s">
        <v>277</v>
      </c>
      <c r="W138" s="1" t="s">
        <v>683</v>
      </c>
      <c r="X138" s="2" t="s">
        <v>684</v>
      </c>
      <c r="Y138" s="6" t="s">
        <v>76</v>
      </c>
      <c r="Z138" s="3" t="s">
        <v>76</v>
      </c>
      <c r="AD138" s="1">
        <v>15.0</v>
      </c>
      <c r="AJ138" s="1">
        <v>1898.0</v>
      </c>
      <c r="AK138" s="1">
        <v>1998.0</v>
      </c>
      <c r="AL138" s="2" t="s">
        <v>153</v>
      </c>
      <c r="AM138" s="2" t="s">
        <v>60</v>
      </c>
      <c r="AN138" s="2" t="s">
        <v>72</v>
      </c>
      <c r="AO138" s="2" t="s">
        <v>101</v>
      </c>
      <c r="AQ138" s="2" t="s">
        <v>75</v>
      </c>
      <c r="AR138" s="2" t="s">
        <v>76</v>
      </c>
      <c r="AS138" s="1">
        <v>1484.0</v>
      </c>
      <c r="AT138" s="1">
        <v>1484.0</v>
      </c>
      <c r="AU138" s="1">
        <v>582.0</v>
      </c>
      <c r="AV138" s="1">
        <v>33.0</v>
      </c>
      <c r="AW138" s="1">
        <v>113.0</v>
      </c>
      <c r="AX138" s="1">
        <v>5756.0</v>
      </c>
      <c r="AY138" s="1">
        <v>10.0</v>
      </c>
      <c r="AZ138" s="1" t="s">
        <v>133</v>
      </c>
      <c r="BA138" s="1" t="s">
        <v>121</v>
      </c>
    </row>
    <row r="139">
      <c r="A139" s="1" t="s">
        <v>195</v>
      </c>
      <c r="B139" s="1" t="s">
        <v>53</v>
      </c>
      <c r="C139" s="1">
        <v>2002.0</v>
      </c>
      <c r="D139" s="1" t="s">
        <v>196</v>
      </c>
      <c r="E139" s="1" t="s">
        <v>197</v>
      </c>
      <c r="F139" s="1" t="s">
        <v>198</v>
      </c>
      <c r="G139" s="1" t="s">
        <v>199</v>
      </c>
      <c r="H139" s="1" t="s">
        <v>200</v>
      </c>
      <c r="I139" s="1">
        <v>48.0</v>
      </c>
      <c r="J139" s="1">
        <v>4.0</v>
      </c>
      <c r="K139" s="2" t="s">
        <v>201</v>
      </c>
      <c r="L139" s="2" t="s">
        <v>60</v>
      </c>
      <c r="M139" s="1" t="s">
        <v>687</v>
      </c>
      <c r="N139" s="1" t="s">
        <v>62</v>
      </c>
      <c r="O139" s="1" t="s">
        <v>187</v>
      </c>
      <c r="P139" s="1" t="s">
        <v>212</v>
      </c>
      <c r="Q139" s="1">
        <v>17.98935</v>
      </c>
      <c r="R139" s="1">
        <v>-88.466374</v>
      </c>
      <c r="S139" s="1" t="s">
        <v>114</v>
      </c>
      <c r="T139" s="2" t="s">
        <v>169</v>
      </c>
      <c r="U139" s="1" t="s">
        <v>276</v>
      </c>
      <c r="V139" s="3" t="s">
        <v>277</v>
      </c>
      <c r="W139" s="1" t="s">
        <v>683</v>
      </c>
      <c r="X139" s="2" t="s">
        <v>684</v>
      </c>
      <c r="Y139" s="6" t="s">
        <v>76</v>
      </c>
      <c r="Z139" s="3" t="s">
        <v>76</v>
      </c>
      <c r="AD139" s="1">
        <v>13.0</v>
      </c>
      <c r="AJ139" s="1">
        <v>1857.0</v>
      </c>
      <c r="AK139" s="1">
        <v>1998.0</v>
      </c>
      <c r="AL139" s="2" t="s">
        <v>153</v>
      </c>
      <c r="AM139" s="2" t="s">
        <v>60</v>
      </c>
      <c r="AN139" s="2" t="s">
        <v>72</v>
      </c>
      <c r="AO139" s="2" t="s">
        <v>101</v>
      </c>
      <c r="AQ139" s="2" t="s">
        <v>75</v>
      </c>
      <c r="AR139" s="2" t="s">
        <v>76</v>
      </c>
      <c r="AS139" s="1">
        <v>1563.0</v>
      </c>
      <c r="AT139" s="1">
        <v>1563.0</v>
      </c>
      <c r="AU139" s="1">
        <v>606.0</v>
      </c>
      <c r="AV139" s="1">
        <v>40.0</v>
      </c>
      <c r="AW139" s="1">
        <v>126.0</v>
      </c>
      <c r="AX139" s="1">
        <v>5565.0</v>
      </c>
      <c r="AY139" s="1">
        <v>20.0</v>
      </c>
      <c r="AZ139" s="1" t="s">
        <v>133</v>
      </c>
      <c r="BA139" s="1" t="s">
        <v>121</v>
      </c>
    </row>
    <row r="140">
      <c r="A140" s="1" t="s">
        <v>195</v>
      </c>
      <c r="B140" s="1" t="s">
        <v>53</v>
      </c>
      <c r="C140" s="1">
        <v>2002.0</v>
      </c>
      <c r="D140" s="1" t="s">
        <v>196</v>
      </c>
      <c r="E140" s="1" t="s">
        <v>197</v>
      </c>
      <c r="F140" s="1" t="s">
        <v>198</v>
      </c>
      <c r="G140" s="1" t="s">
        <v>199</v>
      </c>
      <c r="H140" s="1" t="s">
        <v>200</v>
      </c>
      <c r="I140" s="1">
        <v>48.0</v>
      </c>
      <c r="J140" s="1">
        <v>4.0</v>
      </c>
      <c r="K140" s="2" t="s">
        <v>201</v>
      </c>
      <c r="L140" s="2" t="s">
        <v>60</v>
      </c>
      <c r="M140" s="1" t="s">
        <v>688</v>
      </c>
      <c r="N140" s="1" t="s">
        <v>62</v>
      </c>
      <c r="O140" s="1" t="s">
        <v>187</v>
      </c>
      <c r="P140" s="1" t="s">
        <v>214</v>
      </c>
      <c r="Q140" s="1">
        <v>17.988299</v>
      </c>
      <c r="R140" s="1">
        <v>-88.511265</v>
      </c>
      <c r="S140" s="1" t="s">
        <v>114</v>
      </c>
      <c r="T140" s="2" t="s">
        <v>169</v>
      </c>
      <c r="U140" s="1" t="s">
        <v>276</v>
      </c>
      <c r="V140" s="3" t="s">
        <v>277</v>
      </c>
      <c r="W140" s="1" t="s">
        <v>683</v>
      </c>
      <c r="X140" s="2" t="s">
        <v>684</v>
      </c>
      <c r="Y140" s="6" t="s">
        <v>76</v>
      </c>
      <c r="Z140" s="3" t="s">
        <v>76</v>
      </c>
      <c r="AD140" s="1">
        <v>13.0</v>
      </c>
      <c r="AJ140" s="1">
        <v>1868.0</v>
      </c>
      <c r="AK140" s="1">
        <v>1998.0</v>
      </c>
      <c r="AL140" s="2" t="s">
        <v>153</v>
      </c>
      <c r="AM140" s="2" t="s">
        <v>60</v>
      </c>
      <c r="AN140" s="2" t="s">
        <v>72</v>
      </c>
      <c r="AO140" s="2" t="s">
        <v>101</v>
      </c>
      <c r="AQ140" s="2" t="s">
        <v>75</v>
      </c>
      <c r="AR140" s="2" t="s">
        <v>76</v>
      </c>
      <c r="AS140" s="1">
        <v>1550.0</v>
      </c>
      <c r="AT140" s="1">
        <v>1550.0</v>
      </c>
      <c r="AU140" s="1">
        <v>608.0</v>
      </c>
      <c r="AV140" s="1">
        <v>38.0</v>
      </c>
      <c r="AW140" s="1">
        <v>124.0</v>
      </c>
      <c r="AX140" s="1">
        <v>5599.0</v>
      </c>
      <c r="AY140" s="1">
        <v>41.0</v>
      </c>
      <c r="AZ140" s="1" t="s">
        <v>133</v>
      </c>
      <c r="BA140" s="1" t="s">
        <v>121</v>
      </c>
    </row>
    <row r="141">
      <c r="A141" s="1" t="s">
        <v>195</v>
      </c>
      <c r="B141" s="1" t="s">
        <v>53</v>
      </c>
      <c r="C141" s="1">
        <v>2002.0</v>
      </c>
      <c r="D141" s="1" t="s">
        <v>196</v>
      </c>
      <c r="E141" s="1" t="s">
        <v>197</v>
      </c>
      <c r="F141" s="1" t="s">
        <v>198</v>
      </c>
      <c r="G141" s="1" t="s">
        <v>199</v>
      </c>
      <c r="H141" s="1" t="s">
        <v>200</v>
      </c>
      <c r="I141" s="1">
        <v>48.0</v>
      </c>
      <c r="J141" s="1">
        <v>4.0</v>
      </c>
      <c r="K141" s="2" t="s">
        <v>201</v>
      </c>
      <c r="L141" s="2" t="s">
        <v>60</v>
      </c>
      <c r="M141" s="1" t="s">
        <v>689</v>
      </c>
      <c r="N141" s="1" t="s">
        <v>62</v>
      </c>
      <c r="O141" s="1" t="s">
        <v>187</v>
      </c>
      <c r="P141" s="1" t="s">
        <v>216</v>
      </c>
      <c r="Q141" s="1">
        <v>17.986626</v>
      </c>
      <c r="R141" s="1">
        <v>-88.417657</v>
      </c>
      <c r="S141" s="1" t="s">
        <v>114</v>
      </c>
      <c r="T141" s="2" t="s">
        <v>169</v>
      </c>
      <c r="U141" s="1" t="s">
        <v>276</v>
      </c>
      <c r="V141" s="3" t="s">
        <v>277</v>
      </c>
      <c r="W141" s="1" t="s">
        <v>683</v>
      </c>
      <c r="X141" s="2" t="s">
        <v>684</v>
      </c>
      <c r="Y141" s="6" t="s">
        <v>76</v>
      </c>
      <c r="Z141" s="3" t="s">
        <v>76</v>
      </c>
      <c r="AD141" s="1">
        <v>14.0</v>
      </c>
      <c r="AJ141" s="1">
        <v>1855.0</v>
      </c>
      <c r="AK141" s="1">
        <v>1998.0</v>
      </c>
      <c r="AL141" s="2" t="s">
        <v>153</v>
      </c>
      <c r="AM141" s="2" t="s">
        <v>60</v>
      </c>
      <c r="AN141" s="2" t="s">
        <v>72</v>
      </c>
      <c r="AO141" s="2" t="s">
        <v>101</v>
      </c>
      <c r="AQ141" s="2" t="s">
        <v>75</v>
      </c>
      <c r="AR141" s="2" t="s">
        <v>76</v>
      </c>
      <c r="AS141" s="1">
        <v>1575.0</v>
      </c>
      <c r="AT141" s="1">
        <v>1575.0</v>
      </c>
      <c r="AU141" s="1">
        <v>608.0</v>
      </c>
      <c r="AV141" s="1">
        <v>40.0</v>
      </c>
      <c r="AW141" s="1">
        <v>126.0</v>
      </c>
      <c r="AX141" s="1">
        <v>5511.0</v>
      </c>
      <c r="AY141" s="1">
        <v>18.0</v>
      </c>
      <c r="AZ141" s="1" t="s">
        <v>133</v>
      </c>
      <c r="BA141" s="1" t="s">
        <v>121</v>
      </c>
    </row>
    <row r="142">
      <c r="A142" s="1" t="s">
        <v>647</v>
      </c>
      <c r="B142" s="1" t="s">
        <v>53</v>
      </c>
      <c r="C142" s="1">
        <v>2017.0</v>
      </c>
      <c r="D142" s="1" t="s">
        <v>648</v>
      </c>
      <c r="E142" s="1" t="s">
        <v>649</v>
      </c>
      <c r="F142" s="1" t="s">
        <v>650</v>
      </c>
      <c r="G142" s="1" t="s">
        <v>651</v>
      </c>
      <c r="H142" s="1" t="s">
        <v>652</v>
      </c>
      <c r="I142" s="1">
        <v>106.0</v>
      </c>
      <c r="J142" s="1">
        <v>1.0</v>
      </c>
      <c r="K142" s="2" t="s">
        <v>653</v>
      </c>
      <c r="L142" s="2" t="s">
        <v>60</v>
      </c>
      <c r="M142" s="1" t="s">
        <v>690</v>
      </c>
      <c r="N142" s="1" t="s">
        <v>62</v>
      </c>
      <c r="O142" s="1" t="s">
        <v>187</v>
      </c>
      <c r="P142" s="1" t="s">
        <v>680</v>
      </c>
      <c r="Q142" s="1">
        <v>17.057139</v>
      </c>
      <c r="R142" s="1">
        <v>-88.256167</v>
      </c>
      <c r="S142" s="1" t="s">
        <v>148</v>
      </c>
      <c r="T142" s="2" t="s">
        <v>275</v>
      </c>
      <c r="U142" s="1" t="s">
        <v>656</v>
      </c>
      <c r="V142" s="3" t="s">
        <v>97</v>
      </c>
      <c r="W142" s="1" t="s">
        <v>278</v>
      </c>
      <c r="X142" s="1" t="s">
        <v>279</v>
      </c>
      <c r="Y142" s="6" t="s">
        <v>76</v>
      </c>
      <c r="Z142" s="3" t="s">
        <v>76</v>
      </c>
      <c r="AB142" s="1">
        <v>3.0</v>
      </c>
      <c r="AI142" s="1" t="s">
        <v>657</v>
      </c>
      <c r="AJ142" s="2" t="s">
        <v>72</v>
      </c>
      <c r="AK142" s="2" t="s">
        <v>72</v>
      </c>
      <c r="AL142" s="2" t="s">
        <v>100</v>
      </c>
      <c r="AM142" s="2" t="s">
        <v>76</v>
      </c>
      <c r="AN142" s="2" t="s">
        <v>524</v>
      </c>
      <c r="AO142" s="2" t="s">
        <v>72</v>
      </c>
      <c r="AQ142" s="2" t="s">
        <v>75</v>
      </c>
      <c r="AR142" s="2" t="s">
        <v>76</v>
      </c>
      <c r="AS142" s="1">
        <v>2205.0</v>
      </c>
      <c r="AT142" s="1">
        <v>2205.0</v>
      </c>
      <c r="AU142" s="1">
        <v>846.0</v>
      </c>
      <c r="AV142" s="1">
        <v>56.0</v>
      </c>
      <c r="AW142" s="1">
        <v>184.0</v>
      </c>
      <c r="AX142" s="1">
        <v>5151.0</v>
      </c>
      <c r="AY142" s="1">
        <v>2.0</v>
      </c>
      <c r="AZ142" s="1" t="s">
        <v>658</v>
      </c>
      <c r="BA142" s="1" t="s">
        <v>659</v>
      </c>
    </row>
    <row r="143">
      <c r="A143" s="1" t="s">
        <v>647</v>
      </c>
      <c r="B143" s="1" t="s">
        <v>53</v>
      </c>
      <c r="C143" s="1">
        <v>2017.0</v>
      </c>
      <c r="D143" s="1" t="s">
        <v>648</v>
      </c>
      <c r="E143" s="1" t="s">
        <v>649</v>
      </c>
      <c r="F143" s="1" t="s">
        <v>650</v>
      </c>
      <c r="G143" s="1" t="s">
        <v>651</v>
      </c>
      <c r="H143" s="1" t="s">
        <v>652</v>
      </c>
      <c r="I143" s="1">
        <v>106.0</v>
      </c>
      <c r="J143" s="1">
        <v>1.0</v>
      </c>
      <c r="K143" s="2" t="s">
        <v>653</v>
      </c>
      <c r="L143" s="2" t="s">
        <v>60</v>
      </c>
      <c r="M143" s="1" t="s">
        <v>691</v>
      </c>
      <c r="N143" s="1" t="s">
        <v>62</v>
      </c>
      <c r="O143" s="1" t="s">
        <v>187</v>
      </c>
      <c r="P143" s="1" t="s">
        <v>680</v>
      </c>
      <c r="Q143" s="1">
        <v>17.05425</v>
      </c>
      <c r="R143" s="1">
        <v>-88.243861</v>
      </c>
      <c r="S143" s="1" t="s">
        <v>148</v>
      </c>
      <c r="T143" s="2" t="s">
        <v>275</v>
      </c>
      <c r="U143" s="1" t="s">
        <v>656</v>
      </c>
      <c r="V143" s="3" t="s">
        <v>97</v>
      </c>
      <c r="W143" s="1" t="s">
        <v>278</v>
      </c>
      <c r="X143" s="1" t="s">
        <v>279</v>
      </c>
      <c r="Y143" s="6" t="s">
        <v>76</v>
      </c>
      <c r="Z143" s="3" t="s">
        <v>76</v>
      </c>
      <c r="AB143" s="1">
        <v>4.0</v>
      </c>
      <c r="AI143" s="1" t="s">
        <v>692</v>
      </c>
      <c r="AJ143" s="2" t="s">
        <v>72</v>
      </c>
      <c r="AK143" s="2" t="s">
        <v>72</v>
      </c>
      <c r="AL143" s="2" t="s">
        <v>100</v>
      </c>
      <c r="AM143" s="2" t="s">
        <v>76</v>
      </c>
      <c r="AN143" s="2" t="s">
        <v>524</v>
      </c>
      <c r="AO143" s="2" t="s">
        <v>72</v>
      </c>
      <c r="AQ143" s="2" t="s">
        <v>75</v>
      </c>
      <c r="AR143" s="2" t="s">
        <v>76</v>
      </c>
      <c r="AS143" s="1">
        <v>2193.0</v>
      </c>
      <c r="AT143" s="1">
        <v>2193.0</v>
      </c>
      <c r="AU143" s="1">
        <v>842.0</v>
      </c>
      <c r="AV143" s="1">
        <v>55.0</v>
      </c>
      <c r="AW143" s="1">
        <v>182.0</v>
      </c>
      <c r="AX143" s="1">
        <v>5158.0</v>
      </c>
      <c r="AY143" s="1">
        <v>2.0</v>
      </c>
      <c r="AZ143" s="1" t="s">
        <v>658</v>
      </c>
      <c r="BA143" s="1" t="s">
        <v>659</v>
      </c>
    </row>
    <row r="144">
      <c r="A144" s="1" t="s">
        <v>647</v>
      </c>
      <c r="B144" s="1" t="s">
        <v>53</v>
      </c>
      <c r="C144" s="1">
        <v>2017.0</v>
      </c>
      <c r="D144" s="1" t="s">
        <v>648</v>
      </c>
      <c r="E144" s="1" t="s">
        <v>649</v>
      </c>
      <c r="F144" s="1" t="s">
        <v>650</v>
      </c>
      <c r="G144" s="1" t="s">
        <v>651</v>
      </c>
      <c r="H144" s="1" t="s">
        <v>652</v>
      </c>
      <c r="I144" s="1">
        <v>106.0</v>
      </c>
      <c r="J144" s="1">
        <v>1.0</v>
      </c>
      <c r="K144" s="2" t="s">
        <v>653</v>
      </c>
      <c r="L144" s="2" t="s">
        <v>60</v>
      </c>
      <c r="M144" s="1" t="s">
        <v>693</v>
      </c>
      <c r="N144" s="1" t="s">
        <v>62</v>
      </c>
      <c r="O144" s="1" t="s">
        <v>187</v>
      </c>
      <c r="P144" s="1" t="s">
        <v>680</v>
      </c>
      <c r="Q144" s="1">
        <v>17.053583</v>
      </c>
      <c r="R144" s="1">
        <v>-88.270444</v>
      </c>
      <c r="S144" s="1" t="s">
        <v>148</v>
      </c>
      <c r="T144" s="2" t="s">
        <v>275</v>
      </c>
      <c r="U144" s="1" t="s">
        <v>656</v>
      </c>
      <c r="V144" s="3" t="s">
        <v>97</v>
      </c>
      <c r="W144" s="1" t="s">
        <v>278</v>
      </c>
      <c r="X144" s="1" t="s">
        <v>279</v>
      </c>
      <c r="Y144" s="6" t="s">
        <v>76</v>
      </c>
      <c r="Z144" s="3" t="s">
        <v>76</v>
      </c>
      <c r="AB144" s="1">
        <v>1.0</v>
      </c>
      <c r="AI144" s="1" t="s">
        <v>663</v>
      </c>
      <c r="AJ144" s="2" t="s">
        <v>72</v>
      </c>
      <c r="AK144" s="2" t="s">
        <v>72</v>
      </c>
      <c r="AL144" s="2" t="s">
        <v>100</v>
      </c>
      <c r="AM144" s="2" t="s">
        <v>76</v>
      </c>
      <c r="AN144" s="2" t="s">
        <v>524</v>
      </c>
      <c r="AO144" s="2" t="s">
        <v>72</v>
      </c>
      <c r="AQ144" s="2" t="s">
        <v>75</v>
      </c>
      <c r="AR144" s="2" t="s">
        <v>76</v>
      </c>
      <c r="AS144" s="1">
        <v>2229.0</v>
      </c>
      <c r="AT144" s="1">
        <v>2229.0</v>
      </c>
      <c r="AU144" s="1">
        <v>851.0</v>
      </c>
      <c r="AV144" s="1">
        <v>56.0</v>
      </c>
      <c r="AW144" s="1">
        <v>185.0</v>
      </c>
      <c r="AX144" s="1">
        <v>5127.0</v>
      </c>
      <c r="AY144" s="1">
        <v>1.0</v>
      </c>
      <c r="AZ144" s="1" t="s">
        <v>133</v>
      </c>
      <c r="BA144" s="1" t="s">
        <v>121</v>
      </c>
    </row>
    <row r="145">
      <c r="A145" s="1" t="s">
        <v>647</v>
      </c>
      <c r="B145" s="1" t="s">
        <v>53</v>
      </c>
      <c r="C145" s="1">
        <v>2017.0</v>
      </c>
      <c r="D145" s="1" t="s">
        <v>648</v>
      </c>
      <c r="E145" s="1" t="s">
        <v>649</v>
      </c>
      <c r="F145" s="1" t="s">
        <v>650</v>
      </c>
      <c r="G145" s="1" t="s">
        <v>651</v>
      </c>
      <c r="H145" s="1" t="s">
        <v>652</v>
      </c>
      <c r="I145" s="1">
        <v>106.0</v>
      </c>
      <c r="J145" s="1">
        <v>1.0</v>
      </c>
      <c r="K145" s="2" t="s">
        <v>653</v>
      </c>
      <c r="L145" s="2" t="s">
        <v>60</v>
      </c>
      <c r="M145" s="1" t="s">
        <v>694</v>
      </c>
      <c r="N145" s="1" t="s">
        <v>62</v>
      </c>
      <c r="O145" s="1" t="s">
        <v>187</v>
      </c>
      <c r="P145" s="1" t="s">
        <v>680</v>
      </c>
      <c r="Q145" s="1">
        <v>17.051194</v>
      </c>
      <c r="R145" s="1">
        <v>-88.263361</v>
      </c>
      <c r="S145" s="1" t="s">
        <v>148</v>
      </c>
      <c r="T145" s="2" t="s">
        <v>275</v>
      </c>
      <c r="U145" s="1" t="s">
        <v>656</v>
      </c>
      <c r="V145" s="3" t="s">
        <v>97</v>
      </c>
      <c r="W145" s="1" t="s">
        <v>278</v>
      </c>
      <c r="X145" s="1" t="s">
        <v>279</v>
      </c>
      <c r="Y145" s="6" t="s">
        <v>76</v>
      </c>
      <c r="Z145" s="3" t="s">
        <v>76</v>
      </c>
      <c r="AB145" s="1">
        <v>3.0</v>
      </c>
      <c r="AI145" s="1" t="s">
        <v>657</v>
      </c>
      <c r="AJ145" s="2" t="s">
        <v>72</v>
      </c>
      <c r="AK145" s="2" t="s">
        <v>72</v>
      </c>
      <c r="AL145" s="2" t="s">
        <v>100</v>
      </c>
      <c r="AM145" s="2" t="s">
        <v>76</v>
      </c>
      <c r="AN145" s="2" t="s">
        <v>524</v>
      </c>
      <c r="AO145" s="2" t="s">
        <v>72</v>
      </c>
      <c r="AQ145" s="2" t="s">
        <v>75</v>
      </c>
      <c r="AR145" s="2" t="s">
        <v>76</v>
      </c>
      <c r="AS145" s="1">
        <v>2212.0</v>
      </c>
      <c r="AT145" s="1">
        <v>2212.0</v>
      </c>
      <c r="AU145" s="1">
        <v>848.0</v>
      </c>
      <c r="AV145" s="1">
        <v>56.0</v>
      </c>
      <c r="AW145" s="1">
        <v>184.0</v>
      </c>
      <c r="AX145" s="1">
        <v>5160.0</v>
      </c>
      <c r="AY145" s="1">
        <v>1.0</v>
      </c>
      <c r="AZ145" s="1" t="s">
        <v>133</v>
      </c>
      <c r="BA145" s="1" t="s">
        <v>121</v>
      </c>
    </row>
    <row r="146">
      <c r="A146" s="1" t="s">
        <v>647</v>
      </c>
      <c r="B146" s="1" t="s">
        <v>53</v>
      </c>
      <c r="C146" s="1">
        <v>2017.0</v>
      </c>
      <c r="D146" s="1" t="s">
        <v>648</v>
      </c>
      <c r="E146" s="1" t="s">
        <v>649</v>
      </c>
      <c r="F146" s="1" t="s">
        <v>650</v>
      </c>
      <c r="G146" s="1" t="s">
        <v>651</v>
      </c>
      <c r="H146" s="1" t="s">
        <v>652</v>
      </c>
      <c r="I146" s="1">
        <v>106.0</v>
      </c>
      <c r="J146" s="1">
        <v>1.0</v>
      </c>
      <c r="K146" s="2" t="s">
        <v>653</v>
      </c>
      <c r="L146" s="2" t="s">
        <v>60</v>
      </c>
      <c r="M146" s="1" t="s">
        <v>695</v>
      </c>
      <c r="N146" s="1" t="s">
        <v>62</v>
      </c>
      <c r="O146" s="1" t="s">
        <v>187</v>
      </c>
      <c r="P146" s="1" t="s">
        <v>696</v>
      </c>
      <c r="Q146" s="1">
        <v>16.902278</v>
      </c>
      <c r="R146" s="1">
        <v>-88.288056</v>
      </c>
      <c r="S146" s="1" t="s">
        <v>148</v>
      </c>
      <c r="T146" s="2" t="s">
        <v>275</v>
      </c>
      <c r="U146" s="1" t="s">
        <v>656</v>
      </c>
      <c r="V146" s="3" t="s">
        <v>97</v>
      </c>
      <c r="W146" s="1" t="s">
        <v>278</v>
      </c>
      <c r="X146" s="1" t="s">
        <v>279</v>
      </c>
      <c r="Y146" s="6" t="s">
        <v>76</v>
      </c>
      <c r="Z146" s="3" t="s">
        <v>76</v>
      </c>
      <c r="AB146" s="1">
        <v>2.0</v>
      </c>
      <c r="AI146" s="1" t="s">
        <v>675</v>
      </c>
      <c r="AJ146" s="2" t="s">
        <v>72</v>
      </c>
      <c r="AK146" s="2" t="s">
        <v>72</v>
      </c>
      <c r="AL146" s="2" t="s">
        <v>100</v>
      </c>
      <c r="AM146" s="2" t="s">
        <v>76</v>
      </c>
      <c r="AN146" s="2" t="s">
        <v>524</v>
      </c>
      <c r="AO146" s="2" t="s">
        <v>72</v>
      </c>
      <c r="AQ146" s="2" t="s">
        <v>75</v>
      </c>
      <c r="AR146" s="2" t="s">
        <v>76</v>
      </c>
      <c r="AS146" s="1">
        <v>2221.0</v>
      </c>
      <c r="AT146" s="1">
        <v>2221.0</v>
      </c>
      <c r="AU146" s="1">
        <v>870.0</v>
      </c>
      <c r="AV146" s="1">
        <v>58.0</v>
      </c>
      <c r="AW146" s="1">
        <v>182.0</v>
      </c>
      <c r="AX146" s="1">
        <v>5250.0</v>
      </c>
      <c r="AY146" s="1">
        <v>1.0</v>
      </c>
      <c r="AZ146" s="1" t="s">
        <v>658</v>
      </c>
      <c r="BA146" s="1" t="s">
        <v>659</v>
      </c>
    </row>
    <row r="147">
      <c r="A147" s="1" t="s">
        <v>647</v>
      </c>
      <c r="B147" s="1" t="s">
        <v>53</v>
      </c>
      <c r="C147" s="1">
        <v>2017.0</v>
      </c>
      <c r="D147" s="1" t="s">
        <v>648</v>
      </c>
      <c r="E147" s="1" t="s">
        <v>649</v>
      </c>
      <c r="F147" s="1" t="s">
        <v>650</v>
      </c>
      <c r="G147" s="1" t="s">
        <v>651</v>
      </c>
      <c r="H147" s="1" t="s">
        <v>652</v>
      </c>
      <c r="I147" s="1">
        <v>106.0</v>
      </c>
      <c r="J147" s="1">
        <v>1.0</v>
      </c>
      <c r="K147" s="2" t="s">
        <v>653</v>
      </c>
      <c r="L147" s="2" t="s">
        <v>60</v>
      </c>
      <c r="M147" s="1" t="s">
        <v>697</v>
      </c>
      <c r="N147" s="1" t="s">
        <v>62</v>
      </c>
      <c r="O147" s="1" t="s">
        <v>187</v>
      </c>
      <c r="P147" s="1" t="s">
        <v>696</v>
      </c>
      <c r="Q147" s="1">
        <v>16.90125</v>
      </c>
      <c r="R147" s="1">
        <v>-88.282194</v>
      </c>
      <c r="S147" s="1" t="s">
        <v>148</v>
      </c>
      <c r="T147" s="2" t="s">
        <v>275</v>
      </c>
      <c r="U147" s="1" t="s">
        <v>656</v>
      </c>
      <c r="V147" s="3" t="s">
        <v>97</v>
      </c>
      <c r="W147" s="1" t="s">
        <v>278</v>
      </c>
      <c r="X147" s="1" t="s">
        <v>279</v>
      </c>
      <c r="Y147" s="6" t="s">
        <v>76</v>
      </c>
      <c r="Z147" s="3" t="s">
        <v>76</v>
      </c>
      <c r="AB147" s="1">
        <v>4.0</v>
      </c>
      <c r="AI147" s="1" t="s">
        <v>698</v>
      </c>
      <c r="AJ147" s="2" t="s">
        <v>72</v>
      </c>
      <c r="AK147" s="2" t="s">
        <v>72</v>
      </c>
      <c r="AL147" s="2" t="s">
        <v>100</v>
      </c>
      <c r="AM147" s="2" t="s">
        <v>76</v>
      </c>
      <c r="AN147" s="2" t="s">
        <v>524</v>
      </c>
      <c r="AO147" s="2" t="s">
        <v>72</v>
      </c>
      <c r="AQ147" s="2" t="s">
        <v>75</v>
      </c>
      <c r="AR147" s="2" t="s">
        <v>76</v>
      </c>
      <c r="AS147" s="1">
        <v>2221.0</v>
      </c>
      <c r="AT147" s="1">
        <v>2221.0</v>
      </c>
      <c r="AU147" s="1">
        <v>870.0</v>
      </c>
      <c r="AV147" s="1">
        <v>58.0</v>
      </c>
      <c r="AW147" s="1">
        <v>182.0</v>
      </c>
      <c r="AX147" s="1">
        <v>5250.0</v>
      </c>
      <c r="AY147" s="1">
        <v>1.0</v>
      </c>
      <c r="AZ147" s="1" t="s">
        <v>658</v>
      </c>
      <c r="BA147" s="1" t="s">
        <v>659</v>
      </c>
    </row>
    <row r="148">
      <c r="A148" s="1" t="s">
        <v>647</v>
      </c>
      <c r="B148" s="1" t="s">
        <v>53</v>
      </c>
      <c r="C148" s="1">
        <v>2017.0</v>
      </c>
      <c r="D148" s="1" t="s">
        <v>648</v>
      </c>
      <c r="E148" s="1" t="s">
        <v>649</v>
      </c>
      <c r="F148" s="1" t="s">
        <v>650</v>
      </c>
      <c r="G148" s="1" t="s">
        <v>651</v>
      </c>
      <c r="H148" s="1" t="s">
        <v>652</v>
      </c>
      <c r="I148" s="1">
        <v>106.0</v>
      </c>
      <c r="J148" s="1">
        <v>1.0</v>
      </c>
      <c r="K148" s="2" t="s">
        <v>653</v>
      </c>
      <c r="L148" s="2" t="s">
        <v>60</v>
      </c>
      <c r="M148" s="1" t="s">
        <v>699</v>
      </c>
      <c r="N148" s="1" t="s">
        <v>62</v>
      </c>
      <c r="O148" s="1" t="s">
        <v>187</v>
      </c>
      <c r="P148" s="1" t="s">
        <v>696</v>
      </c>
      <c r="Q148" s="1">
        <v>16.898694</v>
      </c>
      <c r="R148" s="1">
        <v>-88.295056</v>
      </c>
      <c r="S148" s="1" t="s">
        <v>148</v>
      </c>
      <c r="T148" s="2" t="s">
        <v>275</v>
      </c>
      <c r="U148" s="1" t="s">
        <v>656</v>
      </c>
      <c r="V148" s="3" t="s">
        <v>97</v>
      </c>
      <c r="W148" s="1" t="s">
        <v>278</v>
      </c>
      <c r="X148" s="1" t="s">
        <v>279</v>
      </c>
      <c r="Y148" s="6" t="s">
        <v>76</v>
      </c>
      <c r="Z148" s="3" t="s">
        <v>76</v>
      </c>
      <c r="AI148" s="2" t="s">
        <v>72</v>
      </c>
      <c r="AJ148" s="2" t="s">
        <v>72</v>
      </c>
      <c r="AK148" s="2" t="s">
        <v>72</v>
      </c>
      <c r="AL148" s="2" t="s">
        <v>100</v>
      </c>
      <c r="AM148" s="2" t="s">
        <v>76</v>
      </c>
      <c r="AN148" s="2" t="s">
        <v>524</v>
      </c>
      <c r="AO148" s="2" t="s">
        <v>72</v>
      </c>
      <c r="AQ148" s="2" t="s">
        <v>75</v>
      </c>
      <c r="AR148" s="2" t="s">
        <v>76</v>
      </c>
      <c r="AS148" s="1">
        <v>2211.0</v>
      </c>
      <c r="AT148" s="1">
        <v>2211.0</v>
      </c>
      <c r="AU148" s="1">
        <v>869.0</v>
      </c>
      <c r="AV148" s="1">
        <v>58.0</v>
      </c>
      <c r="AW148" s="1">
        <v>181.0</v>
      </c>
      <c r="AX148" s="1">
        <v>5283.0</v>
      </c>
      <c r="AY148" s="1">
        <v>2.0</v>
      </c>
      <c r="AZ148" s="1" t="s">
        <v>658</v>
      </c>
      <c r="BA148" s="1" t="s">
        <v>659</v>
      </c>
    </row>
    <row r="149">
      <c r="A149" s="1" t="s">
        <v>647</v>
      </c>
      <c r="B149" s="1" t="s">
        <v>53</v>
      </c>
      <c r="C149" s="1">
        <v>2017.0</v>
      </c>
      <c r="D149" s="1" t="s">
        <v>648</v>
      </c>
      <c r="E149" s="1" t="s">
        <v>649</v>
      </c>
      <c r="F149" s="1" t="s">
        <v>650</v>
      </c>
      <c r="G149" s="1" t="s">
        <v>651</v>
      </c>
      <c r="H149" s="1" t="s">
        <v>652</v>
      </c>
      <c r="I149" s="1">
        <v>106.0</v>
      </c>
      <c r="J149" s="1">
        <v>1.0</v>
      </c>
      <c r="K149" s="2" t="s">
        <v>653</v>
      </c>
      <c r="L149" s="2" t="s">
        <v>60</v>
      </c>
      <c r="M149" s="1" t="s">
        <v>700</v>
      </c>
      <c r="N149" s="1" t="s">
        <v>62</v>
      </c>
      <c r="O149" s="1" t="s">
        <v>187</v>
      </c>
      <c r="P149" s="1" t="s">
        <v>696</v>
      </c>
      <c r="Q149" s="1">
        <v>16.8885</v>
      </c>
      <c r="R149" s="1">
        <v>-88.289639</v>
      </c>
      <c r="S149" s="1" t="s">
        <v>148</v>
      </c>
      <c r="T149" s="2" t="s">
        <v>275</v>
      </c>
      <c r="U149" s="1" t="s">
        <v>656</v>
      </c>
      <c r="V149" s="3" t="s">
        <v>97</v>
      </c>
      <c r="W149" s="1" t="s">
        <v>278</v>
      </c>
      <c r="X149" s="1" t="s">
        <v>279</v>
      </c>
      <c r="Y149" s="6" t="s">
        <v>76</v>
      </c>
      <c r="Z149" s="3" t="s">
        <v>76</v>
      </c>
      <c r="AB149" s="1">
        <v>4.0</v>
      </c>
      <c r="AI149" s="1" t="s">
        <v>692</v>
      </c>
      <c r="AJ149" s="2" t="s">
        <v>72</v>
      </c>
      <c r="AK149" s="2" t="s">
        <v>72</v>
      </c>
      <c r="AL149" s="2" t="s">
        <v>100</v>
      </c>
      <c r="AM149" s="2" t="s">
        <v>76</v>
      </c>
      <c r="AN149" s="2" t="s">
        <v>524</v>
      </c>
      <c r="AO149" s="2" t="s">
        <v>72</v>
      </c>
      <c r="AQ149" s="2" t="s">
        <v>75</v>
      </c>
      <c r="AR149" s="2" t="s">
        <v>76</v>
      </c>
      <c r="AS149" s="1">
        <v>2201.0</v>
      </c>
      <c r="AT149" s="1">
        <v>2201.0</v>
      </c>
      <c r="AU149" s="1">
        <v>868.0</v>
      </c>
      <c r="AV149" s="1">
        <v>58.0</v>
      </c>
      <c r="AW149" s="1">
        <v>180.0</v>
      </c>
      <c r="AX149" s="1">
        <v>5304.0</v>
      </c>
      <c r="AY149" s="1">
        <v>1.0</v>
      </c>
      <c r="AZ149" s="1" t="s">
        <v>658</v>
      </c>
      <c r="BA149" s="1" t="s">
        <v>659</v>
      </c>
    </row>
    <row r="150">
      <c r="A150" s="1" t="s">
        <v>647</v>
      </c>
      <c r="B150" s="1" t="s">
        <v>53</v>
      </c>
      <c r="C150" s="1">
        <v>2017.0</v>
      </c>
      <c r="D150" s="1" t="s">
        <v>648</v>
      </c>
      <c r="E150" s="1" t="s">
        <v>649</v>
      </c>
      <c r="F150" s="1" t="s">
        <v>650</v>
      </c>
      <c r="G150" s="1" t="s">
        <v>651</v>
      </c>
      <c r="H150" s="1" t="s">
        <v>652</v>
      </c>
      <c r="I150" s="1">
        <v>106.0</v>
      </c>
      <c r="J150" s="1">
        <v>1.0</v>
      </c>
      <c r="K150" s="2" t="s">
        <v>653</v>
      </c>
      <c r="L150" s="2" t="s">
        <v>60</v>
      </c>
      <c r="M150" s="1" t="s">
        <v>701</v>
      </c>
      <c r="N150" s="1" t="s">
        <v>62</v>
      </c>
      <c r="O150" s="1" t="s">
        <v>187</v>
      </c>
      <c r="P150" s="1" t="s">
        <v>696</v>
      </c>
      <c r="Q150" s="1">
        <v>16.888361</v>
      </c>
      <c r="R150" s="1">
        <v>-88.289333</v>
      </c>
      <c r="S150" s="1" t="s">
        <v>148</v>
      </c>
      <c r="T150" s="2" t="s">
        <v>275</v>
      </c>
      <c r="U150" s="1" t="s">
        <v>656</v>
      </c>
      <c r="V150" s="3" t="s">
        <v>97</v>
      </c>
      <c r="W150" s="1" t="s">
        <v>278</v>
      </c>
      <c r="X150" s="1" t="s">
        <v>279</v>
      </c>
      <c r="Y150" s="6" t="s">
        <v>76</v>
      </c>
      <c r="Z150" s="3" t="s">
        <v>76</v>
      </c>
      <c r="AB150" s="1">
        <v>3.0</v>
      </c>
      <c r="AI150" s="1" t="s">
        <v>702</v>
      </c>
      <c r="AJ150" s="2" t="s">
        <v>72</v>
      </c>
      <c r="AK150" s="2" t="s">
        <v>72</v>
      </c>
      <c r="AL150" s="2" t="s">
        <v>100</v>
      </c>
      <c r="AM150" s="2" t="s">
        <v>76</v>
      </c>
      <c r="AN150" s="2" t="s">
        <v>524</v>
      </c>
      <c r="AO150" s="2" t="s">
        <v>72</v>
      </c>
      <c r="AQ150" s="2" t="s">
        <v>75</v>
      </c>
      <c r="AR150" s="2" t="s">
        <v>76</v>
      </c>
      <c r="AS150" s="1">
        <v>2201.0</v>
      </c>
      <c r="AT150" s="1">
        <v>2201.0</v>
      </c>
      <c r="AU150" s="1">
        <v>868.0</v>
      </c>
      <c r="AV150" s="1">
        <v>58.0</v>
      </c>
      <c r="AW150" s="1">
        <v>180.0</v>
      </c>
      <c r="AX150" s="1">
        <v>5304.0</v>
      </c>
      <c r="AY150" s="1">
        <v>1.0</v>
      </c>
      <c r="AZ150" s="1" t="s">
        <v>658</v>
      </c>
      <c r="BA150" s="1" t="s">
        <v>659</v>
      </c>
    </row>
    <row r="151">
      <c r="A151" s="1" t="s">
        <v>647</v>
      </c>
      <c r="B151" s="1" t="s">
        <v>53</v>
      </c>
      <c r="C151" s="1">
        <v>2017.0</v>
      </c>
      <c r="D151" s="1" t="s">
        <v>648</v>
      </c>
      <c r="E151" s="1" t="s">
        <v>649</v>
      </c>
      <c r="F151" s="1" t="s">
        <v>650</v>
      </c>
      <c r="G151" s="1" t="s">
        <v>651</v>
      </c>
      <c r="H151" s="1" t="s">
        <v>652</v>
      </c>
      <c r="I151" s="1">
        <v>106.0</v>
      </c>
      <c r="J151" s="1">
        <v>1.0</v>
      </c>
      <c r="K151" s="2" t="s">
        <v>653</v>
      </c>
      <c r="L151" s="2" t="s">
        <v>60</v>
      </c>
      <c r="M151" s="1" t="s">
        <v>703</v>
      </c>
      <c r="N151" s="1" t="s">
        <v>62</v>
      </c>
      <c r="O151" s="1" t="s">
        <v>187</v>
      </c>
      <c r="P151" s="1" t="s">
        <v>704</v>
      </c>
      <c r="Q151" s="1">
        <v>16.775111</v>
      </c>
      <c r="R151" s="1">
        <v>-88.318278</v>
      </c>
      <c r="S151" s="1" t="s">
        <v>148</v>
      </c>
      <c r="T151" s="2" t="s">
        <v>275</v>
      </c>
      <c r="U151" s="1" t="s">
        <v>656</v>
      </c>
      <c r="V151" s="3" t="s">
        <v>97</v>
      </c>
      <c r="W151" s="1" t="s">
        <v>278</v>
      </c>
      <c r="X151" s="1" t="s">
        <v>279</v>
      </c>
      <c r="Y151" s="6" t="s">
        <v>76</v>
      </c>
      <c r="Z151" s="3" t="s">
        <v>76</v>
      </c>
      <c r="AB151" s="1">
        <v>3.0</v>
      </c>
      <c r="AI151" s="1" t="s">
        <v>663</v>
      </c>
      <c r="AJ151" s="2" t="s">
        <v>72</v>
      </c>
      <c r="AK151" s="2" t="s">
        <v>72</v>
      </c>
      <c r="AL151" s="2" t="s">
        <v>100</v>
      </c>
      <c r="AM151" s="2" t="s">
        <v>76</v>
      </c>
      <c r="AN151" s="2" t="s">
        <v>524</v>
      </c>
      <c r="AO151" s="2" t="s">
        <v>72</v>
      </c>
      <c r="AQ151" s="2" t="s">
        <v>75</v>
      </c>
      <c r="AR151" s="2" t="s">
        <v>76</v>
      </c>
      <c r="AS151" s="1">
        <v>2150.0</v>
      </c>
      <c r="AT151" s="1">
        <v>2150.0</v>
      </c>
      <c r="AU151" s="1">
        <v>857.0</v>
      </c>
      <c r="AV151" s="1">
        <v>56.0</v>
      </c>
      <c r="AW151" s="1">
        <v>176.0</v>
      </c>
      <c r="AX151" s="1">
        <v>5413.0</v>
      </c>
      <c r="AY151" s="1">
        <v>6.0</v>
      </c>
      <c r="AZ151" s="1" t="s">
        <v>658</v>
      </c>
      <c r="BA151" s="1" t="s">
        <v>659</v>
      </c>
    </row>
    <row r="152">
      <c r="A152" s="1" t="s">
        <v>647</v>
      </c>
      <c r="B152" s="1" t="s">
        <v>53</v>
      </c>
      <c r="C152" s="1">
        <v>2017.0</v>
      </c>
      <c r="D152" s="1" t="s">
        <v>648</v>
      </c>
      <c r="E152" s="1" t="s">
        <v>649</v>
      </c>
      <c r="F152" s="1" t="s">
        <v>650</v>
      </c>
      <c r="G152" s="1" t="s">
        <v>651</v>
      </c>
      <c r="H152" s="1" t="s">
        <v>652</v>
      </c>
      <c r="I152" s="1">
        <v>106.0</v>
      </c>
      <c r="J152" s="1">
        <v>1.0</v>
      </c>
      <c r="K152" s="2" t="s">
        <v>653</v>
      </c>
      <c r="L152" s="2" t="s">
        <v>60</v>
      </c>
      <c r="M152" s="1" t="s">
        <v>705</v>
      </c>
      <c r="N152" s="1" t="s">
        <v>62</v>
      </c>
      <c r="O152" s="1" t="s">
        <v>187</v>
      </c>
      <c r="P152" s="1" t="s">
        <v>704</v>
      </c>
      <c r="Q152" s="1">
        <v>16.764583</v>
      </c>
      <c r="R152" s="1">
        <v>-88.316194</v>
      </c>
      <c r="S152" s="1" t="s">
        <v>148</v>
      </c>
      <c r="T152" s="2" t="s">
        <v>275</v>
      </c>
      <c r="U152" s="1" t="s">
        <v>656</v>
      </c>
      <c r="V152" s="3" t="s">
        <v>97</v>
      </c>
      <c r="W152" s="1" t="s">
        <v>278</v>
      </c>
      <c r="X152" s="1" t="s">
        <v>279</v>
      </c>
      <c r="Y152" s="6" t="s">
        <v>76</v>
      </c>
      <c r="Z152" s="3" t="s">
        <v>76</v>
      </c>
      <c r="AB152" s="1">
        <v>1.0</v>
      </c>
      <c r="AI152" s="1" t="s">
        <v>706</v>
      </c>
      <c r="AJ152" s="2" t="s">
        <v>72</v>
      </c>
      <c r="AK152" s="2" t="s">
        <v>72</v>
      </c>
      <c r="AL152" s="2" t="s">
        <v>100</v>
      </c>
      <c r="AM152" s="2" t="s">
        <v>76</v>
      </c>
      <c r="AN152" s="2" t="s">
        <v>524</v>
      </c>
      <c r="AO152" s="2" t="s">
        <v>72</v>
      </c>
      <c r="AQ152" s="2" t="s">
        <v>75</v>
      </c>
      <c r="AR152" s="2" t="s">
        <v>76</v>
      </c>
      <c r="AS152" s="1">
        <v>2142.0</v>
      </c>
      <c r="AT152" s="1">
        <v>2142.0</v>
      </c>
      <c r="AU152" s="1">
        <v>859.0</v>
      </c>
      <c r="AV152" s="1">
        <v>57.0</v>
      </c>
      <c r="AW152" s="1">
        <v>176.0</v>
      </c>
      <c r="AX152" s="1">
        <v>5451.0</v>
      </c>
      <c r="AY152" s="1">
        <v>1.0</v>
      </c>
      <c r="AZ152" s="1" t="s">
        <v>658</v>
      </c>
      <c r="BA152" s="1" t="s">
        <v>659</v>
      </c>
    </row>
    <row r="153">
      <c r="A153" s="1" t="s">
        <v>647</v>
      </c>
      <c r="B153" s="1" t="s">
        <v>53</v>
      </c>
      <c r="C153" s="1">
        <v>2017.0</v>
      </c>
      <c r="D153" s="1" t="s">
        <v>648</v>
      </c>
      <c r="E153" s="1" t="s">
        <v>649</v>
      </c>
      <c r="F153" s="1" t="s">
        <v>650</v>
      </c>
      <c r="G153" s="1" t="s">
        <v>651</v>
      </c>
      <c r="H153" s="1" t="s">
        <v>652</v>
      </c>
      <c r="I153" s="1">
        <v>106.0</v>
      </c>
      <c r="J153" s="1">
        <v>1.0</v>
      </c>
      <c r="K153" s="2" t="s">
        <v>653</v>
      </c>
      <c r="L153" s="2" t="s">
        <v>60</v>
      </c>
      <c r="M153" s="1" t="s">
        <v>707</v>
      </c>
      <c r="N153" s="1" t="s">
        <v>62</v>
      </c>
      <c r="O153" s="1" t="s">
        <v>187</v>
      </c>
      <c r="P153" s="1" t="s">
        <v>704</v>
      </c>
      <c r="Q153" s="1">
        <v>16.764556</v>
      </c>
      <c r="R153" s="1">
        <v>-88.31325</v>
      </c>
      <c r="S153" s="1" t="s">
        <v>148</v>
      </c>
      <c r="T153" s="2" t="s">
        <v>275</v>
      </c>
      <c r="U153" s="1" t="s">
        <v>656</v>
      </c>
      <c r="V153" s="3" t="s">
        <v>97</v>
      </c>
      <c r="W153" s="1" t="s">
        <v>278</v>
      </c>
      <c r="X153" s="1" t="s">
        <v>279</v>
      </c>
      <c r="Y153" s="6" t="s">
        <v>76</v>
      </c>
      <c r="Z153" s="3" t="s">
        <v>76</v>
      </c>
      <c r="AB153" s="1">
        <v>3.0</v>
      </c>
      <c r="AI153" s="1" t="s">
        <v>708</v>
      </c>
      <c r="AJ153" s="2" t="s">
        <v>72</v>
      </c>
      <c r="AK153" s="2" t="s">
        <v>72</v>
      </c>
      <c r="AL153" s="2" t="s">
        <v>100</v>
      </c>
      <c r="AM153" s="2" t="s">
        <v>76</v>
      </c>
      <c r="AN153" s="2" t="s">
        <v>524</v>
      </c>
      <c r="AO153" s="2" t="s">
        <v>72</v>
      </c>
      <c r="AQ153" s="2" t="s">
        <v>75</v>
      </c>
      <c r="AR153" s="2" t="s">
        <v>76</v>
      </c>
      <c r="AS153" s="1">
        <v>2142.0</v>
      </c>
      <c r="AT153" s="1">
        <v>2142.0</v>
      </c>
      <c r="AU153" s="1">
        <v>859.0</v>
      </c>
      <c r="AV153" s="1">
        <v>57.0</v>
      </c>
      <c r="AW153" s="1">
        <v>176.0</v>
      </c>
      <c r="AX153" s="1">
        <v>5451.0</v>
      </c>
      <c r="AY153" s="1">
        <v>1.0</v>
      </c>
      <c r="AZ153" s="1" t="s">
        <v>658</v>
      </c>
      <c r="BA153" s="1" t="s">
        <v>659</v>
      </c>
    </row>
    <row r="154">
      <c r="A154" s="1" t="s">
        <v>647</v>
      </c>
      <c r="B154" s="1" t="s">
        <v>53</v>
      </c>
      <c r="C154" s="1">
        <v>2017.0</v>
      </c>
      <c r="D154" s="1" t="s">
        <v>648</v>
      </c>
      <c r="E154" s="1" t="s">
        <v>649</v>
      </c>
      <c r="F154" s="1" t="s">
        <v>650</v>
      </c>
      <c r="G154" s="1" t="s">
        <v>651</v>
      </c>
      <c r="H154" s="1" t="s">
        <v>652</v>
      </c>
      <c r="I154" s="1">
        <v>106.0</v>
      </c>
      <c r="J154" s="1">
        <v>1.0</v>
      </c>
      <c r="K154" s="2" t="s">
        <v>653</v>
      </c>
      <c r="L154" s="2" t="s">
        <v>60</v>
      </c>
      <c r="M154" s="1" t="s">
        <v>709</v>
      </c>
      <c r="N154" s="1" t="s">
        <v>62</v>
      </c>
      <c r="O154" s="1" t="s">
        <v>187</v>
      </c>
      <c r="P154" s="1" t="s">
        <v>704</v>
      </c>
      <c r="Q154" s="1">
        <v>16.764111</v>
      </c>
      <c r="R154" s="1">
        <v>-88.318889</v>
      </c>
      <c r="S154" s="1" t="s">
        <v>148</v>
      </c>
      <c r="T154" s="2" t="s">
        <v>275</v>
      </c>
      <c r="U154" s="1" t="s">
        <v>656</v>
      </c>
      <c r="V154" s="3" t="s">
        <v>97</v>
      </c>
      <c r="W154" s="1" t="s">
        <v>278</v>
      </c>
      <c r="X154" s="1" t="s">
        <v>279</v>
      </c>
      <c r="Y154" s="6" t="s">
        <v>76</v>
      </c>
      <c r="Z154" s="3" t="s">
        <v>76</v>
      </c>
      <c r="AB154" s="1">
        <v>1.0</v>
      </c>
      <c r="AI154" s="1" t="s">
        <v>675</v>
      </c>
      <c r="AJ154" s="2" t="s">
        <v>72</v>
      </c>
      <c r="AK154" s="2" t="s">
        <v>72</v>
      </c>
      <c r="AL154" s="2" t="s">
        <v>100</v>
      </c>
      <c r="AM154" s="2" t="s">
        <v>76</v>
      </c>
      <c r="AN154" s="2" t="s">
        <v>524</v>
      </c>
      <c r="AO154" s="2" t="s">
        <v>72</v>
      </c>
      <c r="AQ154" s="2" t="s">
        <v>75</v>
      </c>
      <c r="AR154" s="2" t="s">
        <v>76</v>
      </c>
      <c r="AS154" s="1">
        <v>2153.0</v>
      </c>
      <c r="AT154" s="1">
        <v>2153.0</v>
      </c>
      <c r="AU154" s="1">
        <v>860.0</v>
      </c>
      <c r="AV154" s="1">
        <v>56.0</v>
      </c>
      <c r="AW154" s="1">
        <v>176.0</v>
      </c>
      <c r="AX154" s="1">
        <v>5417.0</v>
      </c>
      <c r="AY154" s="1">
        <v>1.0</v>
      </c>
      <c r="AZ154" s="1" t="s">
        <v>658</v>
      </c>
      <c r="BA154" s="1" t="s">
        <v>659</v>
      </c>
    </row>
    <row r="155">
      <c r="A155" s="1" t="s">
        <v>647</v>
      </c>
      <c r="B155" s="1" t="s">
        <v>53</v>
      </c>
      <c r="C155" s="1">
        <v>2017.0</v>
      </c>
      <c r="D155" s="1" t="s">
        <v>648</v>
      </c>
      <c r="E155" s="1" t="s">
        <v>649</v>
      </c>
      <c r="F155" s="1" t="s">
        <v>650</v>
      </c>
      <c r="G155" s="1" t="s">
        <v>651</v>
      </c>
      <c r="H155" s="1" t="s">
        <v>652</v>
      </c>
      <c r="I155" s="1">
        <v>106.0</v>
      </c>
      <c r="J155" s="1">
        <v>1.0</v>
      </c>
      <c r="K155" s="2" t="s">
        <v>653</v>
      </c>
      <c r="L155" s="2" t="s">
        <v>60</v>
      </c>
      <c r="M155" s="1" t="s">
        <v>710</v>
      </c>
      <c r="N155" s="1" t="s">
        <v>62</v>
      </c>
      <c r="O155" s="1" t="s">
        <v>187</v>
      </c>
      <c r="P155" s="1" t="s">
        <v>704</v>
      </c>
      <c r="Q155" s="1">
        <v>16.763444</v>
      </c>
      <c r="R155" s="1">
        <v>-88.312139</v>
      </c>
      <c r="S155" s="1" t="s">
        <v>148</v>
      </c>
      <c r="T155" s="2" t="s">
        <v>275</v>
      </c>
      <c r="U155" s="1" t="s">
        <v>656</v>
      </c>
      <c r="V155" s="3" t="s">
        <v>97</v>
      </c>
      <c r="W155" s="1" t="s">
        <v>278</v>
      </c>
      <c r="X155" s="1" t="s">
        <v>279</v>
      </c>
      <c r="Y155" s="6" t="s">
        <v>76</v>
      </c>
      <c r="Z155" s="3" t="s">
        <v>76</v>
      </c>
      <c r="AB155" s="1">
        <v>2.0</v>
      </c>
      <c r="AI155" s="1" t="s">
        <v>675</v>
      </c>
      <c r="AJ155" s="2" t="s">
        <v>72</v>
      </c>
      <c r="AK155" s="2" t="s">
        <v>72</v>
      </c>
      <c r="AL155" s="2" t="s">
        <v>100</v>
      </c>
      <c r="AM155" s="2" t="s">
        <v>76</v>
      </c>
      <c r="AN155" s="2" t="s">
        <v>524</v>
      </c>
      <c r="AO155" s="2" t="s">
        <v>72</v>
      </c>
      <c r="AQ155" s="2" t="s">
        <v>75</v>
      </c>
      <c r="AR155" s="2" t="s">
        <v>76</v>
      </c>
      <c r="AS155" s="1">
        <v>2142.0</v>
      </c>
      <c r="AT155" s="1">
        <v>2142.0</v>
      </c>
      <c r="AU155" s="1">
        <v>859.0</v>
      </c>
      <c r="AV155" s="1">
        <v>57.0</v>
      </c>
      <c r="AW155" s="1">
        <v>176.0</v>
      </c>
      <c r="AX155" s="1">
        <v>5451.0</v>
      </c>
      <c r="AY155" s="1">
        <v>1.0</v>
      </c>
      <c r="AZ155" s="1" t="s">
        <v>658</v>
      </c>
      <c r="BA155" s="1" t="s">
        <v>659</v>
      </c>
    </row>
    <row r="156">
      <c r="A156" s="1" t="s">
        <v>647</v>
      </c>
      <c r="B156" s="1" t="s">
        <v>53</v>
      </c>
      <c r="C156" s="1">
        <v>2017.0</v>
      </c>
      <c r="D156" s="1" t="s">
        <v>648</v>
      </c>
      <c r="E156" s="1" t="s">
        <v>649</v>
      </c>
      <c r="F156" s="1" t="s">
        <v>650</v>
      </c>
      <c r="G156" s="1" t="s">
        <v>651</v>
      </c>
      <c r="H156" s="1" t="s">
        <v>652</v>
      </c>
      <c r="I156" s="1">
        <v>106.0</v>
      </c>
      <c r="J156" s="1">
        <v>1.0</v>
      </c>
      <c r="K156" s="2" t="s">
        <v>653</v>
      </c>
      <c r="L156" s="2" t="s">
        <v>60</v>
      </c>
      <c r="M156" s="1" t="s">
        <v>711</v>
      </c>
      <c r="N156" s="1" t="s">
        <v>62</v>
      </c>
      <c r="O156" s="1" t="s">
        <v>187</v>
      </c>
      <c r="P156" s="1" t="s">
        <v>704</v>
      </c>
      <c r="Q156" s="1">
        <v>16.756111</v>
      </c>
      <c r="R156" s="1">
        <v>-88.318278</v>
      </c>
      <c r="S156" s="1" t="s">
        <v>148</v>
      </c>
      <c r="T156" s="2" t="s">
        <v>275</v>
      </c>
      <c r="U156" s="1" t="s">
        <v>656</v>
      </c>
      <c r="V156" s="3" t="s">
        <v>97</v>
      </c>
      <c r="W156" s="1" t="s">
        <v>278</v>
      </c>
      <c r="X156" s="1" t="s">
        <v>279</v>
      </c>
      <c r="Y156" s="6" t="s">
        <v>76</v>
      </c>
      <c r="Z156" s="3" t="s">
        <v>76</v>
      </c>
      <c r="AB156" s="1">
        <v>2.0</v>
      </c>
      <c r="AI156" s="1" t="s">
        <v>708</v>
      </c>
      <c r="AJ156" s="2" t="s">
        <v>72</v>
      </c>
      <c r="AK156" s="2" t="s">
        <v>72</v>
      </c>
      <c r="AL156" s="2" t="s">
        <v>100</v>
      </c>
      <c r="AM156" s="2" t="s">
        <v>76</v>
      </c>
      <c r="AN156" s="2" t="s">
        <v>524</v>
      </c>
      <c r="AO156" s="2" t="s">
        <v>72</v>
      </c>
      <c r="AQ156" s="2" t="s">
        <v>75</v>
      </c>
      <c r="AR156" s="2" t="s">
        <v>76</v>
      </c>
      <c r="AS156" s="1">
        <v>2145.0</v>
      </c>
      <c r="AT156" s="1">
        <v>2145.0</v>
      </c>
      <c r="AU156" s="1">
        <v>860.0</v>
      </c>
      <c r="AV156" s="1">
        <v>57.0</v>
      </c>
      <c r="AW156" s="1">
        <v>176.0</v>
      </c>
      <c r="AX156" s="1">
        <v>5444.0</v>
      </c>
      <c r="AY156" s="1">
        <v>1.0</v>
      </c>
      <c r="AZ156" s="1" t="s">
        <v>658</v>
      </c>
      <c r="BA156" s="1" t="s">
        <v>659</v>
      </c>
    </row>
    <row r="157">
      <c r="A157" s="1" t="s">
        <v>712</v>
      </c>
      <c r="B157" s="1" t="s">
        <v>53</v>
      </c>
      <c r="C157" s="1">
        <v>2014.0</v>
      </c>
      <c r="D157" s="1" t="s">
        <v>713</v>
      </c>
      <c r="E157" s="1" t="s">
        <v>714</v>
      </c>
      <c r="F157" s="1" t="s">
        <v>715</v>
      </c>
      <c r="G157" s="1" t="s">
        <v>716</v>
      </c>
      <c r="H157" s="1" t="s">
        <v>717</v>
      </c>
      <c r="I157" s="1">
        <v>54.0</v>
      </c>
      <c r="J157" s="1">
        <v>1.0</v>
      </c>
      <c r="K157" s="2" t="s">
        <v>718</v>
      </c>
      <c r="L157" s="2" t="s">
        <v>60</v>
      </c>
      <c r="M157" s="1" t="s">
        <v>719</v>
      </c>
      <c r="N157" s="1" t="s">
        <v>62</v>
      </c>
      <c r="O157" s="1" t="s">
        <v>167</v>
      </c>
      <c r="P157" s="1" t="s">
        <v>720</v>
      </c>
      <c r="Q157" s="1">
        <v>17.14</v>
      </c>
      <c r="R157" s="1">
        <v>-90.4</v>
      </c>
      <c r="S157" s="1" t="s">
        <v>148</v>
      </c>
      <c r="T157" s="2" t="s">
        <v>614</v>
      </c>
      <c r="U157" s="3" t="s">
        <v>721</v>
      </c>
      <c r="V157" s="3" t="s">
        <v>299</v>
      </c>
      <c r="W157" s="2" t="s">
        <v>72</v>
      </c>
      <c r="X157" s="2" t="s">
        <v>83</v>
      </c>
      <c r="Y157" s="6" t="s">
        <v>76</v>
      </c>
      <c r="Z157" s="3" t="s">
        <v>173</v>
      </c>
      <c r="AB157" s="1">
        <v>7.0</v>
      </c>
      <c r="AI157" s="2" t="s">
        <v>72</v>
      </c>
      <c r="AJ157" s="1">
        <v>-3331.0</v>
      </c>
      <c r="AK157" s="1">
        <v>1950.0</v>
      </c>
      <c r="AL157" s="2" t="s">
        <v>100</v>
      </c>
      <c r="AM157" s="2" t="s">
        <v>72</v>
      </c>
      <c r="AN157" s="2" t="s">
        <v>72</v>
      </c>
      <c r="AO157" s="2" t="s">
        <v>72</v>
      </c>
      <c r="AQ157" s="2" t="s">
        <v>75</v>
      </c>
      <c r="AR157" s="2" t="s">
        <v>76</v>
      </c>
      <c r="AS157" s="1">
        <v>2046.0</v>
      </c>
      <c r="AT157" s="1">
        <v>2046.0</v>
      </c>
      <c r="AU157" s="1">
        <v>883.0</v>
      </c>
      <c r="AV157" s="1">
        <v>41.0</v>
      </c>
      <c r="AW157" s="1">
        <v>148.0</v>
      </c>
      <c r="AX157" s="1">
        <v>6297.0</v>
      </c>
      <c r="AY157" s="1">
        <v>62.0</v>
      </c>
      <c r="AZ157" s="1" t="s">
        <v>133</v>
      </c>
      <c r="BA157" s="1" t="s">
        <v>121</v>
      </c>
    </row>
    <row r="158">
      <c r="A158" s="1" t="s">
        <v>712</v>
      </c>
      <c r="B158" s="1" t="s">
        <v>53</v>
      </c>
      <c r="C158" s="1">
        <v>2014.0</v>
      </c>
      <c r="D158" s="1" t="s">
        <v>713</v>
      </c>
      <c r="E158" s="1" t="s">
        <v>714</v>
      </c>
      <c r="F158" s="1" t="s">
        <v>715</v>
      </c>
      <c r="G158" s="1" t="s">
        <v>716</v>
      </c>
      <c r="H158" s="1" t="s">
        <v>717</v>
      </c>
      <c r="I158" s="1">
        <v>54.0</v>
      </c>
      <c r="J158" s="1">
        <v>1.0</v>
      </c>
      <c r="K158" s="2" t="s">
        <v>718</v>
      </c>
      <c r="L158" s="2" t="s">
        <v>60</v>
      </c>
      <c r="M158" s="1" t="s">
        <v>722</v>
      </c>
      <c r="N158" s="1" t="s">
        <v>62</v>
      </c>
      <c r="O158" s="1" t="s">
        <v>167</v>
      </c>
      <c r="P158" s="1" t="s">
        <v>720</v>
      </c>
      <c r="Q158" s="1">
        <v>17.14</v>
      </c>
      <c r="R158" s="1">
        <v>-90.4</v>
      </c>
      <c r="S158" s="1" t="s">
        <v>148</v>
      </c>
      <c r="T158" s="2" t="s">
        <v>194</v>
      </c>
      <c r="U158" s="1" t="s">
        <v>723</v>
      </c>
      <c r="V158" s="3" t="s">
        <v>97</v>
      </c>
      <c r="W158" s="1" t="s">
        <v>724</v>
      </c>
      <c r="X158" s="1" t="s">
        <v>70</v>
      </c>
      <c r="Y158" s="6" t="s">
        <v>76</v>
      </c>
      <c r="Z158" s="3" t="s">
        <v>76</v>
      </c>
      <c r="AB158" s="1">
        <v>7.0</v>
      </c>
      <c r="AI158" s="2" t="s">
        <v>72</v>
      </c>
      <c r="AJ158" s="1">
        <v>-3331.0</v>
      </c>
      <c r="AK158" s="1">
        <v>1950.0</v>
      </c>
      <c r="AL158" s="2" t="s">
        <v>100</v>
      </c>
      <c r="AM158" s="2" t="s">
        <v>72</v>
      </c>
      <c r="AN158" s="2" t="s">
        <v>72</v>
      </c>
      <c r="AO158" s="2" t="s">
        <v>72</v>
      </c>
      <c r="AQ158" s="2" t="s">
        <v>102</v>
      </c>
      <c r="AR158" s="2" t="s">
        <v>76</v>
      </c>
      <c r="AS158" s="1">
        <v>2046.0</v>
      </c>
      <c r="AT158" s="1">
        <v>2046.0</v>
      </c>
      <c r="AU158" s="1">
        <v>883.0</v>
      </c>
      <c r="AV158" s="1">
        <v>41.0</v>
      </c>
      <c r="AW158" s="1">
        <v>148.0</v>
      </c>
      <c r="AX158" s="1">
        <v>6297.0</v>
      </c>
      <c r="AY158" s="1">
        <v>62.0</v>
      </c>
      <c r="AZ158" s="1" t="s">
        <v>133</v>
      </c>
      <c r="BA158" s="1" t="s">
        <v>121</v>
      </c>
    </row>
    <row r="159">
      <c r="A159" s="1" t="s">
        <v>712</v>
      </c>
      <c r="B159" s="1" t="s">
        <v>53</v>
      </c>
      <c r="C159" s="1">
        <v>2014.0</v>
      </c>
      <c r="D159" s="1" t="s">
        <v>713</v>
      </c>
      <c r="E159" s="1" t="s">
        <v>714</v>
      </c>
      <c r="F159" s="1" t="s">
        <v>715</v>
      </c>
      <c r="G159" s="1" t="s">
        <v>716</v>
      </c>
      <c r="H159" s="1" t="s">
        <v>717</v>
      </c>
      <c r="I159" s="1">
        <v>54.0</v>
      </c>
      <c r="J159" s="1">
        <v>1.0</v>
      </c>
      <c r="K159" s="2" t="s">
        <v>718</v>
      </c>
      <c r="L159" s="2" t="s">
        <v>60</v>
      </c>
      <c r="M159" s="1" t="s">
        <v>725</v>
      </c>
      <c r="N159" s="1" t="s">
        <v>62</v>
      </c>
      <c r="O159" s="1" t="s">
        <v>167</v>
      </c>
      <c r="P159" s="1" t="s">
        <v>720</v>
      </c>
      <c r="Q159" s="1">
        <v>17.14</v>
      </c>
      <c r="R159" s="1">
        <v>-90.4</v>
      </c>
      <c r="S159" s="1" t="s">
        <v>148</v>
      </c>
      <c r="T159" s="2" t="s">
        <v>275</v>
      </c>
      <c r="U159" s="7" t="s">
        <v>116</v>
      </c>
      <c r="V159" s="3" t="s">
        <v>116</v>
      </c>
      <c r="W159" s="1" t="s">
        <v>278</v>
      </c>
      <c r="X159" s="1" t="s">
        <v>279</v>
      </c>
      <c r="Y159" s="6" t="s">
        <v>76</v>
      </c>
      <c r="Z159" s="3" t="s">
        <v>173</v>
      </c>
      <c r="AB159" s="1">
        <v>7.0</v>
      </c>
      <c r="AI159" s="2" t="s">
        <v>72</v>
      </c>
      <c r="AJ159" s="1">
        <v>-3331.0</v>
      </c>
      <c r="AK159" s="1">
        <v>1950.0</v>
      </c>
      <c r="AL159" s="2" t="s">
        <v>100</v>
      </c>
      <c r="AM159" s="2" t="s">
        <v>72</v>
      </c>
      <c r="AN159" s="2" t="s">
        <v>72</v>
      </c>
      <c r="AO159" s="2" t="s">
        <v>72</v>
      </c>
      <c r="AQ159" s="2" t="s">
        <v>102</v>
      </c>
      <c r="AR159" s="2" t="s">
        <v>76</v>
      </c>
      <c r="AS159" s="1">
        <v>2046.0</v>
      </c>
      <c r="AT159" s="1">
        <v>2046.0</v>
      </c>
      <c r="AU159" s="1">
        <v>883.0</v>
      </c>
      <c r="AV159" s="1">
        <v>41.0</v>
      </c>
      <c r="AW159" s="1">
        <v>148.0</v>
      </c>
      <c r="AX159" s="1">
        <v>6297.0</v>
      </c>
      <c r="AY159" s="1">
        <v>62.0</v>
      </c>
      <c r="AZ159" s="1" t="s">
        <v>133</v>
      </c>
      <c r="BA159" s="1" t="s">
        <v>121</v>
      </c>
    </row>
    <row r="160">
      <c r="A160" s="1" t="s">
        <v>712</v>
      </c>
      <c r="B160" s="1" t="s">
        <v>53</v>
      </c>
      <c r="C160" s="1">
        <v>2014.0</v>
      </c>
      <c r="D160" s="1" t="s">
        <v>713</v>
      </c>
      <c r="E160" s="1" t="s">
        <v>714</v>
      </c>
      <c r="F160" s="1" t="s">
        <v>715</v>
      </c>
      <c r="G160" s="1" t="s">
        <v>716</v>
      </c>
      <c r="H160" s="1" t="s">
        <v>717</v>
      </c>
      <c r="I160" s="1">
        <v>54.0</v>
      </c>
      <c r="J160" s="1">
        <v>1.0</v>
      </c>
      <c r="K160" s="2" t="s">
        <v>718</v>
      </c>
      <c r="L160" s="2" t="s">
        <v>60</v>
      </c>
      <c r="M160" s="1" t="s">
        <v>726</v>
      </c>
      <c r="N160" s="1" t="s">
        <v>62</v>
      </c>
      <c r="O160" s="1" t="s">
        <v>167</v>
      </c>
      <c r="P160" s="1" t="s">
        <v>720</v>
      </c>
      <c r="Q160" s="1">
        <v>17.14</v>
      </c>
      <c r="R160" s="1">
        <v>-90.4</v>
      </c>
      <c r="S160" s="1" t="s">
        <v>148</v>
      </c>
      <c r="T160" s="2" t="s">
        <v>95</v>
      </c>
      <c r="U160" s="2" t="s">
        <v>727</v>
      </c>
      <c r="V160" s="3" t="s">
        <v>97</v>
      </c>
      <c r="W160" s="2" t="s">
        <v>72</v>
      </c>
      <c r="X160" s="2" t="s">
        <v>728</v>
      </c>
      <c r="Y160" s="6" t="s">
        <v>76</v>
      </c>
      <c r="Z160" s="3" t="s">
        <v>76</v>
      </c>
      <c r="AB160" s="1">
        <v>7.0</v>
      </c>
      <c r="AI160" s="2" t="s">
        <v>72</v>
      </c>
      <c r="AJ160" s="1">
        <v>-3331.0</v>
      </c>
      <c r="AK160" s="1">
        <v>1950.0</v>
      </c>
      <c r="AL160" s="2" t="s">
        <v>100</v>
      </c>
      <c r="AM160" s="2" t="s">
        <v>72</v>
      </c>
      <c r="AN160" s="2" t="s">
        <v>72</v>
      </c>
      <c r="AO160" s="2" t="s">
        <v>72</v>
      </c>
      <c r="AQ160" s="2" t="s">
        <v>102</v>
      </c>
      <c r="AR160" s="2" t="s">
        <v>76</v>
      </c>
      <c r="AS160" s="1">
        <v>2046.0</v>
      </c>
      <c r="AT160" s="1">
        <v>2046.0</v>
      </c>
      <c r="AU160" s="1">
        <v>883.0</v>
      </c>
      <c r="AV160" s="1">
        <v>41.0</v>
      </c>
      <c r="AW160" s="1">
        <v>148.0</v>
      </c>
      <c r="AX160" s="1">
        <v>6297.0</v>
      </c>
      <c r="AY160" s="1">
        <v>62.0</v>
      </c>
      <c r="AZ160" s="1" t="s">
        <v>133</v>
      </c>
      <c r="BA160" s="1" t="s">
        <v>121</v>
      </c>
    </row>
    <row r="161">
      <c r="A161" s="1" t="s">
        <v>729</v>
      </c>
      <c r="B161" s="1" t="s">
        <v>53</v>
      </c>
      <c r="C161" s="1">
        <v>2004.0</v>
      </c>
      <c r="D161" s="1" t="s">
        <v>730</v>
      </c>
      <c r="E161" s="1" t="s">
        <v>731</v>
      </c>
      <c r="F161" s="1" t="s">
        <v>732</v>
      </c>
      <c r="G161" s="1" t="s">
        <v>733</v>
      </c>
      <c r="H161" s="1" t="s">
        <v>734</v>
      </c>
      <c r="I161" s="1">
        <v>32.0</v>
      </c>
      <c r="J161" s="1">
        <v>3.0</v>
      </c>
      <c r="K161" s="2" t="s">
        <v>735</v>
      </c>
      <c r="L161" s="2" t="s">
        <v>60</v>
      </c>
      <c r="M161" s="1" t="s">
        <v>736</v>
      </c>
      <c r="N161" s="1" t="s">
        <v>62</v>
      </c>
      <c r="O161" s="1" t="s">
        <v>737</v>
      </c>
      <c r="P161" s="1" t="s">
        <v>738</v>
      </c>
      <c r="Q161" s="1">
        <v>13.57</v>
      </c>
      <c r="R161" s="1">
        <v>-89.52</v>
      </c>
      <c r="S161" s="1" t="s">
        <v>148</v>
      </c>
      <c r="T161" s="2" t="s">
        <v>382</v>
      </c>
      <c r="U161" s="1" t="s">
        <v>173</v>
      </c>
      <c r="V161" s="3" t="s">
        <v>277</v>
      </c>
      <c r="W161" s="1" t="s">
        <v>739</v>
      </c>
      <c r="X161" s="1" t="s">
        <v>544</v>
      </c>
      <c r="Y161" s="6" t="s">
        <v>76</v>
      </c>
      <c r="Z161" s="3" t="s">
        <v>76</v>
      </c>
      <c r="AB161" s="1">
        <v>3.0</v>
      </c>
      <c r="AH161" s="1">
        <v>1.0</v>
      </c>
      <c r="AI161" s="1" t="s">
        <v>740</v>
      </c>
      <c r="AJ161" s="1">
        <v>-6570.0</v>
      </c>
      <c r="AK161" s="1">
        <v>1950.0</v>
      </c>
      <c r="AL161" s="2" t="s">
        <v>73</v>
      </c>
      <c r="AM161" s="2" t="s">
        <v>76</v>
      </c>
      <c r="AN161" s="1" t="s">
        <v>400</v>
      </c>
      <c r="AO161" s="2" t="s">
        <v>76</v>
      </c>
      <c r="AQ161" s="2" t="s">
        <v>75</v>
      </c>
      <c r="AR161" s="2" t="s">
        <v>76</v>
      </c>
      <c r="AS161" s="1">
        <v>1850.0</v>
      </c>
      <c r="AT161" s="1">
        <v>1850.0</v>
      </c>
      <c r="AU161" s="1">
        <v>995.0</v>
      </c>
      <c r="AV161" s="1">
        <v>2.0</v>
      </c>
      <c r="AW161" s="1">
        <v>16.0</v>
      </c>
      <c r="AX161" s="1">
        <v>9579.0</v>
      </c>
      <c r="AY161" s="1">
        <v>413.0</v>
      </c>
      <c r="AZ161" s="1" t="s">
        <v>525</v>
      </c>
      <c r="BA161" s="1" t="s">
        <v>104</v>
      </c>
    </row>
    <row r="162">
      <c r="A162" s="1" t="s">
        <v>729</v>
      </c>
      <c r="B162" s="1" t="s">
        <v>53</v>
      </c>
      <c r="C162" s="1">
        <v>2004.0</v>
      </c>
      <c r="D162" s="1" t="s">
        <v>730</v>
      </c>
      <c r="E162" s="1" t="s">
        <v>731</v>
      </c>
      <c r="F162" s="1" t="s">
        <v>732</v>
      </c>
      <c r="G162" s="1" t="s">
        <v>733</v>
      </c>
      <c r="H162" s="1" t="s">
        <v>734</v>
      </c>
      <c r="I162" s="1">
        <v>32.0</v>
      </c>
      <c r="J162" s="1">
        <v>3.0</v>
      </c>
      <c r="K162" s="2" t="s">
        <v>735</v>
      </c>
      <c r="L162" s="2" t="s">
        <v>60</v>
      </c>
      <c r="M162" s="1" t="s">
        <v>741</v>
      </c>
      <c r="N162" s="1" t="s">
        <v>62</v>
      </c>
      <c r="O162" s="1" t="s">
        <v>737</v>
      </c>
      <c r="P162" s="1" t="s">
        <v>738</v>
      </c>
      <c r="Q162" s="1">
        <v>13.57</v>
      </c>
      <c r="R162" s="1">
        <v>-89.52</v>
      </c>
      <c r="S162" s="1" t="s">
        <v>148</v>
      </c>
      <c r="T162" s="2" t="s">
        <v>275</v>
      </c>
      <c r="U162" s="1" t="s">
        <v>276</v>
      </c>
      <c r="V162" s="3" t="s">
        <v>277</v>
      </c>
      <c r="W162" s="1" t="s">
        <v>278</v>
      </c>
      <c r="X162" s="1" t="s">
        <v>279</v>
      </c>
      <c r="Y162" s="6" t="s">
        <v>76</v>
      </c>
      <c r="Z162" s="3" t="s">
        <v>76</v>
      </c>
      <c r="AB162" s="1">
        <v>3.0</v>
      </c>
      <c r="AH162" s="1">
        <v>1.0</v>
      </c>
      <c r="AI162" s="1" t="s">
        <v>740</v>
      </c>
      <c r="AJ162" s="1">
        <v>-6570.0</v>
      </c>
      <c r="AK162" s="1">
        <v>1950.0</v>
      </c>
      <c r="AL162" s="2" t="s">
        <v>73</v>
      </c>
      <c r="AM162" s="2" t="s">
        <v>76</v>
      </c>
      <c r="AN162" s="1" t="s">
        <v>400</v>
      </c>
      <c r="AO162" s="2" t="s">
        <v>76</v>
      </c>
      <c r="AQ162" s="2" t="s">
        <v>75</v>
      </c>
      <c r="AR162" s="2" t="s">
        <v>76</v>
      </c>
      <c r="AS162" s="1">
        <v>1850.0</v>
      </c>
      <c r="AT162" s="1">
        <v>1850.0</v>
      </c>
      <c r="AU162" s="1">
        <v>995.0</v>
      </c>
      <c r="AV162" s="1">
        <v>2.0</v>
      </c>
      <c r="AW162" s="1">
        <v>16.0</v>
      </c>
      <c r="AX162" s="1">
        <v>9579.0</v>
      </c>
      <c r="AY162" s="1">
        <v>413.0</v>
      </c>
      <c r="AZ162" s="1" t="s">
        <v>525</v>
      </c>
      <c r="BA162" s="1" t="s">
        <v>104</v>
      </c>
    </row>
    <row r="163">
      <c r="A163" s="1" t="s">
        <v>729</v>
      </c>
      <c r="B163" s="1" t="s">
        <v>53</v>
      </c>
      <c r="C163" s="1">
        <v>2004.0</v>
      </c>
      <c r="D163" s="1" t="s">
        <v>730</v>
      </c>
      <c r="E163" s="1" t="s">
        <v>731</v>
      </c>
      <c r="F163" s="1" t="s">
        <v>732</v>
      </c>
      <c r="G163" s="1" t="s">
        <v>733</v>
      </c>
      <c r="H163" s="1" t="s">
        <v>734</v>
      </c>
      <c r="I163" s="1">
        <v>32.0</v>
      </c>
      <c r="J163" s="1">
        <v>3.0</v>
      </c>
      <c r="K163" s="2" t="s">
        <v>735</v>
      </c>
      <c r="L163" s="2" t="s">
        <v>60</v>
      </c>
      <c r="M163" s="1" t="s">
        <v>742</v>
      </c>
      <c r="N163" s="1" t="s">
        <v>62</v>
      </c>
      <c r="O163" s="1" t="s">
        <v>737</v>
      </c>
      <c r="P163" s="1" t="s">
        <v>738</v>
      </c>
      <c r="Q163" s="1">
        <v>13.57</v>
      </c>
      <c r="R163" s="1">
        <v>-89.52</v>
      </c>
      <c r="S163" s="1" t="s">
        <v>148</v>
      </c>
      <c r="T163" s="2" t="s">
        <v>194</v>
      </c>
      <c r="U163" s="1" t="s">
        <v>173</v>
      </c>
      <c r="V163" s="3" t="s">
        <v>277</v>
      </c>
      <c r="W163" s="1" t="s">
        <v>286</v>
      </c>
      <c r="X163" s="1" t="s">
        <v>70</v>
      </c>
      <c r="Y163" s="6" t="s">
        <v>76</v>
      </c>
      <c r="Z163" s="3" t="s">
        <v>76</v>
      </c>
      <c r="AB163" s="1">
        <v>3.0</v>
      </c>
      <c r="AH163" s="1">
        <v>1.0</v>
      </c>
      <c r="AI163" s="1" t="s">
        <v>740</v>
      </c>
      <c r="AJ163" s="1">
        <v>-6570.0</v>
      </c>
      <c r="AK163" s="1">
        <v>1950.0</v>
      </c>
      <c r="AL163" s="2" t="s">
        <v>73</v>
      </c>
      <c r="AM163" s="2" t="s">
        <v>76</v>
      </c>
      <c r="AN163" s="1" t="s">
        <v>400</v>
      </c>
      <c r="AO163" s="2" t="s">
        <v>76</v>
      </c>
      <c r="AQ163" s="2" t="s">
        <v>75</v>
      </c>
      <c r="AR163" s="2" t="s">
        <v>76</v>
      </c>
      <c r="AS163" s="1">
        <v>1850.0</v>
      </c>
      <c r="AT163" s="1">
        <v>1850.0</v>
      </c>
      <c r="AU163" s="1">
        <v>995.0</v>
      </c>
      <c r="AV163" s="1">
        <v>2.0</v>
      </c>
      <c r="AW163" s="1">
        <v>16.0</v>
      </c>
      <c r="AX163" s="1">
        <v>9579.0</v>
      </c>
      <c r="AY163" s="1">
        <v>413.0</v>
      </c>
      <c r="AZ163" s="1" t="s">
        <v>525</v>
      </c>
      <c r="BA163" s="1" t="s">
        <v>104</v>
      </c>
    </row>
    <row r="164">
      <c r="A164" s="1" t="s">
        <v>743</v>
      </c>
      <c r="B164" s="1" t="s">
        <v>53</v>
      </c>
      <c r="C164" s="1">
        <v>1995.0</v>
      </c>
      <c r="D164" s="1" t="s">
        <v>744</v>
      </c>
      <c r="E164" s="1" t="s">
        <v>745</v>
      </c>
      <c r="F164" s="1" t="s">
        <v>746</v>
      </c>
      <c r="G164" s="1" t="s">
        <v>747</v>
      </c>
      <c r="H164" s="1" t="s">
        <v>748</v>
      </c>
      <c r="I164" s="1">
        <v>22.0</v>
      </c>
      <c r="J164" s="1">
        <v>2.0</v>
      </c>
      <c r="K164" s="2" t="s">
        <v>749</v>
      </c>
      <c r="L164" s="2" t="s">
        <v>76</v>
      </c>
      <c r="M164" s="1" t="s">
        <v>743</v>
      </c>
      <c r="N164" s="1" t="s">
        <v>62</v>
      </c>
      <c r="O164" s="1" t="s">
        <v>187</v>
      </c>
      <c r="P164" s="1" t="s">
        <v>188</v>
      </c>
      <c r="Q164" s="1">
        <v>17.937719</v>
      </c>
      <c r="R164" s="1">
        <v>-88.366374</v>
      </c>
      <c r="S164" s="1" t="s">
        <v>114</v>
      </c>
      <c r="T164" s="2" t="s">
        <v>275</v>
      </c>
      <c r="U164" s="1" t="s">
        <v>116</v>
      </c>
      <c r="V164" s="3" t="s">
        <v>68</v>
      </c>
      <c r="W164" s="1" t="s">
        <v>278</v>
      </c>
      <c r="X164" s="1" t="s">
        <v>279</v>
      </c>
      <c r="Y164" s="6" t="s">
        <v>76</v>
      </c>
      <c r="Z164" s="3" t="s">
        <v>76</v>
      </c>
      <c r="AA164" s="1">
        <v>1.0</v>
      </c>
      <c r="AB164" s="1">
        <v>6.0</v>
      </c>
      <c r="AI164" s="1" t="s">
        <v>750</v>
      </c>
      <c r="AJ164" s="2" t="s">
        <v>72</v>
      </c>
      <c r="AK164" s="2" t="s">
        <v>72</v>
      </c>
      <c r="AL164" s="2" t="s">
        <v>100</v>
      </c>
      <c r="AM164" s="2" t="s">
        <v>72</v>
      </c>
      <c r="AN164" s="1" t="s">
        <v>192</v>
      </c>
      <c r="AO164" s="2" t="s">
        <v>72</v>
      </c>
      <c r="AQ164" s="2" t="s">
        <v>75</v>
      </c>
      <c r="AR164" s="2" t="s">
        <v>60</v>
      </c>
      <c r="AS164" s="1">
        <v>1641.0</v>
      </c>
      <c r="AT164" s="1">
        <v>1641.0</v>
      </c>
      <c r="AU164" s="1">
        <v>627.0</v>
      </c>
      <c r="AV164" s="1">
        <v>42.0</v>
      </c>
      <c r="AW164" s="1">
        <v>136.0</v>
      </c>
      <c r="AX164" s="1">
        <v>5337.0</v>
      </c>
      <c r="AY164" s="1">
        <v>15.0</v>
      </c>
      <c r="AZ164" s="1" t="s">
        <v>133</v>
      </c>
      <c r="BA164" s="1" t="s">
        <v>121</v>
      </c>
    </row>
    <row r="165">
      <c r="A165" s="1" t="s">
        <v>751</v>
      </c>
      <c r="B165" s="1" t="s">
        <v>268</v>
      </c>
      <c r="C165" s="1">
        <v>2004.0</v>
      </c>
      <c r="D165" s="1" t="s">
        <v>730</v>
      </c>
      <c r="E165" s="1" t="s">
        <v>752</v>
      </c>
      <c r="H165" s="1" t="s">
        <v>753</v>
      </c>
      <c r="I165" s="1">
        <v>61.0</v>
      </c>
      <c r="K165" s="2" t="s">
        <v>754</v>
      </c>
      <c r="L165" s="2" t="s">
        <v>60</v>
      </c>
      <c r="M165" s="1" t="s">
        <v>755</v>
      </c>
      <c r="N165" s="1" t="s">
        <v>62</v>
      </c>
      <c r="O165" s="1" t="s">
        <v>737</v>
      </c>
      <c r="P165" s="1" t="s">
        <v>756</v>
      </c>
      <c r="Q165" s="1">
        <v>13.854167</v>
      </c>
      <c r="R165" s="1">
        <v>-89.885556</v>
      </c>
      <c r="S165" s="1" t="s">
        <v>148</v>
      </c>
      <c r="T165" s="2" t="s">
        <v>382</v>
      </c>
      <c r="U165" s="1" t="s">
        <v>173</v>
      </c>
      <c r="V165" s="3" t="s">
        <v>277</v>
      </c>
      <c r="W165" s="1" t="s">
        <v>739</v>
      </c>
      <c r="X165" s="1" t="s">
        <v>544</v>
      </c>
      <c r="Y165" s="6" t="s">
        <v>76</v>
      </c>
      <c r="Z165" s="3" t="s">
        <v>76</v>
      </c>
      <c r="AB165" s="1">
        <v>4.0</v>
      </c>
      <c r="AH165" s="1">
        <v>1.0</v>
      </c>
      <c r="AI165" s="1" t="s">
        <v>757</v>
      </c>
      <c r="AJ165" s="1">
        <v>-6050.0</v>
      </c>
      <c r="AK165" s="1">
        <v>1998.0</v>
      </c>
      <c r="AL165" s="2" t="s">
        <v>73</v>
      </c>
      <c r="AM165" s="2" t="s">
        <v>76</v>
      </c>
      <c r="AN165" s="1" t="s">
        <v>400</v>
      </c>
      <c r="AO165" s="2" t="s">
        <v>76</v>
      </c>
      <c r="AQ165" s="2" t="s">
        <v>75</v>
      </c>
      <c r="AR165" s="2" t="s">
        <v>76</v>
      </c>
      <c r="AS165" s="1">
        <v>1995.0</v>
      </c>
      <c r="AT165" s="1">
        <v>1995.0</v>
      </c>
      <c r="AU165" s="1">
        <v>1013.0</v>
      </c>
      <c r="AV165" s="1">
        <v>5.0</v>
      </c>
      <c r="AW165" s="1">
        <v>17.0</v>
      </c>
      <c r="AX165" s="1">
        <v>9481.0</v>
      </c>
      <c r="AY165" s="1">
        <v>1131.0</v>
      </c>
      <c r="AZ165" s="1" t="s">
        <v>758</v>
      </c>
      <c r="BA165" s="1" t="s">
        <v>121</v>
      </c>
    </row>
    <row r="166">
      <c r="A166" s="1" t="s">
        <v>751</v>
      </c>
      <c r="B166" s="1" t="s">
        <v>268</v>
      </c>
      <c r="C166" s="1">
        <v>2004.0</v>
      </c>
      <c r="D166" s="1" t="s">
        <v>730</v>
      </c>
      <c r="E166" s="1" t="s">
        <v>752</v>
      </c>
      <c r="H166" s="1" t="s">
        <v>753</v>
      </c>
      <c r="I166" s="1">
        <v>61.0</v>
      </c>
      <c r="K166" s="2" t="s">
        <v>754</v>
      </c>
      <c r="L166" s="2" t="s">
        <v>60</v>
      </c>
      <c r="M166" s="1" t="s">
        <v>759</v>
      </c>
      <c r="N166" s="1" t="s">
        <v>62</v>
      </c>
      <c r="O166" s="1" t="s">
        <v>737</v>
      </c>
      <c r="P166" s="1" t="s">
        <v>756</v>
      </c>
      <c r="Q166" s="1">
        <v>13.854167</v>
      </c>
      <c r="R166" s="1">
        <v>-89.885556</v>
      </c>
      <c r="S166" s="1" t="s">
        <v>148</v>
      </c>
      <c r="T166" s="2" t="s">
        <v>275</v>
      </c>
      <c r="U166" s="1" t="s">
        <v>276</v>
      </c>
      <c r="V166" s="3" t="s">
        <v>277</v>
      </c>
      <c r="W166" s="1" t="s">
        <v>278</v>
      </c>
      <c r="X166" s="1" t="s">
        <v>279</v>
      </c>
      <c r="Y166" s="6" t="s">
        <v>76</v>
      </c>
      <c r="Z166" s="3" t="s">
        <v>76</v>
      </c>
      <c r="AB166" s="1">
        <v>4.0</v>
      </c>
      <c r="AH166" s="1">
        <v>1.0</v>
      </c>
      <c r="AI166" s="1" t="s">
        <v>757</v>
      </c>
      <c r="AJ166" s="1">
        <v>-6050.0</v>
      </c>
      <c r="AK166" s="1">
        <v>1998.0</v>
      </c>
      <c r="AL166" s="2" t="s">
        <v>73</v>
      </c>
      <c r="AM166" s="2" t="s">
        <v>76</v>
      </c>
      <c r="AN166" s="1" t="s">
        <v>400</v>
      </c>
      <c r="AO166" s="2" t="s">
        <v>76</v>
      </c>
      <c r="AQ166" s="2" t="s">
        <v>75</v>
      </c>
      <c r="AR166" s="2" t="s">
        <v>76</v>
      </c>
      <c r="AS166" s="1">
        <v>1995.0</v>
      </c>
      <c r="AT166" s="1">
        <v>1995.0</v>
      </c>
      <c r="AU166" s="1">
        <v>1013.0</v>
      </c>
      <c r="AV166" s="1">
        <v>5.0</v>
      </c>
      <c r="AW166" s="1">
        <v>17.0</v>
      </c>
      <c r="AX166" s="1">
        <v>9481.0</v>
      </c>
      <c r="AY166" s="1">
        <v>1131.0</v>
      </c>
      <c r="AZ166" s="1" t="s">
        <v>758</v>
      </c>
      <c r="BA166" s="1" t="s">
        <v>121</v>
      </c>
    </row>
    <row r="167">
      <c r="A167" s="1" t="s">
        <v>760</v>
      </c>
      <c r="B167" s="1" t="s">
        <v>53</v>
      </c>
      <c r="C167" s="1">
        <v>2004.0</v>
      </c>
      <c r="D167" s="1" t="s">
        <v>761</v>
      </c>
      <c r="E167" s="1" t="s">
        <v>762</v>
      </c>
      <c r="F167" s="1" t="s">
        <v>763</v>
      </c>
      <c r="G167" s="1" t="s">
        <v>764</v>
      </c>
      <c r="H167" s="1" t="s">
        <v>765</v>
      </c>
      <c r="I167" s="1">
        <v>109.0</v>
      </c>
      <c r="J167" s="1">
        <v>20.0</v>
      </c>
      <c r="K167" s="2" t="s">
        <v>766</v>
      </c>
      <c r="L167" s="2" t="s">
        <v>60</v>
      </c>
      <c r="M167" s="1" t="s">
        <v>767</v>
      </c>
      <c r="N167" s="1" t="s">
        <v>62</v>
      </c>
      <c r="O167" s="1" t="s">
        <v>146</v>
      </c>
      <c r="P167" s="1" t="s">
        <v>768</v>
      </c>
      <c r="Q167" s="1">
        <v>9.2</v>
      </c>
      <c r="R167" s="1">
        <v>-79.7</v>
      </c>
      <c r="S167" s="1" t="s">
        <v>94</v>
      </c>
      <c r="T167" s="2" t="s">
        <v>95</v>
      </c>
      <c r="U167" s="2" t="s">
        <v>96</v>
      </c>
      <c r="V167" s="3" t="s">
        <v>97</v>
      </c>
      <c r="W167" s="1" t="s">
        <v>769</v>
      </c>
      <c r="X167" s="2" t="s">
        <v>99</v>
      </c>
      <c r="Y167" s="6" t="s">
        <v>76</v>
      </c>
      <c r="Z167" s="3" t="s">
        <v>76</v>
      </c>
      <c r="AF167" s="1">
        <v>5.0</v>
      </c>
      <c r="AJ167" s="1">
        <v>-180.0</v>
      </c>
      <c r="AK167" s="1">
        <v>1320.0</v>
      </c>
      <c r="AL167" s="2" t="s">
        <v>153</v>
      </c>
      <c r="AM167" s="3" t="s">
        <v>60</v>
      </c>
      <c r="AN167" s="2" t="s">
        <v>72</v>
      </c>
      <c r="AO167" s="2" t="s">
        <v>101</v>
      </c>
      <c r="AQ167" s="2" t="s">
        <v>102</v>
      </c>
      <c r="AR167" s="2" t="s">
        <v>76</v>
      </c>
      <c r="AS167" s="1">
        <v>2748.0</v>
      </c>
      <c r="AT167" s="1">
        <v>2748.0</v>
      </c>
      <c r="AU167" s="1">
        <v>1040.0</v>
      </c>
      <c r="AV167" s="1">
        <v>18.0</v>
      </c>
      <c r="AW167" s="1">
        <v>103.0</v>
      </c>
      <c r="AX167" s="1">
        <v>6282.0</v>
      </c>
      <c r="AY167" s="1">
        <v>136.0</v>
      </c>
      <c r="AZ167" s="1" t="s">
        <v>120</v>
      </c>
      <c r="BA167" s="1" t="s">
        <v>121</v>
      </c>
    </row>
    <row r="168">
      <c r="A168" s="1" t="s">
        <v>751</v>
      </c>
      <c r="B168" s="1" t="s">
        <v>268</v>
      </c>
      <c r="C168" s="1">
        <v>2004.0</v>
      </c>
      <c r="D168" s="1" t="s">
        <v>730</v>
      </c>
      <c r="E168" s="1" t="s">
        <v>752</v>
      </c>
      <c r="H168" s="1" t="s">
        <v>753</v>
      </c>
      <c r="I168" s="1">
        <v>61.0</v>
      </c>
      <c r="K168" s="2" t="s">
        <v>754</v>
      </c>
      <c r="L168" s="2" t="s">
        <v>60</v>
      </c>
      <c r="M168" s="1" t="s">
        <v>770</v>
      </c>
      <c r="N168" s="1" t="s">
        <v>62</v>
      </c>
      <c r="O168" s="1" t="s">
        <v>737</v>
      </c>
      <c r="P168" s="1" t="s">
        <v>756</v>
      </c>
      <c r="Q168" s="1">
        <v>13.854167</v>
      </c>
      <c r="R168" s="1">
        <v>-89.885556</v>
      </c>
      <c r="S168" s="1" t="s">
        <v>148</v>
      </c>
      <c r="T168" s="2" t="s">
        <v>194</v>
      </c>
      <c r="U168" s="1" t="s">
        <v>173</v>
      </c>
      <c r="V168" s="3" t="s">
        <v>277</v>
      </c>
      <c r="W168" s="1" t="s">
        <v>286</v>
      </c>
      <c r="X168" s="1" t="s">
        <v>70</v>
      </c>
      <c r="Y168" s="6" t="s">
        <v>76</v>
      </c>
      <c r="Z168" s="3" t="s">
        <v>76</v>
      </c>
      <c r="AB168" s="1">
        <v>4.0</v>
      </c>
      <c r="AH168" s="1">
        <v>1.0</v>
      </c>
      <c r="AI168" s="1" t="s">
        <v>757</v>
      </c>
      <c r="AJ168" s="1">
        <v>-6050.0</v>
      </c>
      <c r="AK168" s="1">
        <v>1998.0</v>
      </c>
      <c r="AL168" s="2" t="s">
        <v>73</v>
      </c>
      <c r="AM168" s="2" t="s">
        <v>76</v>
      </c>
      <c r="AN168" s="1" t="s">
        <v>400</v>
      </c>
      <c r="AO168" s="2" t="s">
        <v>76</v>
      </c>
      <c r="AQ168" s="2" t="s">
        <v>75</v>
      </c>
      <c r="AR168" s="2" t="s">
        <v>76</v>
      </c>
      <c r="AS168" s="1">
        <v>1995.0</v>
      </c>
      <c r="AT168" s="1">
        <v>1995.0</v>
      </c>
      <c r="AU168" s="1">
        <v>1013.0</v>
      </c>
      <c r="AV168" s="1">
        <v>5.0</v>
      </c>
      <c r="AW168" s="1">
        <v>17.0</v>
      </c>
      <c r="AX168" s="1">
        <v>9481.0</v>
      </c>
      <c r="AY168" s="1">
        <v>1131.0</v>
      </c>
      <c r="AZ168" s="1" t="s">
        <v>758</v>
      </c>
      <c r="BA168" s="1" t="s">
        <v>121</v>
      </c>
    </row>
    <row r="169">
      <c r="A169" s="1" t="s">
        <v>760</v>
      </c>
      <c r="B169" s="1" t="s">
        <v>53</v>
      </c>
      <c r="C169" s="1">
        <v>2004.0</v>
      </c>
      <c r="D169" s="1" t="s">
        <v>761</v>
      </c>
      <c r="E169" s="1" t="s">
        <v>762</v>
      </c>
      <c r="F169" s="1" t="s">
        <v>763</v>
      </c>
      <c r="G169" s="1" t="s">
        <v>764</v>
      </c>
      <c r="H169" s="1" t="s">
        <v>765</v>
      </c>
      <c r="I169" s="1">
        <v>109.0</v>
      </c>
      <c r="J169" s="1">
        <v>20.0</v>
      </c>
      <c r="K169" s="2" t="s">
        <v>766</v>
      </c>
      <c r="L169" s="2" t="s">
        <v>60</v>
      </c>
      <c r="M169" s="1" t="s">
        <v>771</v>
      </c>
      <c r="N169" s="1" t="s">
        <v>62</v>
      </c>
      <c r="O169" s="1" t="s">
        <v>146</v>
      </c>
      <c r="P169" s="1" t="s">
        <v>768</v>
      </c>
      <c r="Q169" s="1">
        <v>9.2</v>
      </c>
      <c r="R169" s="1">
        <v>-79.7</v>
      </c>
      <c r="S169" s="1" t="s">
        <v>94</v>
      </c>
      <c r="T169" s="2" t="s">
        <v>135</v>
      </c>
      <c r="U169" s="2" t="s">
        <v>96</v>
      </c>
      <c r="V169" s="3" t="s">
        <v>97</v>
      </c>
      <c r="W169" s="1" t="s">
        <v>769</v>
      </c>
      <c r="X169" s="2" t="s">
        <v>99</v>
      </c>
      <c r="Y169" s="6" t="s">
        <v>76</v>
      </c>
      <c r="Z169" s="3" t="s">
        <v>76</v>
      </c>
      <c r="AF169" s="1">
        <v>5.0</v>
      </c>
      <c r="AJ169" s="1">
        <v>-180.0</v>
      </c>
      <c r="AK169" s="1">
        <v>1320.0</v>
      </c>
      <c r="AL169" s="2" t="s">
        <v>153</v>
      </c>
      <c r="AM169" s="3" t="s">
        <v>60</v>
      </c>
      <c r="AN169" s="2" t="s">
        <v>72</v>
      </c>
      <c r="AO169" s="2" t="s">
        <v>101</v>
      </c>
      <c r="AQ169" s="2" t="s">
        <v>102</v>
      </c>
      <c r="AR169" s="2" t="s">
        <v>76</v>
      </c>
      <c r="AS169" s="1">
        <v>2748.0</v>
      </c>
      <c r="AT169" s="1">
        <v>2748.0</v>
      </c>
      <c r="AU169" s="1">
        <v>1040.0</v>
      </c>
      <c r="AV169" s="1">
        <v>18.0</v>
      </c>
      <c r="AW169" s="1">
        <v>103.0</v>
      </c>
      <c r="AX169" s="1">
        <v>6282.0</v>
      </c>
      <c r="AY169" s="1">
        <v>136.0</v>
      </c>
      <c r="AZ169" s="1" t="s">
        <v>120</v>
      </c>
      <c r="BA169" s="1" t="s">
        <v>121</v>
      </c>
    </row>
    <row r="170">
      <c r="A170" s="1" t="s">
        <v>772</v>
      </c>
      <c r="B170" s="1" t="s">
        <v>53</v>
      </c>
      <c r="C170" s="1">
        <v>2008.0</v>
      </c>
      <c r="D170" s="1" t="s">
        <v>773</v>
      </c>
      <c r="E170" s="1" t="s">
        <v>774</v>
      </c>
      <c r="F170" s="1" t="s">
        <v>775</v>
      </c>
      <c r="G170" s="1" t="s">
        <v>776</v>
      </c>
      <c r="H170" s="1" t="s">
        <v>777</v>
      </c>
      <c r="I170" s="1">
        <v>113.0</v>
      </c>
      <c r="J170" s="1">
        <v>3.0</v>
      </c>
      <c r="L170" s="2" t="s">
        <v>76</v>
      </c>
      <c r="M170" s="1" t="s">
        <v>772</v>
      </c>
      <c r="N170" s="1" t="s">
        <v>62</v>
      </c>
      <c r="O170" s="1" t="s">
        <v>112</v>
      </c>
      <c r="P170" s="1" t="s">
        <v>778</v>
      </c>
      <c r="Q170" s="1">
        <v>10.2</v>
      </c>
      <c r="R170" s="1">
        <v>-85.35</v>
      </c>
      <c r="S170" s="1" t="s">
        <v>225</v>
      </c>
      <c r="T170" s="2" t="s">
        <v>225</v>
      </c>
      <c r="U170" s="2" t="s">
        <v>96</v>
      </c>
      <c r="V170" s="3" t="s">
        <v>97</v>
      </c>
      <c r="W170" s="2" t="s">
        <v>72</v>
      </c>
      <c r="X170" s="1" t="s">
        <v>483</v>
      </c>
      <c r="Y170" s="6" t="s">
        <v>76</v>
      </c>
      <c r="Z170" s="3" t="s">
        <v>76</v>
      </c>
      <c r="AG170" s="1">
        <v>1.0</v>
      </c>
      <c r="AI170" s="2" t="s">
        <v>72</v>
      </c>
      <c r="AJ170" s="1">
        <v>1988.0</v>
      </c>
      <c r="AK170" s="1">
        <v>2004.0</v>
      </c>
      <c r="AL170" s="2" t="s">
        <v>153</v>
      </c>
      <c r="AM170" s="2" t="s">
        <v>72</v>
      </c>
      <c r="AN170" s="2" t="s">
        <v>72</v>
      </c>
      <c r="AO170" s="2" t="s">
        <v>101</v>
      </c>
      <c r="AQ170" s="2" t="s">
        <v>102</v>
      </c>
      <c r="AR170" s="2" t="s">
        <v>76</v>
      </c>
      <c r="AS170" s="1">
        <v>1892.0</v>
      </c>
      <c r="AT170" s="1">
        <v>1892.0</v>
      </c>
      <c r="AU170" s="1">
        <v>928.0</v>
      </c>
      <c r="AV170" s="1">
        <v>3.0</v>
      </c>
      <c r="AW170" s="1">
        <v>22.0</v>
      </c>
      <c r="AX170" s="1">
        <v>8663.0</v>
      </c>
      <c r="AY170" s="1">
        <v>328.0</v>
      </c>
      <c r="AZ170" s="1" t="s">
        <v>525</v>
      </c>
      <c r="BA170" s="1" t="s">
        <v>104</v>
      </c>
    </row>
    <row r="171">
      <c r="A171" s="1" t="s">
        <v>779</v>
      </c>
      <c r="B171" s="1" t="s">
        <v>53</v>
      </c>
      <c r="C171" s="1">
        <v>2011.0</v>
      </c>
      <c r="D171" s="1" t="s">
        <v>780</v>
      </c>
      <c r="E171" s="1" t="s">
        <v>781</v>
      </c>
      <c r="F171" s="1" t="s">
        <v>782</v>
      </c>
      <c r="G171" s="1" t="s">
        <v>783</v>
      </c>
      <c r="H171" s="1" t="s">
        <v>784</v>
      </c>
      <c r="I171" s="1">
        <v>10.0</v>
      </c>
      <c r="J171" s="1">
        <v>2.0</v>
      </c>
      <c r="K171" s="2" t="s">
        <v>785</v>
      </c>
      <c r="L171" s="2" t="s">
        <v>60</v>
      </c>
      <c r="M171" s="1" t="s">
        <v>786</v>
      </c>
      <c r="N171" s="1" t="s">
        <v>62</v>
      </c>
      <c r="O171" s="1" t="s">
        <v>167</v>
      </c>
      <c r="P171" s="1" t="s">
        <v>787</v>
      </c>
      <c r="Q171" s="1">
        <v>15.423444</v>
      </c>
      <c r="R171" s="1">
        <v>-91.438694</v>
      </c>
      <c r="S171" s="1" t="s">
        <v>148</v>
      </c>
      <c r="T171" s="2" t="s">
        <v>321</v>
      </c>
      <c r="U171" s="1" t="s">
        <v>156</v>
      </c>
      <c r="V171" s="3" t="s">
        <v>788</v>
      </c>
      <c r="W171" s="1" t="s">
        <v>264</v>
      </c>
      <c r="X171" s="2" t="s">
        <v>83</v>
      </c>
      <c r="Y171" s="6" t="s">
        <v>76</v>
      </c>
      <c r="Z171" s="3" t="s">
        <v>76</v>
      </c>
      <c r="AB171" s="1">
        <v>3.0</v>
      </c>
      <c r="AI171" s="1" t="s">
        <v>789</v>
      </c>
      <c r="AJ171" s="1">
        <v>-10000.0</v>
      </c>
      <c r="AK171" s="1">
        <v>-150.0</v>
      </c>
      <c r="AL171" s="2" t="s">
        <v>100</v>
      </c>
      <c r="AM171" s="2" t="s">
        <v>76</v>
      </c>
      <c r="AN171" s="1" t="s">
        <v>238</v>
      </c>
      <c r="AO171" s="2" t="s">
        <v>60</v>
      </c>
      <c r="AQ171" s="2" t="s">
        <v>102</v>
      </c>
      <c r="AR171" s="2" t="s">
        <v>76</v>
      </c>
      <c r="AS171" s="1">
        <v>1420.0</v>
      </c>
      <c r="AT171" s="1">
        <v>1420.0</v>
      </c>
      <c r="AU171" s="1">
        <v>672.0</v>
      </c>
      <c r="AV171" s="1">
        <v>10.0</v>
      </c>
      <c r="AW171" s="1">
        <v>40.0</v>
      </c>
      <c r="AX171" s="1">
        <v>8358.0</v>
      </c>
      <c r="AY171" s="1">
        <v>3077.0</v>
      </c>
      <c r="AZ171" s="1" t="s">
        <v>758</v>
      </c>
      <c r="BA171" s="1" t="s">
        <v>121</v>
      </c>
    </row>
    <row r="172">
      <c r="A172" s="1" t="s">
        <v>790</v>
      </c>
      <c r="B172" s="1" t="s">
        <v>53</v>
      </c>
      <c r="C172" s="1">
        <v>2005.0</v>
      </c>
      <c r="D172" s="1" t="s">
        <v>791</v>
      </c>
      <c r="E172" s="1" t="s">
        <v>792</v>
      </c>
      <c r="F172" s="1" t="s">
        <v>793</v>
      </c>
      <c r="G172" s="1" t="s">
        <v>794</v>
      </c>
      <c r="H172" s="1" t="s">
        <v>795</v>
      </c>
      <c r="I172" s="1">
        <v>221.0</v>
      </c>
      <c r="J172" s="1">
        <v>43862.0</v>
      </c>
      <c r="K172" s="2" t="s">
        <v>796</v>
      </c>
      <c r="L172" s="2" t="s">
        <v>60</v>
      </c>
      <c r="M172" s="1" t="s">
        <v>797</v>
      </c>
      <c r="N172" s="1" t="s">
        <v>62</v>
      </c>
      <c r="O172" s="1" t="s">
        <v>112</v>
      </c>
      <c r="P172" s="1" t="s">
        <v>798</v>
      </c>
      <c r="Q172" s="1">
        <v>8.933333</v>
      </c>
      <c r="R172" s="1">
        <v>-82.933333</v>
      </c>
      <c r="S172" s="1" t="s">
        <v>148</v>
      </c>
      <c r="T172" s="2" t="s">
        <v>189</v>
      </c>
      <c r="U172" s="1" t="s">
        <v>72</v>
      </c>
      <c r="V172" s="3" t="s">
        <v>277</v>
      </c>
      <c r="W172" s="1" t="s">
        <v>284</v>
      </c>
      <c r="X172" s="2" t="s">
        <v>72</v>
      </c>
      <c r="Y172" s="6" t="s">
        <v>76</v>
      </c>
      <c r="Z172" s="3" t="s">
        <v>76</v>
      </c>
      <c r="AB172" s="1">
        <v>1.0</v>
      </c>
      <c r="AI172" s="1" t="s">
        <v>799</v>
      </c>
      <c r="AJ172" s="1">
        <v>140.0</v>
      </c>
      <c r="AK172" s="1">
        <v>1800.0</v>
      </c>
      <c r="AL172" s="2" t="s">
        <v>73</v>
      </c>
      <c r="AM172" s="2" t="s">
        <v>72</v>
      </c>
      <c r="AN172" s="1" t="s">
        <v>400</v>
      </c>
      <c r="AO172" s="2" t="s">
        <v>72</v>
      </c>
      <c r="AQ172" s="2" t="s">
        <v>75</v>
      </c>
      <c r="AR172" s="2" t="s">
        <v>76</v>
      </c>
      <c r="AS172" s="1">
        <v>2756.0</v>
      </c>
      <c r="AT172" s="1">
        <v>2756.0</v>
      </c>
      <c r="AU172" s="1">
        <v>1197.0</v>
      </c>
      <c r="AV172" s="1">
        <v>40.0</v>
      </c>
      <c r="AW172" s="1">
        <v>160.0</v>
      </c>
      <c r="AX172" s="1">
        <v>6258.0</v>
      </c>
      <c r="AY172" s="1">
        <v>1017.0</v>
      </c>
      <c r="AZ172" s="1" t="s">
        <v>281</v>
      </c>
      <c r="BA172" s="1" t="s">
        <v>121</v>
      </c>
    </row>
    <row r="173">
      <c r="A173" s="1" t="s">
        <v>790</v>
      </c>
      <c r="B173" s="1" t="s">
        <v>53</v>
      </c>
      <c r="C173" s="1">
        <v>2005.0</v>
      </c>
      <c r="D173" s="1" t="s">
        <v>791</v>
      </c>
      <c r="E173" s="1" t="s">
        <v>792</v>
      </c>
      <c r="F173" s="1" t="s">
        <v>793</v>
      </c>
      <c r="G173" s="1" t="s">
        <v>794</v>
      </c>
      <c r="H173" s="1" t="s">
        <v>795</v>
      </c>
      <c r="I173" s="1">
        <v>221.0</v>
      </c>
      <c r="J173" s="1">
        <v>43862.0</v>
      </c>
      <c r="K173" s="2" t="s">
        <v>796</v>
      </c>
      <c r="L173" s="2" t="s">
        <v>60</v>
      </c>
      <c r="M173" s="1" t="s">
        <v>800</v>
      </c>
      <c r="N173" s="1" t="s">
        <v>62</v>
      </c>
      <c r="O173" s="1" t="s">
        <v>112</v>
      </c>
      <c r="P173" s="1" t="s">
        <v>798</v>
      </c>
      <c r="Q173" s="1">
        <v>8.933333</v>
      </c>
      <c r="R173" s="1">
        <v>-82.933333</v>
      </c>
      <c r="S173" s="1" t="s">
        <v>148</v>
      </c>
      <c r="T173" s="2" t="s">
        <v>275</v>
      </c>
      <c r="U173" s="1" t="s">
        <v>72</v>
      </c>
      <c r="V173" s="3" t="s">
        <v>277</v>
      </c>
      <c r="W173" s="1" t="s">
        <v>801</v>
      </c>
      <c r="X173" s="1" t="s">
        <v>279</v>
      </c>
      <c r="Y173" s="6" t="s">
        <v>76</v>
      </c>
      <c r="Z173" s="3" t="s">
        <v>76</v>
      </c>
      <c r="AB173" s="1">
        <v>1.0</v>
      </c>
      <c r="AI173" s="1" t="s">
        <v>799</v>
      </c>
      <c r="AJ173" s="1">
        <v>140.0</v>
      </c>
      <c r="AK173" s="1">
        <v>1800.0</v>
      </c>
      <c r="AL173" s="2" t="s">
        <v>73</v>
      </c>
      <c r="AM173" s="2" t="s">
        <v>72</v>
      </c>
      <c r="AN173" s="1" t="s">
        <v>400</v>
      </c>
      <c r="AO173" s="2" t="s">
        <v>72</v>
      </c>
      <c r="AQ173" s="2" t="s">
        <v>75</v>
      </c>
      <c r="AR173" s="2" t="s">
        <v>76</v>
      </c>
      <c r="AS173" s="1">
        <v>2756.0</v>
      </c>
      <c r="AT173" s="1">
        <v>2756.0</v>
      </c>
      <c r="AU173" s="1">
        <v>1197.0</v>
      </c>
      <c r="AV173" s="1">
        <v>40.0</v>
      </c>
      <c r="AW173" s="1">
        <v>160.0</v>
      </c>
      <c r="AX173" s="1">
        <v>6258.0</v>
      </c>
      <c r="AY173" s="1">
        <v>1017.0</v>
      </c>
      <c r="AZ173" s="1" t="s">
        <v>281</v>
      </c>
      <c r="BA173" s="1" t="s">
        <v>121</v>
      </c>
    </row>
    <row r="174">
      <c r="A174" s="1" t="s">
        <v>779</v>
      </c>
      <c r="B174" s="1" t="s">
        <v>53</v>
      </c>
      <c r="C174" s="1">
        <v>2011.0</v>
      </c>
      <c r="D174" s="1" t="s">
        <v>780</v>
      </c>
      <c r="E174" s="1" t="s">
        <v>781</v>
      </c>
      <c r="F174" s="1" t="s">
        <v>782</v>
      </c>
      <c r="G174" s="1" t="s">
        <v>783</v>
      </c>
      <c r="H174" s="1" t="s">
        <v>784</v>
      </c>
      <c r="I174" s="1">
        <v>10.0</v>
      </c>
      <c r="J174" s="1">
        <v>2.0</v>
      </c>
      <c r="K174" s="2" t="s">
        <v>785</v>
      </c>
      <c r="L174" s="2" t="s">
        <v>60</v>
      </c>
      <c r="M174" s="1" t="s">
        <v>802</v>
      </c>
      <c r="N174" s="1" t="s">
        <v>62</v>
      </c>
      <c r="O174" s="1" t="s">
        <v>167</v>
      </c>
      <c r="P174" s="1" t="s">
        <v>787</v>
      </c>
      <c r="Q174" s="1">
        <v>15.423444</v>
      </c>
      <c r="R174" s="1">
        <v>-91.438694</v>
      </c>
      <c r="S174" s="1" t="s">
        <v>148</v>
      </c>
      <c r="T174" s="2" t="s">
        <v>66</v>
      </c>
      <c r="U174" s="2" t="s">
        <v>803</v>
      </c>
      <c r="V174" s="3" t="s">
        <v>788</v>
      </c>
      <c r="W174" s="1" t="s">
        <v>804</v>
      </c>
      <c r="X174" s="1" t="s">
        <v>70</v>
      </c>
      <c r="Y174" s="5" t="s">
        <v>76</v>
      </c>
      <c r="Z174" s="3" t="s">
        <v>76</v>
      </c>
      <c r="AB174" s="1">
        <v>3.0</v>
      </c>
      <c r="AI174" s="1" t="s">
        <v>789</v>
      </c>
      <c r="AJ174" s="1">
        <v>-10000.0</v>
      </c>
      <c r="AK174" s="1">
        <v>1950.0</v>
      </c>
      <c r="AL174" s="2" t="s">
        <v>100</v>
      </c>
      <c r="AM174" s="2" t="s">
        <v>76</v>
      </c>
      <c r="AN174" s="1" t="s">
        <v>238</v>
      </c>
      <c r="AO174" s="2" t="s">
        <v>60</v>
      </c>
      <c r="AQ174" s="2" t="s">
        <v>102</v>
      </c>
      <c r="AR174" s="2" t="s">
        <v>76</v>
      </c>
      <c r="AS174" s="1">
        <v>1420.0</v>
      </c>
      <c r="AT174" s="1">
        <v>1420.0</v>
      </c>
      <c r="AU174" s="1">
        <v>672.0</v>
      </c>
      <c r="AV174" s="1">
        <v>10.0</v>
      </c>
      <c r="AW174" s="1">
        <v>40.0</v>
      </c>
      <c r="AX174" s="1">
        <v>8358.0</v>
      </c>
      <c r="AY174" s="1">
        <v>3077.0</v>
      </c>
      <c r="AZ174" s="1" t="s">
        <v>758</v>
      </c>
      <c r="BA174" s="1" t="s">
        <v>121</v>
      </c>
    </row>
    <row r="175">
      <c r="A175" s="1" t="s">
        <v>805</v>
      </c>
      <c r="B175" s="1" t="s">
        <v>53</v>
      </c>
      <c r="C175" s="1">
        <v>1990.0</v>
      </c>
      <c r="D175" s="1" t="s">
        <v>806</v>
      </c>
      <c r="E175" s="1" t="s">
        <v>807</v>
      </c>
      <c r="F175" s="1" t="s">
        <v>732</v>
      </c>
      <c r="G175" s="1" t="s">
        <v>808</v>
      </c>
      <c r="H175" s="1" t="s">
        <v>809</v>
      </c>
      <c r="I175" s="1">
        <v>4.0</v>
      </c>
      <c r="J175" s="1">
        <v>3.0</v>
      </c>
      <c r="K175" s="2" t="s">
        <v>810</v>
      </c>
      <c r="L175" s="2" t="s">
        <v>60</v>
      </c>
      <c r="M175" s="1" t="s">
        <v>811</v>
      </c>
      <c r="N175" s="1" t="s">
        <v>62</v>
      </c>
      <c r="O175" s="1" t="s">
        <v>167</v>
      </c>
      <c r="P175" s="1" t="s">
        <v>812</v>
      </c>
      <c r="Q175" s="1">
        <v>16.85</v>
      </c>
      <c r="R175" s="1">
        <v>-90.133333</v>
      </c>
      <c r="S175" s="1" t="s">
        <v>148</v>
      </c>
      <c r="T175" s="2" t="s">
        <v>189</v>
      </c>
      <c r="U175" s="2" t="s">
        <v>813</v>
      </c>
      <c r="V175" s="3" t="s">
        <v>68</v>
      </c>
      <c r="W175" s="1" t="s">
        <v>814</v>
      </c>
      <c r="X175" s="1" t="s">
        <v>70</v>
      </c>
      <c r="Y175" s="6" t="s">
        <v>76</v>
      </c>
      <c r="Z175" s="3" t="s">
        <v>76</v>
      </c>
      <c r="AD175" s="1">
        <v>1.0</v>
      </c>
      <c r="AI175" s="2" t="s">
        <v>72</v>
      </c>
      <c r="AJ175" s="1">
        <v>1645.0</v>
      </c>
      <c r="AK175" s="1">
        <v>1950.0</v>
      </c>
      <c r="AL175" s="3" t="s">
        <v>153</v>
      </c>
      <c r="AM175" s="2" t="s">
        <v>72</v>
      </c>
      <c r="AN175" s="2" t="s">
        <v>72</v>
      </c>
      <c r="AO175" s="2" t="s">
        <v>72</v>
      </c>
      <c r="AQ175" s="2" t="s">
        <v>75</v>
      </c>
      <c r="AR175" s="2" t="s">
        <v>76</v>
      </c>
      <c r="AS175" s="1">
        <v>2170.0</v>
      </c>
      <c r="AT175" s="1">
        <v>2170.0</v>
      </c>
      <c r="AU175" s="1">
        <v>883.0</v>
      </c>
      <c r="AV175" s="1">
        <v>50.0</v>
      </c>
      <c r="AW175" s="1">
        <v>177.0</v>
      </c>
      <c r="AX175" s="1">
        <v>5759.0</v>
      </c>
      <c r="AY175" s="1">
        <v>188.0</v>
      </c>
      <c r="AZ175" s="1" t="s">
        <v>133</v>
      </c>
      <c r="BA175" s="1" t="s">
        <v>121</v>
      </c>
    </row>
    <row r="176">
      <c r="A176" s="1" t="s">
        <v>805</v>
      </c>
      <c r="B176" s="1" t="s">
        <v>53</v>
      </c>
      <c r="C176" s="1">
        <v>1990.0</v>
      </c>
      <c r="D176" s="1" t="s">
        <v>806</v>
      </c>
      <c r="E176" s="1" t="s">
        <v>807</v>
      </c>
      <c r="F176" s="1" t="s">
        <v>732</v>
      </c>
      <c r="G176" s="1" t="s">
        <v>808</v>
      </c>
      <c r="H176" s="1" t="s">
        <v>809</v>
      </c>
      <c r="I176" s="1">
        <v>4.0</v>
      </c>
      <c r="J176" s="1">
        <v>3.0</v>
      </c>
      <c r="K176" s="2" t="s">
        <v>810</v>
      </c>
      <c r="L176" s="2" t="s">
        <v>60</v>
      </c>
      <c r="M176" s="1" t="s">
        <v>815</v>
      </c>
      <c r="N176" s="1" t="s">
        <v>62</v>
      </c>
      <c r="O176" s="1" t="s">
        <v>167</v>
      </c>
      <c r="P176" s="1" t="s">
        <v>816</v>
      </c>
      <c r="Q176" s="1">
        <v>16.8</v>
      </c>
      <c r="R176" s="1">
        <v>-90.033333</v>
      </c>
      <c r="S176" s="1" t="s">
        <v>148</v>
      </c>
      <c r="T176" s="2" t="s">
        <v>189</v>
      </c>
      <c r="U176" s="2" t="s">
        <v>813</v>
      </c>
      <c r="V176" s="3" t="s">
        <v>68</v>
      </c>
      <c r="W176" s="1" t="s">
        <v>814</v>
      </c>
      <c r="X176" s="1" t="s">
        <v>70</v>
      </c>
      <c r="Y176" s="6" t="s">
        <v>76</v>
      </c>
      <c r="Z176" s="3" t="s">
        <v>76</v>
      </c>
      <c r="AB176" s="1">
        <v>1.0</v>
      </c>
      <c r="AD176" s="1">
        <v>1.0</v>
      </c>
      <c r="AI176" s="2" t="s">
        <v>72</v>
      </c>
      <c r="AJ176" s="1">
        <v>1645.0</v>
      </c>
      <c r="AK176" s="1">
        <v>1950.0</v>
      </c>
      <c r="AL176" s="2" t="s">
        <v>73</v>
      </c>
      <c r="AM176" s="2" t="s">
        <v>72</v>
      </c>
      <c r="AN176" s="2" t="s">
        <v>72</v>
      </c>
      <c r="AO176" s="2" t="s">
        <v>72</v>
      </c>
      <c r="AQ176" s="2" t="s">
        <v>75</v>
      </c>
      <c r="AR176" s="2" t="s">
        <v>76</v>
      </c>
      <c r="AS176" s="1">
        <v>2162.0</v>
      </c>
      <c r="AT176" s="1">
        <v>2162.0</v>
      </c>
      <c r="AU176" s="1">
        <v>878.0</v>
      </c>
      <c r="AV176" s="1">
        <v>49.0</v>
      </c>
      <c r="AW176" s="1">
        <v>180.0</v>
      </c>
      <c r="AX176" s="1">
        <v>5673.0</v>
      </c>
      <c r="AY176" s="1">
        <v>248.0</v>
      </c>
      <c r="AZ176" s="1" t="s">
        <v>133</v>
      </c>
      <c r="BA176" s="1" t="s">
        <v>121</v>
      </c>
    </row>
    <row r="177">
      <c r="A177" s="1" t="s">
        <v>805</v>
      </c>
      <c r="B177" s="1" t="s">
        <v>53</v>
      </c>
      <c r="C177" s="1">
        <v>1990.0</v>
      </c>
      <c r="D177" s="1" t="s">
        <v>806</v>
      </c>
      <c r="E177" s="1" t="s">
        <v>807</v>
      </c>
      <c r="F177" s="1" t="s">
        <v>732</v>
      </c>
      <c r="G177" s="1" t="s">
        <v>808</v>
      </c>
      <c r="H177" s="1" t="s">
        <v>809</v>
      </c>
      <c r="I177" s="1">
        <v>4.0</v>
      </c>
      <c r="J177" s="1">
        <v>3.0</v>
      </c>
      <c r="K177" s="2" t="s">
        <v>810</v>
      </c>
      <c r="L177" s="2" t="s">
        <v>60</v>
      </c>
      <c r="M177" s="1" t="s">
        <v>817</v>
      </c>
      <c r="N177" s="1" t="s">
        <v>62</v>
      </c>
      <c r="O177" s="1" t="s">
        <v>167</v>
      </c>
      <c r="P177" s="1" t="s">
        <v>812</v>
      </c>
      <c r="Q177" s="1">
        <v>16.85</v>
      </c>
      <c r="R177" s="1">
        <v>-90.133333</v>
      </c>
      <c r="S177" s="1" t="s">
        <v>148</v>
      </c>
      <c r="T177" s="2" t="s">
        <v>169</v>
      </c>
      <c r="U177" s="1" t="s">
        <v>276</v>
      </c>
      <c r="V177" s="3" t="s">
        <v>68</v>
      </c>
      <c r="W177" s="1" t="s">
        <v>818</v>
      </c>
      <c r="X177" s="1" t="s">
        <v>575</v>
      </c>
      <c r="Y177" s="6" t="s">
        <v>76</v>
      </c>
      <c r="Z177" s="3" t="s">
        <v>76</v>
      </c>
      <c r="AD177" s="1">
        <v>1.0</v>
      </c>
      <c r="AI177" s="2" t="s">
        <v>72</v>
      </c>
      <c r="AJ177" s="1">
        <v>1645.0</v>
      </c>
      <c r="AK177" s="1">
        <v>1950.0</v>
      </c>
      <c r="AL177" s="3" t="s">
        <v>153</v>
      </c>
      <c r="AM177" s="2" t="s">
        <v>72</v>
      </c>
      <c r="AN177" s="2" t="s">
        <v>72</v>
      </c>
      <c r="AO177" s="2" t="s">
        <v>72</v>
      </c>
      <c r="AQ177" s="2" t="s">
        <v>75</v>
      </c>
      <c r="AR177" s="2" t="s">
        <v>76</v>
      </c>
      <c r="AS177" s="1">
        <v>2170.0</v>
      </c>
      <c r="AT177" s="1">
        <v>2170.0</v>
      </c>
      <c r="AU177" s="1">
        <v>883.0</v>
      </c>
      <c r="AV177" s="1">
        <v>50.0</v>
      </c>
      <c r="AW177" s="1">
        <v>177.0</v>
      </c>
      <c r="AX177" s="1">
        <v>5759.0</v>
      </c>
      <c r="AY177" s="1">
        <v>188.0</v>
      </c>
      <c r="AZ177" s="1" t="s">
        <v>133</v>
      </c>
      <c r="BA177" s="1" t="s">
        <v>121</v>
      </c>
    </row>
    <row r="178">
      <c r="A178" s="1" t="s">
        <v>790</v>
      </c>
      <c r="B178" s="1" t="s">
        <v>53</v>
      </c>
      <c r="C178" s="1">
        <v>2005.0</v>
      </c>
      <c r="D178" s="1" t="s">
        <v>791</v>
      </c>
      <c r="E178" s="1" t="s">
        <v>792</v>
      </c>
      <c r="F178" s="1" t="s">
        <v>793</v>
      </c>
      <c r="G178" s="1" t="s">
        <v>794</v>
      </c>
      <c r="H178" s="1" t="s">
        <v>795</v>
      </c>
      <c r="I178" s="1">
        <v>221.0</v>
      </c>
      <c r="J178" s="1">
        <v>43862.0</v>
      </c>
      <c r="K178" s="2" t="s">
        <v>796</v>
      </c>
      <c r="L178" s="2" t="s">
        <v>60</v>
      </c>
      <c r="M178" s="1" t="s">
        <v>819</v>
      </c>
      <c r="N178" s="1" t="s">
        <v>62</v>
      </c>
      <c r="O178" s="1" t="s">
        <v>112</v>
      </c>
      <c r="P178" s="1" t="s">
        <v>798</v>
      </c>
      <c r="Q178" s="1">
        <v>8.933333</v>
      </c>
      <c r="R178" s="1">
        <v>-82.933333</v>
      </c>
      <c r="S178" s="1" t="s">
        <v>148</v>
      </c>
      <c r="T178" s="2" t="s">
        <v>194</v>
      </c>
      <c r="U178" s="1" t="s">
        <v>72</v>
      </c>
      <c r="V178" s="3" t="s">
        <v>277</v>
      </c>
      <c r="W178" s="1" t="s">
        <v>286</v>
      </c>
      <c r="X178" s="2" t="s">
        <v>72</v>
      </c>
      <c r="Y178" s="6" t="s">
        <v>76</v>
      </c>
      <c r="Z178" s="3" t="s">
        <v>76</v>
      </c>
      <c r="AB178" s="1">
        <v>1.0</v>
      </c>
      <c r="AI178" s="1" t="s">
        <v>799</v>
      </c>
      <c r="AJ178" s="1">
        <v>140.0</v>
      </c>
      <c r="AK178" s="1">
        <v>1800.0</v>
      </c>
      <c r="AL178" s="2" t="s">
        <v>73</v>
      </c>
      <c r="AM178" s="2" t="s">
        <v>72</v>
      </c>
      <c r="AN178" s="1" t="s">
        <v>400</v>
      </c>
      <c r="AO178" s="2" t="s">
        <v>72</v>
      </c>
      <c r="AQ178" s="2" t="s">
        <v>75</v>
      </c>
      <c r="AR178" s="2" t="s">
        <v>76</v>
      </c>
      <c r="AS178" s="1">
        <v>2756.0</v>
      </c>
      <c r="AT178" s="1">
        <v>2756.0</v>
      </c>
      <c r="AU178" s="1">
        <v>1197.0</v>
      </c>
      <c r="AV178" s="1">
        <v>40.0</v>
      </c>
      <c r="AW178" s="1">
        <v>160.0</v>
      </c>
      <c r="AX178" s="1">
        <v>6258.0</v>
      </c>
      <c r="AY178" s="1">
        <v>1017.0</v>
      </c>
      <c r="AZ178" s="1" t="s">
        <v>281</v>
      </c>
      <c r="BA178" s="1" t="s">
        <v>121</v>
      </c>
    </row>
    <row r="179">
      <c r="A179" s="1" t="s">
        <v>805</v>
      </c>
      <c r="B179" s="1" t="s">
        <v>53</v>
      </c>
      <c r="C179" s="1">
        <v>1990.0</v>
      </c>
      <c r="D179" s="1" t="s">
        <v>806</v>
      </c>
      <c r="E179" s="1" t="s">
        <v>807</v>
      </c>
      <c r="F179" s="1" t="s">
        <v>732</v>
      </c>
      <c r="G179" s="1" t="s">
        <v>808</v>
      </c>
      <c r="H179" s="1" t="s">
        <v>809</v>
      </c>
      <c r="I179" s="1">
        <v>4.0</v>
      </c>
      <c r="J179" s="1">
        <v>3.0</v>
      </c>
      <c r="K179" s="2" t="s">
        <v>810</v>
      </c>
      <c r="L179" s="2" t="s">
        <v>60</v>
      </c>
      <c r="M179" s="1" t="s">
        <v>820</v>
      </c>
      <c r="N179" s="1" t="s">
        <v>62</v>
      </c>
      <c r="O179" s="1" t="s">
        <v>167</v>
      </c>
      <c r="P179" s="1" t="s">
        <v>816</v>
      </c>
      <c r="Q179" s="1">
        <v>16.8</v>
      </c>
      <c r="R179" s="1">
        <v>-90.033333</v>
      </c>
      <c r="S179" s="1" t="s">
        <v>148</v>
      </c>
      <c r="T179" s="2" t="s">
        <v>169</v>
      </c>
      <c r="U179" s="1" t="s">
        <v>276</v>
      </c>
      <c r="V179" s="3" t="s">
        <v>68</v>
      </c>
      <c r="W179" s="1" t="s">
        <v>818</v>
      </c>
      <c r="X179" s="1" t="s">
        <v>575</v>
      </c>
      <c r="Y179" s="6" t="s">
        <v>76</v>
      </c>
      <c r="Z179" s="3" t="s">
        <v>76</v>
      </c>
      <c r="AB179" s="1">
        <v>1.0</v>
      </c>
      <c r="AD179" s="1">
        <v>1.0</v>
      </c>
      <c r="AI179" s="2" t="s">
        <v>72</v>
      </c>
      <c r="AJ179" s="1">
        <v>1645.0</v>
      </c>
      <c r="AK179" s="1">
        <v>1950.0</v>
      </c>
      <c r="AL179" s="2" t="s">
        <v>73</v>
      </c>
      <c r="AM179" s="2" t="s">
        <v>72</v>
      </c>
      <c r="AN179" s="2" t="s">
        <v>72</v>
      </c>
      <c r="AO179" s="2" t="s">
        <v>72</v>
      </c>
      <c r="AQ179" s="2" t="s">
        <v>75</v>
      </c>
      <c r="AR179" s="2" t="s">
        <v>76</v>
      </c>
      <c r="AS179" s="1">
        <v>2162.0</v>
      </c>
      <c r="AT179" s="1">
        <v>2162.0</v>
      </c>
      <c r="AU179" s="1">
        <v>878.0</v>
      </c>
      <c r="AV179" s="1">
        <v>49.0</v>
      </c>
      <c r="AW179" s="1">
        <v>180.0</v>
      </c>
      <c r="AX179" s="1">
        <v>5673.0</v>
      </c>
      <c r="AY179" s="1">
        <v>248.0</v>
      </c>
      <c r="AZ179" s="1" t="s">
        <v>133</v>
      </c>
      <c r="BA179" s="1" t="s">
        <v>121</v>
      </c>
    </row>
    <row r="180">
      <c r="A180" s="1" t="s">
        <v>805</v>
      </c>
      <c r="B180" s="1" t="s">
        <v>53</v>
      </c>
      <c r="C180" s="1">
        <v>1990.0</v>
      </c>
      <c r="D180" s="1" t="s">
        <v>806</v>
      </c>
      <c r="E180" s="1" t="s">
        <v>807</v>
      </c>
      <c r="F180" s="1" t="s">
        <v>732</v>
      </c>
      <c r="G180" s="1" t="s">
        <v>808</v>
      </c>
      <c r="H180" s="1" t="s">
        <v>809</v>
      </c>
      <c r="I180" s="1">
        <v>4.0</v>
      </c>
      <c r="J180" s="1">
        <v>3.0</v>
      </c>
      <c r="K180" s="2" t="s">
        <v>810</v>
      </c>
      <c r="L180" s="2" t="s">
        <v>60</v>
      </c>
      <c r="M180" s="1" t="s">
        <v>821</v>
      </c>
      <c r="N180" s="1" t="s">
        <v>62</v>
      </c>
      <c r="O180" s="1" t="s">
        <v>167</v>
      </c>
      <c r="P180" s="1" t="s">
        <v>822</v>
      </c>
      <c r="Q180" s="1">
        <v>16.648694</v>
      </c>
      <c r="R180" s="1">
        <v>-89.750195</v>
      </c>
      <c r="S180" s="1" t="s">
        <v>148</v>
      </c>
      <c r="T180" s="2" t="s">
        <v>66</v>
      </c>
      <c r="U180" s="1" t="s">
        <v>823</v>
      </c>
      <c r="V180" s="3" t="s">
        <v>68</v>
      </c>
      <c r="W180" s="1" t="s">
        <v>117</v>
      </c>
      <c r="X180" s="1" t="s">
        <v>70</v>
      </c>
      <c r="Y180" s="5" t="s">
        <v>76</v>
      </c>
      <c r="Z180" s="3" t="s">
        <v>76</v>
      </c>
      <c r="AD180" s="1">
        <v>1.0</v>
      </c>
      <c r="AI180" s="2" t="s">
        <v>72</v>
      </c>
      <c r="AJ180" s="1">
        <v>1645.0</v>
      </c>
      <c r="AK180" s="1">
        <v>1950.0</v>
      </c>
      <c r="AL180" s="3" t="s">
        <v>153</v>
      </c>
      <c r="AM180" s="2" t="s">
        <v>72</v>
      </c>
      <c r="AN180" s="2" t="s">
        <v>72</v>
      </c>
      <c r="AO180" s="2" t="s">
        <v>72</v>
      </c>
      <c r="AQ180" s="2" t="s">
        <v>75</v>
      </c>
      <c r="AR180" s="2" t="s">
        <v>76</v>
      </c>
      <c r="AS180" s="1">
        <v>2384.0</v>
      </c>
      <c r="AT180" s="1">
        <v>2384.0</v>
      </c>
      <c r="AU180" s="1">
        <v>1014.0</v>
      </c>
      <c r="AV180" s="1">
        <v>52.0</v>
      </c>
      <c r="AW180" s="1">
        <v>198.0</v>
      </c>
      <c r="AX180" s="1">
        <v>5843.0</v>
      </c>
      <c r="AY180" s="1">
        <v>150.0</v>
      </c>
      <c r="AZ180" s="1" t="s">
        <v>133</v>
      </c>
      <c r="BA180" s="1" t="s">
        <v>121</v>
      </c>
    </row>
    <row r="181">
      <c r="A181" s="1" t="s">
        <v>824</v>
      </c>
      <c r="B181" s="1" t="s">
        <v>53</v>
      </c>
      <c r="C181" s="1">
        <v>2005.0</v>
      </c>
      <c r="D181" s="1" t="s">
        <v>825</v>
      </c>
      <c r="E181" s="1" t="s">
        <v>826</v>
      </c>
      <c r="F181" s="1" t="s">
        <v>827</v>
      </c>
      <c r="G181" s="1" t="s">
        <v>828</v>
      </c>
      <c r="H181" s="1" t="s">
        <v>829</v>
      </c>
      <c r="I181" s="1">
        <v>20.0</v>
      </c>
      <c r="J181" s="1">
        <v>4.0</v>
      </c>
      <c r="K181" s="2" t="s">
        <v>830</v>
      </c>
      <c r="L181" s="2" t="s">
        <v>60</v>
      </c>
      <c r="M181" s="1" t="s">
        <v>831</v>
      </c>
      <c r="N181" s="1" t="s">
        <v>62</v>
      </c>
      <c r="O181" s="1" t="s">
        <v>167</v>
      </c>
      <c r="P181" s="1" t="s">
        <v>512</v>
      </c>
      <c r="Q181" s="1">
        <v>17.0</v>
      </c>
      <c r="R181" s="1">
        <v>-89.779</v>
      </c>
      <c r="S181" s="1" t="s">
        <v>148</v>
      </c>
      <c r="T181" s="2" t="s">
        <v>189</v>
      </c>
      <c r="U181" s="1" t="s">
        <v>72</v>
      </c>
      <c r="V181" s="3" t="s">
        <v>277</v>
      </c>
      <c r="W181" s="1" t="s">
        <v>832</v>
      </c>
      <c r="X181" s="1" t="s">
        <v>70</v>
      </c>
      <c r="Y181" s="6" t="s">
        <v>76</v>
      </c>
      <c r="Z181" s="3" t="s">
        <v>76</v>
      </c>
      <c r="AA181" s="1">
        <v>1.0</v>
      </c>
      <c r="AB181" s="1">
        <v>12.0</v>
      </c>
      <c r="AI181" s="1" t="s">
        <v>833</v>
      </c>
      <c r="AJ181" s="1">
        <v>-9050.0</v>
      </c>
      <c r="AK181" s="1">
        <v>1600.0</v>
      </c>
      <c r="AL181" s="2" t="s">
        <v>100</v>
      </c>
      <c r="AM181" s="2" t="s">
        <v>72</v>
      </c>
      <c r="AN181" s="1" t="s">
        <v>400</v>
      </c>
      <c r="AO181" s="2" t="s">
        <v>72</v>
      </c>
      <c r="AQ181" s="2" t="s">
        <v>102</v>
      </c>
      <c r="AR181" s="2" t="s">
        <v>76</v>
      </c>
      <c r="AS181" s="1">
        <v>1675.0</v>
      </c>
      <c r="AT181" s="1">
        <v>1675.0</v>
      </c>
      <c r="AU181" s="1">
        <v>675.0</v>
      </c>
      <c r="AV181" s="1">
        <v>36.0</v>
      </c>
      <c r="AW181" s="1">
        <v>133.0</v>
      </c>
      <c r="AX181" s="1">
        <v>5856.0</v>
      </c>
      <c r="AY181" s="1">
        <v>110.0</v>
      </c>
      <c r="AZ181" s="1" t="s">
        <v>133</v>
      </c>
      <c r="BA181" s="1" t="s">
        <v>121</v>
      </c>
    </row>
    <row r="182">
      <c r="A182" s="1" t="s">
        <v>824</v>
      </c>
      <c r="B182" s="1" t="s">
        <v>53</v>
      </c>
      <c r="C182" s="1">
        <v>2005.0</v>
      </c>
      <c r="D182" s="1" t="s">
        <v>825</v>
      </c>
      <c r="E182" s="1" t="s">
        <v>826</v>
      </c>
      <c r="F182" s="1" t="s">
        <v>827</v>
      </c>
      <c r="G182" s="1" t="s">
        <v>828</v>
      </c>
      <c r="H182" s="1" t="s">
        <v>829</v>
      </c>
      <c r="I182" s="1">
        <v>20.0</v>
      </c>
      <c r="J182" s="1">
        <v>4.0</v>
      </c>
      <c r="K182" s="2" t="s">
        <v>830</v>
      </c>
      <c r="L182" s="2" t="s">
        <v>60</v>
      </c>
      <c r="M182" s="1" t="s">
        <v>834</v>
      </c>
      <c r="N182" s="1" t="s">
        <v>62</v>
      </c>
      <c r="O182" s="1" t="s">
        <v>167</v>
      </c>
      <c r="P182" s="1" t="s">
        <v>512</v>
      </c>
      <c r="Q182" s="1">
        <v>16.988</v>
      </c>
      <c r="R182" s="1">
        <v>-89.779</v>
      </c>
      <c r="S182" s="1" t="s">
        <v>148</v>
      </c>
      <c r="T182" s="2" t="s">
        <v>189</v>
      </c>
      <c r="U182" s="1" t="s">
        <v>72</v>
      </c>
      <c r="V182" s="3" t="s">
        <v>277</v>
      </c>
      <c r="W182" s="1" t="s">
        <v>832</v>
      </c>
      <c r="X182" s="1" t="s">
        <v>70</v>
      </c>
      <c r="Y182" s="6" t="s">
        <v>76</v>
      </c>
      <c r="Z182" s="3" t="s">
        <v>76</v>
      </c>
      <c r="AA182" s="1">
        <v>1.0</v>
      </c>
      <c r="AB182" s="1">
        <v>2.0</v>
      </c>
      <c r="AI182" s="1" t="s">
        <v>835</v>
      </c>
      <c r="AJ182" s="1">
        <v>-24050.0</v>
      </c>
      <c r="AK182" s="1" t="s">
        <v>470</v>
      </c>
      <c r="AL182" s="2" t="s">
        <v>100</v>
      </c>
      <c r="AM182" s="2" t="s">
        <v>72</v>
      </c>
      <c r="AN182" s="1" t="s">
        <v>400</v>
      </c>
      <c r="AO182" s="2" t="s">
        <v>72</v>
      </c>
      <c r="AQ182" s="2" t="s">
        <v>102</v>
      </c>
      <c r="AR182" s="2" t="s">
        <v>76</v>
      </c>
      <c r="AS182" s="1">
        <v>1679.0</v>
      </c>
      <c r="AT182" s="1">
        <v>1679.0</v>
      </c>
      <c r="AU182" s="1">
        <v>677.0</v>
      </c>
      <c r="AV182" s="1">
        <v>36.0</v>
      </c>
      <c r="AW182" s="1">
        <v>133.0</v>
      </c>
      <c r="AX182" s="1">
        <v>5867.0</v>
      </c>
      <c r="AY182" s="1">
        <v>110.0</v>
      </c>
      <c r="AZ182" s="1" t="s">
        <v>133</v>
      </c>
      <c r="BA182" s="1" t="s">
        <v>121</v>
      </c>
    </row>
    <row r="183">
      <c r="A183" s="1" t="s">
        <v>805</v>
      </c>
      <c r="B183" s="1" t="s">
        <v>53</v>
      </c>
      <c r="C183" s="1">
        <v>1990.0</v>
      </c>
      <c r="D183" s="1" t="s">
        <v>806</v>
      </c>
      <c r="E183" s="1" t="s">
        <v>807</v>
      </c>
      <c r="F183" s="1" t="s">
        <v>732</v>
      </c>
      <c r="G183" s="1" t="s">
        <v>808</v>
      </c>
      <c r="H183" s="1" t="s">
        <v>809</v>
      </c>
      <c r="I183" s="1">
        <v>4.0</v>
      </c>
      <c r="J183" s="1">
        <v>3.0</v>
      </c>
      <c r="K183" s="2" t="s">
        <v>810</v>
      </c>
      <c r="L183" s="2" t="s">
        <v>60</v>
      </c>
      <c r="M183" s="1" t="s">
        <v>836</v>
      </c>
      <c r="N183" s="1" t="s">
        <v>62</v>
      </c>
      <c r="O183" s="1" t="s">
        <v>167</v>
      </c>
      <c r="P183" s="1" t="s">
        <v>812</v>
      </c>
      <c r="Q183" s="1">
        <v>16.85</v>
      </c>
      <c r="R183" s="1">
        <v>-90.133333</v>
      </c>
      <c r="S183" s="1" t="s">
        <v>148</v>
      </c>
      <c r="T183" s="2" t="s">
        <v>66</v>
      </c>
      <c r="U183" s="1" t="s">
        <v>823</v>
      </c>
      <c r="V183" s="3" t="s">
        <v>68</v>
      </c>
      <c r="W183" s="1" t="s">
        <v>117</v>
      </c>
      <c r="X183" s="1" t="s">
        <v>70</v>
      </c>
      <c r="Y183" s="5" t="s">
        <v>76</v>
      </c>
      <c r="Z183" s="3" t="s">
        <v>76</v>
      </c>
      <c r="AD183" s="1">
        <v>1.0</v>
      </c>
      <c r="AI183" s="2" t="s">
        <v>72</v>
      </c>
      <c r="AJ183" s="1">
        <v>1645.0</v>
      </c>
      <c r="AK183" s="1">
        <v>1950.0</v>
      </c>
      <c r="AL183" s="3" t="s">
        <v>153</v>
      </c>
      <c r="AM183" s="2" t="s">
        <v>72</v>
      </c>
      <c r="AN183" s="2" t="s">
        <v>72</v>
      </c>
      <c r="AO183" s="2" t="s">
        <v>72</v>
      </c>
      <c r="AQ183" s="2" t="s">
        <v>75</v>
      </c>
      <c r="AR183" s="2" t="s">
        <v>76</v>
      </c>
      <c r="AS183" s="1">
        <v>2170.0</v>
      </c>
      <c r="AT183" s="1">
        <v>2170.0</v>
      </c>
      <c r="AU183" s="1">
        <v>883.0</v>
      </c>
      <c r="AV183" s="1">
        <v>50.0</v>
      </c>
      <c r="AW183" s="1">
        <v>177.0</v>
      </c>
      <c r="AX183" s="1">
        <v>5759.0</v>
      </c>
      <c r="AY183" s="1">
        <v>188.0</v>
      </c>
      <c r="AZ183" s="1" t="s">
        <v>133</v>
      </c>
      <c r="BA183" s="1" t="s">
        <v>121</v>
      </c>
    </row>
    <row r="184">
      <c r="A184" s="1" t="s">
        <v>824</v>
      </c>
      <c r="B184" s="1" t="s">
        <v>53</v>
      </c>
      <c r="C184" s="1">
        <v>2005.0</v>
      </c>
      <c r="D184" s="1" t="s">
        <v>825</v>
      </c>
      <c r="E184" s="1" t="s">
        <v>826</v>
      </c>
      <c r="F184" s="1" t="s">
        <v>827</v>
      </c>
      <c r="G184" s="1" t="s">
        <v>828</v>
      </c>
      <c r="H184" s="1" t="s">
        <v>829</v>
      </c>
      <c r="I184" s="1">
        <v>20.0</v>
      </c>
      <c r="J184" s="1">
        <v>4.0</v>
      </c>
      <c r="K184" s="2" t="s">
        <v>830</v>
      </c>
      <c r="L184" s="2" t="s">
        <v>60</v>
      </c>
      <c r="M184" s="1" t="s">
        <v>837</v>
      </c>
      <c r="N184" s="1" t="s">
        <v>62</v>
      </c>
      <c r="O184" s="1" t="s">
        <v>167</v>
      </c>
      <c r="P184" s="1" t="s">
        <v>512</v>
      </c>
      <c r="Q184" s="1">
        <v>16.988</v>
      </c>
      <c r="R184" s="1">
        <v>-89.779</v>
      </c>
      <c r="S184" s="1" t="s">
        <v>148</v>
      </c>
      <c r="T184" s="2" t="s">
        <v>382</v>
      </c>
      <c r="U184" s="1" t="s">
        <v>72</v>
      </c>
      <c r="V184" s="3" t="s">
        <v>277</v>
      </c>
      <c r="W184" s="1" t="s">
        <v>838</v>
      </c>
      <c r="X184" s="1" t="s">
        <v>839</v>
      </c>
      <c r="Y184" s="6" t="s">
        <v>76</v>
      </c>
      <c r="Z184" s="3" t="s">
        <v>76</v>
      </c>
      <c r="AA184" s="1">
        <v>1.0</v>
      </c>
      <c r="AB184" s="1">
        <v>2.0</v>
      </c>
      <c r="AI184" s="1" t="s">
        <v>835</v>
      </c>
      <c r="AJ184" s="1">
        <v>-24050.0</v>
      </c>
      <c r="AK184" s="1" t="s">
        <v>470</v>
      </c>
      <c r="AL184" s="2" t="s">
        <v>100</v>
      </c>
      <c r="AM184" s="2" t="s">
        <v>72</v>
      </c>
      <c r="AN184" s="1" t="s">
        <v>400</v>
      </c>
      <c r="AO184" s="2" t="s">
        <v>72</v>
      </c>
      <c r="AQ184" s="2" t="s">
        <v>102</v>
      </c>
      <c r="AR184" s="2" t="s">
        <v>76</v>
      </c>
      <c r="AS184" s="1">
        <v>1679.0</v>
      </c>
      <c r="AT184" s="1">
        <v>1679.0</v>
      </c>
      <c r="AU184" s="1">
        <v>677.0</v>
      </c>
      <c r="AV184" s="1">
        <v>36.0</v>
      </c>
      <c r="AW184" s="1">
        <v>133.0</v>
      </c>
      <c r="AX184" s="1">
        <v>5867.0</v>
      </c>
      <c r="AY184" s="1">
        <v>110.0</v>
      </c>
      <c r="AZ184" s="1" t="s">
        <v>133</v>
      </c>
      <c r="BA184" s="1" t="s">
        <v>121</v>
      </c>
    </row>
    <row r="185">
      <c r="A185" s="1" t="s">
        <v>824</v>
      </c>
      <c r="B185" s="1" t="s">
        <v>53</v>
      </c>
      <c r="C185" s="1">
        <v>2005.0</v>
      </c>
      <c r="D185" s="1" t="s">
        <v>825</v>
      </c>
      <c r="E185" s="1" t="s">
        <v>826</v>
      </c>
      <c r="F185" s="1" t="s">
        <v>827</v>
      </c>
      <c r="G185" s="1" t="s">
        <v>828</v>
      </c>
      <c r="H185" s="1" t="s">
        <v>829</v>
      </c>
      <c r="I185" s="1">
        <v>20.0</v>
      </c>
      <c r="J185" s="1">
        <v>4.0</v>
      </c>
      <c r="K185" s="2" t="s">
        <v>830</v>
      </c>
      <c r="L185" s="2" t="s">
        <v>60</v>
      </c>
      <c r="M185" s="1" t="s">
        <v>840</v>
      </c>
      <c r="N185" s="1" t="s">
        <v>62</v>
      </c>
      <c r="O185" s="1" t="s">
        <v>167</v>
      </c>
      <c r="P185" s="1" t="s">
        <v>512</v>
      </c>
      <c r="Q185" s="1">
        <v>17.0</v>
      </c>
      <c r="R185" s="1">
        <v>-89.779</v>
      </c>
      <c r="S185" s="1" t="s">
        <v>148</v>
      </c>
      <c r="T185" s="2" t="s">
        <v>382</v>
      </c>
      <c r="U185" s="1" t="s">
        <v>72</v>
      </c>
      <c r="V185" s="3" t="s">
        <v>277</v>
      </c>
      <c r="W185" s="1" t="s">
        <v>838</v>
      </c>
      <c r="X185" s="1" t="s">
        <v>839</v>
      </c>
      <c r="Y185" s="6" t="s">
        <v>76</v>
      </c>
      <c r="Z185" s="3" t="s">
        <v>76</v>
      </c>
      <c r="AA185" s="1">
        <v>1.0</v>
      </c>
      <c r="AB185" s="1">
        <v>12.0</v>
      </c>
      <c r="AI185" s="1" t="s">
        <v>833</v>
      </c>
      <c r="AJ185" s="1">
        <v>-9050.0</v>
      </c>
      <c r="AK185" s="1">
        <v>1600.0</v>
      </c>
      <c r="AL185" s="2" t="s">
        <v>100</v>
      </c>
      <c r="AM185" s="2" t="s">
        <v>72</v>
      </c>
      <c r="AN185" s="1" t="s">
        <v>400</v>
      </c>
      <c r="AO185" s="2" t="s">
        <v>72</v>
      </c>
      <c r="AQ185" s="2" t="s">
        <v>102</v>
      </c>
      <c r="AR185" s="2" t="s">
        <v>76</v>
      </c>
      <c r="AS185" s="1">
        <v>1675.0</v>
      </c>
      <c r="AT185" s="1">
        <v>1675.0</v>
      </c>
      <c r="AU185" s="1">
        <v>675.0</v>
      </c>
      <c r="AV185" s="1">
        <v>36.0</v>
      </c>
      <c r="AW185" s="1">
        <v>133.0</v>
      </c>
      <c r="AX185" s="1">
        <v>5856.0</v>
      </c>
      <c r="AY185" s="1">
        <v>110.0</v>
      </c>
      <c r="AZ185" s="1" t="s">
        <v>133</v>
      </c>
      <c r="BA185" s="1" t="s">
        <v>121</v>
      </c>
    </row>
    <row r="186">
      <c r="A186" s="1" t="s">
        <v>805</v>
      </c>
      <c r="B186" s="1" t="s">
        <v>53</v>
      </c>
      <c r="C186" s="1">
        <v>1990.0</v>
      </c>
      <c r="D186" s="1" t="s">
        <v>806</v>
      </c>
      <c r="E186" s="1" t="s">
        <v>807</v>
      </c>
      <c r="F186" s="1" t="s">
        <v>732</v>
      </c>
      <c r="G186" s="1" t="s">
        <v>808</v>
      </c>
      <c r="H186" s="1" t="s">
        <v>809</v>
      </c>
      <c r="I186" s="1">
        <v>4.0</v>
      </c>
      <c r="J186" s="1">
        <v>3.0</v>
      </c>
      <c r="K186" s="2" t="s">
        <v>810</v>
      </c>
      <c r="L186" s="2" t="s">
        <v>60</v>
      </c>
      <c r="M186" s="1" t="s">
        <v>841</v>
      </c>
      <c r="N186" s="1" t="s">
        <v>62</v>
      </c>
      <c r="O186" s="1" t="s">
        <v>167</v>
      </c>
      <c r="P186" s="1" t="s">
        <v>816</v>
      </c>
      <c r="Q186" s="1">
        <v>16.8</v>
      </c>
      <c r="R186" s="1">
        <v>-90.033333</v>
      </c>
      <c r="S186" s="1" t="s">
        <v>148</v>
      </c>
      <c r="T186" s="2" t="s">
        <v>66</v>
      </c>
      <c r="U186" s="1" t="s">
        <v>823</v>
      </c>
      <c r="V186" s="3" t="s">
        <v>68</v>
      </c>
      <c r="W186" s="1" t="s">
        <v>117</v>
      </c>
      <c r="X186" s="1" t="s">
        <v>70</v>
      </c>
      <c r="Y186" s="5" t="s">
        <v>76</v>
      </c>
      <c r="Z186" s="3" t="s">
        <v>76</v>
      </c>
      <c r="AB186" s="1">
        <v>1.0</v>
      </c>
      <c r="AD186" s="1">
        <v>1.0</v>
      </c>
      <c r="AI186" s="2" t="s">
        <v>72</v>
      </c>
      <c r="AJ186" s="1">
        <v>1645.0</v>
      </c>
      <c r="AK186" s="1">
        <v>1950.0</v>
      </c>
      <c r="AL186" s="2" t="s">
        <v>73</v>
      </c>
      <c r="AM186" s="2" t="s">
        <v>72</v>
      </c>
      <c r="AN186" s="2" t="s">
        <v>72</v>
      </c>
      <c r="AO186" s="2" t="s">
        <v>72</v>
      </c>
      <c r="AQ186" s="2" t="s">
        <v>75</v>
      </c>
      <c r="AR186" s="2" t="s">
        <v>76</v>
      </c>
      <c r="AS186" s="1">
        <v>2162.0</v>
      </c>
      <c r="AT186" s="1">
        <v>2162.0</v>
      </c>
      <c r="AU186" s="1">
        <v>878.0</v>
      </c>
      <c r="AV186" s="1">
        <v>49.0</v>
      </c>
      <c r="AW186" s="1">
        <v>180.0</v>
      </c>
      <c r="AX186" s="1">
        <v>5673.0</v>
      </c>
      <c r="AY186" s="1">
        <v>248.0</v>
      </c>
      <c r="AZ186" s="1" t="s">
        <v>133</v>
      </c>
      <c r="BA186" s="1" t="s">
        <v>121</v>
      </c>
    </row>
    <row r="187">
      <c r="A187" s="1" t="s">
        <v>805</v>
      </c>
      <c r="B187" s="1" t="s">
        <v>53</v>
      </c>
      <c r="C187" s="1">
        <v>1990.0</v>
      </c>
      <c r="D187" s="1" t="s">
        <v>806</v>
      </c>
      <c r="E187" s="1" t="s">
        <v>807</v>
      </c>
      <c r="F187" s="1" t="s">
        <v>732</v>
      </c>
      <c r="G187" s="1" t="s">
        <v>808</v>
      </c>
      <c r="H187" s="1" t="s">
        <v>809</v>
      </c>
      <c r="I187" s="1">
        <v>4.0</v>
      </c>
      <c r="J187" s="1">
        <v>3.0</v>
      </c>
      <c r="K187" s="2" t="s">
        <v>810</v>
      </c>
      <c r="L187" s="2" t="s">
        <v>60</v>
      </c>
      <c r="M187" s="1" t="s">
        <v>842</v>
      </c>
      <c r="N187" s="1" t="s">
        <v>62</v>
      </c>
      <c r="O187" s="1" t="s">
        <v>167</v>
      </c>
      <c r="P187" s="1" t="s">
        <v>812</v>
      </c>
      <c r="Q187" s="1">
        <v>16.85</v>
      </c>
      <c r="R187" s="1">
        <v>-90.133333</v>
      </c>
      <c r="S187" s="1" t="s">
        <v>148</v>
      </c>
      <c r="T187" s="2" t="s">
        <v>194</v>
      </c>
      <c r="U187" s="2" t="s">
        <v>813</v>
      </c>
      <c r="V187" s="3" t="s">
        <v>68</v>
      </c>
      <c r="W187" s="1" t="s">
        <v>286</v>
      </c>
      <c r="X187" s="1" t="s">
        <v>70</v>
      </c>
      <c r="Y187" s="6" t="s">
        <v>76</v>
      </c>
      <c r="Z187" s="3" t="s">
        <v>76</v>
      </c>
      <c r="AD187" s="1">
        <v>1.0</v>
      </c>
      <c r="AI187" s="2" t="s">
        <v>72</v>
      </c>
      <c r="AJ187" s="1">
        <v>1645.0</v>
      </c>
      <c r="AK187" s="1">
        <v>1950.0</v>
      </c>
      <c r="AL187" s="3" t="s">
        <v>153</v>
      </c>
      <c r="AM187" s="2" t="s">
        <v>72</v>
      </c>
      <c r="AN187" s="2" t="s">
        <v>72</v>
      </c>
      <c r="AO187" s="2" t="s">
        <v>72</v>
      </c>
      <c r="AQ187" s="2" t="s">
        <v>75</v>
      </c>
      <c r="AR187" s="2" t="s">
        <v>76</v>
      </c>
      <c r="AS187" s="1">
        <v>2170.0</v>
      </c>
      <c r="AT187" s="1">
        <v>2170.0</v>
      </c>
      <c r="AU187" s="1">
        <v>883.0</v>
      </c>
      <c r="AV187" s="1">
        <v>50.0</v>
      </c>
      <c r="AW187" s="1">
        <v>177.0</v>
      </c>
      <c r="AX187" s="1">
        <v>5759.0</v>
      </c>
      <c r="AY187" s="1">
        <v>188.0</v>
      </c>
      <c r="AZ187" s="1" t="s">
        <v>133</v>
      </c>
      <c r="BA187" s="1" t="s">
        <v>121</v>
      </c>
    </row>
    <row r="188">
      <c r="A188" s="1" t="s">
        <v>824</v>
      </c>
      <c r="B188" s="1" t="s">
        <v>53</v>
      </c>
      <c r="C188" s="1">
        <v>2005.0</v>
      </c>
      <c r="D188" s="1" t="s">
        <v>825</v>
      </c>
      <c r="E188" s="1" t="s">
        <v>826</v>
      </c>
      <c r="F188" s="1" t="s">
        <v>827</v>
      </c>
      <c r="G188" s="1" t="s">
        <v>828</v>
      </c>
      <c r="H188" s="1" t="s">
        <v>829</v>
      </c>
      <c r="I188" s="1">
        <v>20.0</v>
      </c>
      <c r="J188" s="1">
        <v>4.0</v>
      </c>
      <c r="K188" s="2" t="s">
        <v>830</v>
      </c>
      <c r="L188" s="2" t="s">
        <v>60</v>
      </c>
      <c r="M188" s="1" t="s">
        <v>843</v>
      </c>
      <c r="N188" s="1" t="s">
        <v>62</v>
      </c>
      <c r="O188" s="1" t="s">
        <v>167</v>
      </c>
      <c r="P188" s="1" t="s">
        <v>512</v>
      </c>
      <c r="Q188" s="1">
        <v>17.0</v>
      </c>
      <c r="R188" s="1">
        <v>-89.779</v>
      </c>
      <c r="S188" s="1" t="s">
        <v>148</v>
      </c>
      <c r="T188" s="2" t="s">
        <v>194</v>
      </c>
      <c r="U188" s="1" t="s">
        <v>72</v>
      </c>
      <c r="V188" s="3" t="s">
        <v>277</v>
      </c>
      <c r="W188" s="1" t="s">
        <v>191</v>
      </c>
      <c r="X188" s="1" t="s">
        <v>70</v>
      </c>
      <c r="Y188" s="6" t="s">
        <v>76</v>
      </c>
      <c r="Z188" s="3" t="s">
        <v>76</v>
      </c>
      <c r="AA188" s="1">
        <v>1.0</v>
      </c>
      <c r="AB188" s="1">
        <v>12.0</v>
      </c>
      <c r="AI188" s="1" t="s">
        <v>833</v>
      </c>
      <c r="AJ188" s="1">
        <v>-9050.0</v>
      </c>
      <c r="AK188" s="1">
        <v>1600.0</v>
      </c>
      <c r="AL188" s="2" t="s">
        <v>100</v>
      </c>
      <c r="AM188" s="2" t="s">
        <v>72</v>
      </c>
      <c r="AN188" s="1" t="s">
        <v>400</v>
      </c>
      <c r="AO188" s="2" t="s">
        <v>72</v>
      </c>
      <c r="AQ188" s="2" t="s">
        <v>102</v>
      </c>
      <c r="AR188" s="2" t="s">
        <v>76</v>
      </c>
      <c r="AS188" s="1">
        <v>1675.0</v>
      </c>
      <c r="AT188" s="1">
        <v>1675.0</v>
      </c>
      <c r="AU188" s="1">
        <v>675.0</v>
      </c>
      <c r="AV188" s="1">
        <v>36.0</v>
      </c>
      <c r="AW188" s="1">
        <v>133.0</v>
      </c>
      <c r="AX188" s="1">
        <v>5856.0</v>
      </c>
      <c r="AY188" s="1">
        <v>110.0</v>
      </c>
      <c r="AZ188" s="1" t="s">
        <v>133</v>
      </c>
      <c r="BA188" s="1" t="s">
        <v>121</v>
      </c>
    </row>
    <row r="189">
      <c r="A189" s="1" t="s">
        <v>824</v>
      </c>
      <c r="B189" s="1" t="s">
        <v>53</v>
      </c>
      <c r="C189" s="1">
        <v>2005.0</v>
      </c>
      <c r="D189" s="1" t="s">
        <v>825</v>
      </c>
      <c r="E189" s="1" t="s">
        <v>826</v>
      </c>
      <c r="F189" s="1" t="s">
        <v>827</v>
      </c>
      <c r="G189" s="1" t="s">
        <v>828</v>
      </c>
      <c r="H189" s="1" t="s">
        <v>829</v>
      </c>
      <c r="I189" s="1">
        <v>20.0</v>
      </c>
      <c r="J189" s="1">
        <v>4.0</v>
      </c>
      <c r="K189" s="2" t="s">
        <v>830</v>
      </c>
      <c r="L189" s="2" t="s">
        <v>60</v>
      </c>
      <c r="M189" s="1" t="s">
        <v>844</v>
      </c>
      <c r="N189" s="1" t="s">
        <v>62</v>
      </c>
      <c r="O189" s="1" t="s">
        <v>167</v>
      </c>
      <c r="P189" s="1" t="s">
        <v>512</v>
      </c>
      <c r="Q189" s="1">
        <v>16.988</v>
      </c>
      <c r="R189" s="1">
        <v>-89.779</v>
      </c>
      <c r="S189" s="1" t="s">
        <v>148</v>
      </c>
      <c r="T189" s="2" t="s">
        <v>194</v>
      </c>
      <c r="U189" s="1" t="s">
        <v>72</v>
      </c>
      <c r="V189" s="3" t="s">
        <v>277</v>
      </c>
      <c r="W189" s="1" t="s">
        <v>191</v>
      </c>
      <c r="X189" s="1" t="s">
        <v>70</v>
      </c>
      <c r="Y189" s="6" t="s">
        <v>76</v>
      </c>
      <c r="Z189" s="3" t="s">
        <v>76</v>
      </c>
      <c r="AA189" s="1">
        <v>1.0</v>
      </c>
      <c r="AB189" s="1">
        <v>2.0</v>
      </c>
      <c r="AI189" s="1" t="s">
        <v>835</v>
      </c>
      <c r="AJ189" s="1">
        <v>-24050.0</v>
      </c>
      <c r="AK189" s="1" t="s">
        <v>470</v>
      </c>
      <c r="AL189" s="2" t="s">
        <v>100</v>
      </c>
      <c r="AM189" s="2" t="s">
        <v>72</v>
      </c>
      <c r="AN189" s="1" t="s">
        <v>400</v>
      </c>
      <c r="AO189" s="2" t="s">
        <v>72</v>
      </c>
      <c r="AQ189" s="2" t="s">
        <v>102</v>
      </c>
      <c r="AR189" s="2" t="s">
        <v>76</v>
      </c>
      <c r="AS189" s="1">
        <v>1679.0</v>
      </c>
      <c r="AT189" s="1">
        <v>1679.0</v>
      </c>
      <c r="AU189" s="1">
        <v>677.0</v>
      </c>
      <c r="AV189" s="1">
        <v>36.0</v>
      </c>
      <c r="AW189" s="1">
        <v>133.0</v>
      </c>
      <c r="AX189" s="1">
        <v>5867.0</v>
      </c>
      <c r="AY189" s="1">
        <v>110.0</v>
      </c>
      <c r="AZ189" s="1" t="s">
        <v>133</v>
      </c>
      <c r="BA189" s="1" t="s">
        <v>121</v>
      </c>
    </row>
    <row r="190">
      <c r="A190" s="1" t="s">
        <v>805</v>
      </c>
      <c r="B190" s="1" t="s">
        <v>53</v>
      </c>
      <c r="C190" s="1">
        <v>1990.0</v>
      </c>
      <c r="D190" s="1" t="s">
        <v>806</v>
      </c>
      <c r="E190" s="1" t="s">
        <v>807</v>
      </c>
      <c r="F190" s="1" t="s">
        <v>732</v>
      </c>
      <c r="G190" s="1" t="s">
        <v>808</v>
      </c>
      <c r="H190" s="1" t="s">
        <v>809</v>
      </c>
      <c r="I190" s="1">
        <v>4.0</v>
      </c>
      <c r="J190" s="1">
        <v>3.0</v>
      </c>
      <c r="K190" s="2" t="s">
        <v>810</v>
      </c>
      <c r="L190" s="2" t="s">
        <v>60</v>
      </c>
      <c r="M190" s="1" t="s">
        <v>845</v>
      </c>
      <c r="N190" s="1" t="s">
        <v>62</v>
      </c>
      <c r="O190" s="1" t="s">
        <v>167</v>
      </c>
      <c r="P190" s="1" t="s">
        <v>816</v>
      </c>
      <c r="Q190" s="1">
        <v>16.8</v>
      </c>
      <c r="R190" s="1">
        <v>-90.033333</v>
      </c>
      <c r="S190" s="1" t="s">
        <v>148</v>
      </c>
      <c r="T190" s="2" t="s">
        <v>194</v>
      </c>
      <c r="U190" s="2" t="s">
        <v>813</v>
      </c>
      <c r="V190" s="3" t="s">
        <v>68</v>
      </c>
      <c r="W190" s="1" t="s">
        <v>286</v>
      </c>
      <c r="X190" s="1" t="s">
        <v>70</v>
      </c>
      <c r="Y190" s="6" t="s">
        <v>76</v>
      </c>
      <c r="Z190" s="3" t="s">
        <v>76</v>
      </c>
      <c r="AB190" s="1">
        <v>1.0</v>
      </c>
      <c r="AD190" s="1">
        <v>1.0</v>
      </c>
      <c r="AI190" s="2" t="s">
        <v>72</v>
      </c>
      <c r="AJ190" s="1">
        <v>1645.0</v>
      </c>
      <c r="AK190" s="1">
        <v>1950.0</v>
      </c>
      <c r="AL190" s="2" t="s">
        <v>73</v>
      </c>
      <c r="AM190" s="2" t="s">
        <v>72</v>
      </c>
      <c r="AN190" s="2" t="s">
        <v>72</v>
      </c>
      <c r="AO190" s="2" t="s">
        <v>72</v>
      </c>
      <c r="AQ190" s="2" t="s">
        <v>75</v>
      </c>
      <c r="AR190" s="2" t="s">
        <v>76</v>
      </c>
      <c r="AS190" s="1">
        <v>2162.0</v>
      </c>
      <c r="AT190" s="1">
        <v>2162.0</v>
      </c>
      <c r="AU190" s="1">
        <v>878.0</v>
      </c>
      <c r="AV190" s="1">
        <v>49.0</v>
      </c>
      <c r="AW190" s="1">
        <v>180.0</v>
      </c>
      <c r="AX190" s="1">
        <v>5673.0</v>
      </c>
      <c r="AY190" s="1">
        <v>248.0</v>
      </c>
      <c r="AZ190" s="1" t="s">
        <v>133</v>
      </c>
      <c r="BA190" s="1" t="s">
        <v>121</v>
      </c>
    </row>
    <row r="191">
      <c r="A191" s="1" t="s">
        <v>805</v>
      </c>
      <c r="B191" s="1" t="s">
        <v>53</v>
      </c>
      <c r="C191" s="1">
        <v>1990.0</v>
      </c>
      <c r="D191" s="1" t="s">
        <v>806</v>
      </c>
      <c r="E191" s="1" t="s">
        <v>807</v>
      </c>
      <c r="F191" s="1" t="s">
        <v>732</v>
      </c>
      <c r="G191" s="1" t="s">
        <v>808</v>
      </c>
      <c r="H191" s="1" t="s">
        <v>809</v>
      </c>
      <c r="I191" s="1">
        <v>4.0</v>
      </c>
      <c r="J191" s="1">
        <v>3.0</v>
      </c>
      <c r="K191" s="2" t="s">
        <v>810</v>
      </c>
      <c r="L191" s="2" t="s">
        <v>60</v>
      </c>
      <c r="M191" s="1" t="s">
        <v>846</v>
      </c>
      <c r="N191" s="1" t="s">
        <v>62</v>
      </c>
      <c r="O191" s="1" t="s">
        <v>167</v>
      </c>
      <c r="P191" s="1" t="s">
        <v>822</v>
      </c>
      <c r="Q191" s="1">
        <v>16.648694</v>
      </c>
      <c r="R191" s="1">
        <v>-89.750195</v>
      </c>
      <c r="S191" s="1" t="s">
        <v>148</v>
      </c>
      <c r="T191" s="2" t="s">
        <v>80</v>
      </c>
      <c r="U191" s="1" t="s">
        <v>156</v>
      </c>
      <c r="V191" s="3" t="s">
        <v>138</v>
      </c>
      <c r="W191" s="1" t="s">
        <v>348</v>
      </c>
      <c r="X191" s="1" t="s">
        <v>847</v>
      </c>
      <c r="Y191" s="6" t="s">
        <v>76</v>
      </c>
      <c r="Z191" s="3" t="s">
        <v>76</v>
      </c>
      <c r="AD191" s="1">
        <v>1.0</v>
      </c>
      <c r="AI191" s="2" t="s">
        <v>72</v>
      </c>
      <c r="AJ191" s="1">
        <v>1300.0</v>
      </c>
      <c r="AK191" s="1">
        <v>1950.0</v>
      </c>
      <c r="AL191" s="3" t="s">
        <v>153</v>
      </c>
      <c r="AM191" s="2" t="s">
        <v>72</v>
      </c>
      <c r="AN191" s="2" t="s">
        <v>72</v>
      </c>
      <c r="AO191" s="2" t="s">
        <v>72</v>
      </c>
      <c r="AQ191" s="2" t="s">
        <v>75</v>
      </c>
      <c r="AR191" s="2" t="s">
        <v>76</v>
      </c>
      <c r="AS191" s="1">
        <v>2384.0</v>
      </c>
      <c r="AT191" s="1">
        <v>2384.0</v>
      </c>
      <c r="AU191" s="1">
        <v>1014.0</v>
      </c>
      <c r="AV191" s="1">
        <v>52.0</v>
      </c>
      <c r="AW191" s="1">
        <v>198.0</v>
      </c>
      <c r="AX191" s="1">
        <v>5843.0</v>
      </c>
      <c r="AY191" s="1">
        <v>150.0</v>
      </c>
      <c r="AZ191" s="1" t="s">
        <v>133</v>
      </c>
      <c r="BA191" s="1" t="s">
        <v>121</v>
      </c>
    </row>
    <row r="192">
      <c r="A192" s="1" t="s">
        <v>805</v>
      </c>
      <c r="B192" s="1" t="s">
        <v>53</v>
      </c>
      <c r="C192" s="1">
        <v>1990.0</v>
      </c>
      <c r="D192" s="1" t="s">
        <v>806</v>
      </c>
      <c r="E192" s="1" t="s">
        <v>807</v>
      </c>
      <c r="F192" s="1" t="s">
        <v>732</v>
      </c>
      <c r="G192" s="1" t="s">
        <v>808</v>
      </c>
      <c r="H192" s="1" t="s">
        <v>809</v>
      </c>
      <c r="I192" s="1">
        <v>4.0</v>
      </c>
      <c r="J192" s="1">
        <v>3.0</v>
      </c>
      <c r="K192" s="2" t="s">
        <v>810</v>
      </c>
      <c r="L192" s="2" t="s">
        <v>60</v>
      </c>
      <c r="M192" s="1" t="s">
        <v>848</v>
      </c>
      <c r="N192" s="1" t="s">
        <v>62</v>
      </c>
      <c r="O192" s="1" t="s">
        <v>167</v>
      </c>
      <c r="P192" s="1" t="s">
        <v>812</v>
      </c>
      <c r="Q192" s="1">
        <v>16.85</v>
      </c>
      <c r="R192" s="1">
        <v>-90.133333</v>
      </c>
      <c r="S192" s="1" t="s">
        <v>148</v>
      </c>
      <c r="T192" s="2" t="s">
        <v>80</v>
      </c>
      <c r="U192" s="1" t="s">
        <v>156</v>
      </c>
      <c r="V192" s="3" t="s">
        <v>138</v>
      </c>
      <c r="W192" s="1" t="s">
        <v>348</v>
      </c>
      <c r="X192" s="1" t="s">
        <v>847</v>
      </c>
      <c r="Y192" s="6" t="s">
        <v>76</v>
      </c>
      <c r="Z192" s="3" t="s">
        <v>76</v>
      </c>
      <c r="AD192" s="1">
        <v>1.0</v>
      </c>
      <c r="AI192" s="2" t="s">
        <v>72</v>
      </c>
      <c r="AJ192" s="1">
        <v>1645.0</v>
      </c>
      <c r="AK192" s="1">
        <v>1950.0</v>
      </c>
      <c r="AL192" s="3" t="s">
        <v>153</v>
      </c>
      <c r="AM192" s="2" t="s">
        <v>72</v>
      </c>
      <c r="AN192" s="2" t="s">
        <v>72</v>
      </c>
      <c r="AO192" s="2" t="s">
        <v>72</v>
      </c>
      <c r="AQ192" s="2" t="s">
        <v>75</v>
      </c>
      <c r="AR192" s="2" t="s">
        <v>76</v>
      </c>
      <c r="AS192" s="1">
        <v>2170.0</v>
      </c>
      <c r="AT192" s="1">
        <v>2170.0</v>
      </c>
      <c r="AU192" s="1">
        <v>883.0</v>
      </c>
      <c r="AV192" s="1">
        <v>50.0</v>
      </c>
      <c r="AW192" s="1">
        <v>177.0</v>
      </c>
      <c r="AX192" s="1">
        <v>5759.0</v>
      </c>
      <c r="AY192" s="1">
        <v>188.0</v>
      </c>
      <c r="AZ192" s="1" t="s">
        <v>133</v>
      </c>
      <c r="BA192" s="1" t="s">
        <v>121</v>
      </c>
    </row>
    <row r="193">
      <c r="A193" s="1" t="s">
        <v>805</v>
      </c>
      <c r="B193" s="1" t="s">
        <v>53</v>
      </c>
      <c r="C193" s="1">
        <v>1990.0</v>
      </c>
      <c r="D193" s="1" t="s">
        <v>806</v>
      </c>
      <c r="E193" s="1" t="s">
        <v>807</v>
      </c>
      <c r="F193" s="1" t="s">
        <v>732</v>
      </c>
      <c r="G193" s="1" t="s">
        <v>808</v>
      </c>
      <c r="H193" s="1" t="s">
        <v>809</v>
      </c>
      <c r="I193" s="1">
        <v>4.0</v>
      </c>
      <c r="J193" s="1">
        <v>3.0</v>
      </c>
      <c r="K193" s="2" t="s">
        <v>810</v>
      </c>
      <c r="L193" s="2" t="s">
        <v>60</v>
      </c>
      <c r="M193" s="1" t="s">
        <v>849</v>
      </c>
      <c r="N193" s="1" t="s">
        <v>62</v>
      </c>
      <c r="O193" s="1" t="s">
        <v>167</v>
      </c>
      <c r="P193" s="1" t="s">
        <v>816</v>
      </c>
      <c r="Q193" s="1">
        <v>16.8</v>
      </c>
      <c r="R193" s="1">
        <v>-90.033333</v>
      </c>
      <c r="S193" s="1" t="s">
        <v>148</v>
      </c>
      <c r="T193" s="2" t="s">
        <v>80</v>
      </c>
      <c r="U193" s="1" t="s">
        <v>156</v>
      </c>
      <c r="V193" s="3" t="s">
        <v>138</v>
      </c>
      <c r="W193" s="1" t="s">
        <v>348</v>
      </c>
      <c r="X193" s="1" t="s">
        <v>847</v>
      </c>
      <c r="Y193" s="6" t="s">
        <v>76</v>
      </c>
      <c r="Z193" s="3" t="s">
        <v>76</v>
      </c>
      <c r="AB193" s="1">
        <v>1.0</v>
      </c>
      <c r="AD193" s="1">
        <v>1.0</v>
      </c>
      <c r="AI193" s="2" t="s">
        <v>72</v>
      </c>
      <c r="AJ193" s="1">
        <v>1645.0</v>
      </c>
      <c r="AK193" s="1">
        <v>1950.0</v>
      </c>
      <c r="AL193" s="2" t="s">
        <v>73</v>
      </c>
      <c r="AM193" s="2" t="s">
        <v>72</v>
      </c>
      <c r="AN193" s="2" t="s">
        <v>72</v>
      </c>
      <c r="AO193" s="2" t="s">
        <v>72</v>
      </c>
      <c r="AQ193" s="2" t="s">
        <v>75</v>
      </c>
      <c r="AR193" s="2" t="s">
        <v>76</v>
      </c>
      <c r="AS193" s="1">
        <v>2162.0</v>
      </c>
      <c r="AT193" s="1">
        <v>2162.0</v>
      </c>
      <c r="AU193" s="1">
        <v>878.0</v>
      </c>
      <c r="AV193" s="1">
        <v>49.0</v>
      </c>
      <c r="AW193" s="1">
        <v>180.0</v>
      </c>
      <c r="AX193" s="1">
        <v>5673.0</v>
      </c>
      <c r="AY193" s="1">
        <v>248.0</v>
      </c>
      <c r="AZ193" s="1" t="s">
        <v>133</v>
      </c>
      <c r="BA193" s="1" t="s">
        <v>121</v>
      </c>
    </row>
    <row r="194">
      <c r="A194" s="1" t="s">
        <v>850</v>
      </c>
      <c r="B194" s="1" t="s">
        <v>53</v>
      </c>
      <c r="C194" s="1">
        <v>1998.0</v>
      </c>
      <c r="D194" s="1" t="s">
        <v>851</v>
      </c>
      <c r="E194" s="1" t="s">
        <v>852</v>
      </c>
      <c r="F194" s="1" t="s">
        <v>732</v>
      </c>
      <c r="G194" s="1" t="s">
        <v>853</v>
      </c>
      <c r="H194" s="1" t="s">
        <v>854</v>
      </c>
      <c r="I194" s="1">
        <v>19.0</v>
      </c>
      <c r="J194" s="1">
        <v>2.0</v>
      </c>
      <c r="K194" s="2" t="s">
        <v>855</v>
      </c>
      <c r="L194" s="2" t="s">
        <v>60</v>
      </c>
      <c r="M194" s="1" t="s">
        <v>856</v>
      </c>
      <c r="N194" s="1" t="s">
        <v>62</v>
      </c>
      <c r="O194" s="1" t="s">
        <v>167</v>
      </c>
      <c r="P194" s="1" t="s">
        <v>512</v>
      </c>
      <c r="Q194" s="1">
        <v>16.916667</v>
      </c>
      <c r="R194" s="1">
        <v>-89.833333</v>
      </c>
      <c r="S194" s="1" t="s">
        <v>148</v>
      </c>
      <c r="T194" s="2" t="s">
        <v>189</v>
      </c>
      <c r="U194" s="1" t="s">
        <v>150</v>
      </c>
      <c r="V194" s="3" t="s">
        <v>97</v>
      </c>
      <c r="W194" s="1" t="s">
        <v>857</v>
      </c>
      <c r="X194" s="1" t="s">
        <v>70</v>
      </c>
      <c r="Y194" s="6" t="s">
        <v>76</v>
      </c>
      <c r="Z194" s="3" t="s">
        <v>76</v>
      </c>
      <c r="AB194" s="1">
        <v>11.0</v>
      </c>
      <c r="AD194" s="1">
        <v>1.0</v>
      </c>
      <c r="AI194" s="1" t="s">
        <v>858</v>
      </c>
      <c r="AJ194" s="1">
        <v>-7170.0</v>
      </c>
      <c r="AK194" s="1">
        <v>1950.0</v>
      </c>
      <c r="AL194" s="2" t="s">
        <v>153</v>
      </c>
      <c r="AM194" s="2" t="s">
        <v>60</v>
      </c>
      <c r="AN194" s="1" t="s">
        <v>859</v>
      </c>
      <c r="AO194" s="2" t="s">
        <v>60</v>
      </c>
      <c r="AQ194" s="2" t="s">
        <v>576</v>
      </c>
      <c r="AR194" s="2" t="s">
        <v>76</v>
      </c>
      <c r="AS194" s="1">
        <v>1738.0</v>
      </c>
      <c r="AT194" s="1">
        <v>1738.0</v>
      </c>
      <c r="AU194" s="1">
        <v>690.0</v>
      </c>
      <c r="AV194" s="1">
        <v>36.0</v>
      </c>
      <c r="AW194" s="1">
        <v>144.0</v>
      </c>
      <c r="AX194" s="1">
        <v>5677.0</v>
      </c>
      <c r="AY194" s="1">
        <v>131.0</v>
      </c>
      <c r="AZ194" s="1" t="s">
        <v>133</v>
      </c>
      <c r="BA194" s="1" t="s">
        <v>121</v>
      </c>
    </row>
    <row r="195">
      <c r="A195" s="1" t="s">
        <v>850</v>
      </c>
      <c r="B195" s="1" t="s">
        <v>53</v>
      </c>
      <c r="C195" s="1">
        <v>1998.0</v>
      </c>
      <c r="D195" s="1" t="s">
        <v>851</v>
      </c>
      <c r="E195" s="1" t="s">
        <v>852</v>
      </c>
      <c r="F195" s="1" t="s">
        <v>732</v>
      </c>
      <c r="G195" s="1" t="s">
        <v>853</v>
      </c>
      <c r="H195" s="1" t="s">
        <v>854</v>
      </c>
      <c r="I195" s="1">
        <v>19.0</v>
      </c>
      <c r="J195" s="1">
        <v>2.0</v>
      </c>
      <c r="K195" s="2" t="s">
        <v>855</v>
      </c>
      <c r="L195" s="2" t="s">
        <v>60</v>
      </c>
      <c r="M195" s="1" t="s">
        <v>860</v>
      </c>
      <c r="N195" s="1" t="s">
        <v>62</v>
      </c>
      <c r="O195" s="1" t="s">
        <v>167</v>
      </c>
      <c r="P195" s="1" t="s">
        <v>512</v>
      </c>
      <c r="Q195" s="1">
        <v>16.916667</v>
      </c>
      <c r="R195" s="1">
        <v>-89.833333</v>
      </c>
      <c r="S195" s="1" t="s">
        <v>148</v>
      </c>
      <c r="T195" s="2" t="s">
        <v>382</v>
      </c>
      <c r="U195" s="1" t="s">
        <v>173</v>
      </c>
      <c r="V195" s="3" t="s">
        <v>68</v>
      </c>
      <c r="W195" s="1" t="s">
        <v>861</v>
      </c>
      <c r="X195" s="1" t="s">
        <v>544</v>
      </c>
      <c r="Y195" s="6" t="s">
        <v>76</v>
      </c>
      <c r="Z195" s="3" t="s">
        <v>76</v>
      </c>
      <c r="AB195" s="1">
        <v>11.0</v>
      </c>
      <c r="AD195" s="1">
        <v>1.0</v>
      </c>
      <c r="AI195" s="1" t="s">
        <v>858</v>
      </c>
      <c r="AJ195" s="1">
        <v>-7170.0</v>
      </c>
      <c r="AK195" s="1">
        <v>1950.0</v>
      </c>
      <c r="AL195" s="2" t="s">
        <v>153</v>
      </c>
      <c r="AM195" s="2" t="s">
        <v>60</v>
      </c>
      <c r="AN195" s="1" t="s">
        <v>859</v>
      </c>
      <c r="AO195" s="2" t="s">
        <v>60</v>
      </c>
      <c r="AQ195" s="2" t="s">
        <v>576</v>
      </c>
      <c r="AR195" s="2" t="s">
        <v>76</v>
      </c>
      <c r="AS195" s="1">
        <v>1738.0</v>
      </c>
      <c r="AT195" s="1">
        <v>1738.0</v>
      </c>
      <c r="AU195" s="1">
        <v>690.0</v>
      </c>
      <c r="AV195" s="1">
        <v>36.0</v>
      </c>
      <c r="AW195" s="1">
        <v>144.0</v>
      </c>
      <c r="AX195" s="1">
        <v>5677.0</v>
      </c>
      <c r="AY195" s="1">
        <v>131.0</v>
      </c>
      <c r="AZ195" s="1" t="s">
        <v>133</v>
      </c>
      <c r="BA195" s="1" t="s">
        <v>121</v>
      </c>
    </row>
    <row r="196">
      <c r="A196" s="1" t="s">
        <v>850</v>
      </c>
      <c r="B196" s="1" t="s">
        <v>53</v>
      </c>
      <c r="C196" s="1">
        <v>1998.0</v>
      </c>
      <c r="D196" s="1" t="s">
        <v>851</v>
      </c>
      <c r="E196" s="1" t="s">
        <v>852</v>
      </c>
      <c r="F196" s="1" t="s">
        <v>732</v>
      </c>
      <c r="G196" s="1" t="s">
        <v>853</v>
      </c>
      <c r="H196" s="1" t="s">
        <v>854</v>
      </c>
      <c r="I196" s="1">
        <v>19.0</v>
      </c>
      <c r="J196" s="1">
        <v>2.0</v>
      </c>
      <c r="K196" s="2" t="s">
        <v>855</v>
      </c>
      <c r="L196" s="2" t="s">
        <v>60</v>
      </c>
      <c r="M196" s="1" t="s">
        <v>862</v>
      </c>
      <c r="N196" s="1" t="s">
        <v>62</v>
      </c>
      <c r="O196" s="1" t="s">
        <v>167</v>
      </c>
      <c r="P196" s="1" t="s">
        <v>512</v>
      </c>
      <c r="Q196" s="1">
        <v>16.916667</v>
      </c>
      <c r="R196" s="1">
        <v>-89.833333</v>
      </c>
      <c r="S196" s="1" t="s">
        <v>148</v>
      </c>
      <c r="T196" s="2" t="s">
        <v>169</v>
      </c>
      <c r="U196" s="1" t="s">
        <v>173</v>
      </c>
      <c r="V196" s="3" t="s">
        <v>68</v>
      </c>
      <c r="W196" s="1" t="s">
        <v>863</v>
      </c>
      <c r="X196" s="2" t="s">
        <v>575</v>
      </c>
      <c r="Y196" s="6" t="s">
        <v>76</v>
      </c>
      <c r="Z196" s="3" t="s">
        <v>76</v>
      </c>
      <c r="AB196" s="1">
        <v>11.0</v>
      </c>
      <c r="AD196" s="1">
        <v>1.0</v>
      </c>
      <c r="AI196" s="1" t="s">
        <v>858</v>
      </c>
      <c r="AJ196" s="1">
        <v>-7170.0</v>
      </c>
      <c r="AK196" s="1">
        <v>1950.0</v>
      </c>
      <c r="AL196" s="2" t="s">
        <v>153</v>
      </c>
      <c r="AM196" s="2" t="s">
        <v>60</v>
      </c>
      <c r="AN196" s="1" t="s">
        <v>859</v>
      </c>
      <c r="AO196" s="2" t="s">
        <v>60</v>
      </c>
      <c r="AQ196" s="2" t="s">
        <v>576</v>
      </c>
      <c r="AR196" s="2" t="s">
        <v>76</v>
      </c>
      <c r="AS196" s="1">
        <v>1738.0</v>
      </c>
      <c r="AT196" s="1">
        <v>1738.0</v>
      </c>
      <c r="AU196" s="1">
        <v>690.0</v>
      </c>
      <c r="AV196" s="1">
        <v>36.0</v>
      </c>
      <c r="AW196" s="1">
        <v>144.0</v>
      </c>
      <c r="AX196" s="1">
        <v>5677.0</v>
      </c>
      <c r="AY196" s="1">
        <v>131.0</v>
      </c>
      <c r="AZ196" s="1" t="s">
        <v>133</v>
      </c>
      <c r="BA196" s="1" t="s">
        <v>121</v>
      </c>
    </row>
    <row r="197">
      <c r="A197" s="1" t="s">
        <v>850</v>
      </c>
      <c r="B197" s="1" t="s">
        <v>53</v>
      </c>
      <c r="C197" s="1">
        <v>1998.0</v>
      </c>
      <c r="D197" s="1" t="s">
        <v>851</v>
      </c>
      <c r="E197" s="1" t="s">
        <v>852</v>
      </c>
      <c r="F197" s="1" t="s">
        <v>732</v>
      </c>
      <c r="G197" s="1" t="s">
        <v>853</v>
      </c>
      <c r="H197" s="1" t="s">
        <v>854</v>
      </c>
      <c r="I197" s="1">
        <v>19.0</v>
      </c>
      <c r="J197" s="1">
        <v>2.0</v>
      </c>
      <c r="K197" s="2" t="s">
        <v>855</v>
      </c>
      <c r="L197" s="2" t="s">
        <v>60</v>
      </c>
      <c r="M197" s="1" t="s">
        <v>864</v>
      </c>
      <c r="N197" s="1" t="s">
        <v>62</v>
      </c>
      <c r="O197" s="1" t="s">
        <v>167</v>
      </c>
      <c r="P197" s="1" t="s">
        <v>512</v>
      </c>
      <c r="Q197" s="1">
        <v>16.916667</v>
      </c>
      <c r="R197" s="1">
        <v>-89.833333</v>
      </c>
      <c r="S197" s="1" t="s">
        <v>148</v>
      </c>
      <c r="T197" s="2" t="s">
        <v>66</v>
      </c>
      <c r="U197" s="1" t="s">
        <v>823</v>
      </c>
      <c r="V197" s="3" t="s">
        <v>138</v>
      </c>
      <c r="W197" s="1" t="s">
        <v>865</v>
      </c>
      <c r="X197" s="1" t="s">
        <v>70</v>
      </c>
      <c r="Y197" s="5" t="s">
        <v>76</v>
      </c>
      <c r="Z197" s="3" t="s">
        <v>76</v>
      </c>
      <c r="AB197" s="1">
        <v>11.0</v>
      </c>
      <c r="AD197" s="1">
        <v>1.0</v>
      </c>
      <c r="AI197" s="1" t="s">
        <v>858</v>
      </c>
      <c r="AJ197" s="1">
        <v>-7170.0</v>
      </c>
      <c r="AK197" s="1">
        <v>1950.0</v>
      </c>
      <c r="AL197" s="2" t="s">
        <v>153</v>
      </c>
      <c r="AM197" s="2" t="s">
        <v>60</v>
      </c>
      <c r="AN197" s="1" t="s">
        <v>859</v>
      </c>
      <c r="AO197" s="2" t="s">
        <v>60</v>
      </c>
      <c r="AQ197" s="2" t="s">
        <v>576</v>
      </c>
      <c r="AR197" s="2" t="s">
        <v>76</v>
      </c>
      <c r="AS197" s="1">
        <v>1738.0</v>
      </c>
      <c r="AT197" s="1">
        <v>1738.0</v>
      </c>
      <c r="AU197" s="1">
        <v>690.0</v>
      </c>
      <c r="AV197" s="1">
        <v>36.0</v>
      </c>
      <c r="AW197" s="1">
        <v>144.0</v>
      </c>
      <c r="AX197" s="1">
        <v>5677.0</v>
      </c>
      <c r="AY197" s="1">
        <v>131.0</v>
      </c>
      <c r="AZ197" s="1" t="s">
        <v>133</v>
      </c>
      <c r="BA197" s="1" t="s">
        <v>121</v>
      </c>
    </row>
    <row r="198">
      <c r="A198" s="1" t="s">
        <v>850</v>
      </c>
      <c r="B198" s="1" t="s">
        <v>53</v>
      </c>
      <c r="C198" s="1">
        <v>1998.0</v>
      </c>
      <c r="D198" s="1" t="s">
        <v>851</v>
      </c>
      <c r="E198" s="1" t="s">
        <v>852</v>
      </c>
      <c r="F198" s="1" t="s">
        <v>732</v>
      </c>
      <c r="G198" s="1" t="s">
        <v>853</v>
      </c>
      <c r="H198" s="1" t="s">
        <v>854</v>
      </c>
      <c r="I198" s="1">
        <v>19.0</v>
      </c>
      <c r="J198" s="1">
        <v>2.0</v>
      </c>
      <c r="K198" s="2" t="s">
        <v>855</v>
      </c>
      <c r="L198" s="2" t="s">
        <v>60</v>
      </c>
      <c r="M198" s="1" t="s">
        <v>866</v>
      </c>
      <c r="N198" s="1" t="s">
        <v>62</v>
      </c>
      <c r="O198" s="1" t="s">
        <v>167</v>
      </c>
      <c r="P198" s="1" t="s">
        <v>512</v>
      </c>
      <c r="Q198" s="1">
        <v>16.916667</v>
      </c>
      <c r="R198" s="1">
        <v>-89.833333</v>
      </c>
      <c r="S198" s="1" t="s">
        <v>148</v>
      </c>
      <c r="T198" s="2" t="s">
        <v>95</v>
      </c>
      <c r="U198" s="2" t="s">
        <v>96</v>
      </c>
      <c r="V198" s="3" t="s">
        <v>97</v>
      </c>
      <c r="W198" s="1" t="s">
        <v>867</v>
      </c>
      <c r="X198" s="2" t="s">
        <v>99</v>
      </c>
      <c r="Y198" s="6" t="s">
        <v>76</v>
      </c>
      <c r="Z198" s="3" t="s">
        <v>76</v>
      </c>
      <c r="AB198" s="1">
        <v>11.0</v>
      </c>
      <c r="AD198" s="1">
        <v>1.0</v>
      </c>
      <c r="AI198" s="1" t="s">
        <v>858</v>
      </c>
      <c r="AJ198" s="1">
        <v>-7170.0</v>
      </c>
      <c r="AK198" s="1">
        <v>1950.0</v>
      </c>
      <c r="AL198" s="2" t="s">
        <v>153</v>
      </c>
      <c r="AM198" s="2" t="s">
        <v>60</v>
      </c>
      <c r="AN198" s="1" t="s">
        <v>859</v>
      </c>
      <c r="AO198" s="2" t="s">
        <v>60</v>
      </c>
      <c r="AQ198" s="2" t="s">
        <v>576</v>
      </c>
      <c r="AR198" s="2" t="s">
        <v>76</v>
      </c>
      <c r="AS198" s="1">
        <v>1738.0</v>
      </c>
      <c r="AT198" s="1">
        <v>1738.0</v>
      </c>
      <c r="AU198" s="1">
        <v>690.0</v>
      </c>
      <c r="AV198" s="1">
        <v>36.0</v>
      </c>
      <c r="AW198" s="1">
        <v>144.0</v>
      </c>
      <c r="AX198" s="1">
        <v>5677.0</v>
      </c>
      <c r="AY198" s="1">
        <v>131.0</v>
      </c>
      <c r="AZ198" s="1" t="s">
        <v>133</v>
      </c>
      <c r="BA198" s="1" t="s">
        <v>121</v>
      </c>
    </row>
    <row r="199">
      <c r="A199" s="1" t="s">
        <v>850</v>
      </c>
      <c r="B199" s="1" t="s">
        <v>53</v>
      </c>
      <c r="C199" s="1">
        <v>1998.0</v>
      </c>
      <c r="D199" s="1" t="s">
        <v>851</v>
      </c>
      <c r="E199" s="1" t="s">
        <v>852</v>
      </c>
      <c r="F199" s="1" t="s">
        <v>732</v>
      </c>
      <c r="G199" s="1" t="s">
        <v>853</v>
      </c>
      <c r="H199" s="1" t="s">
        <v>854</v>
      </c>
      <c r="I199" s="1">
        <v>19.0</v>
      </c>
      <c r="J199" s="1">
        <v>2.0</v>
      </c>
      <c r="K199" s="2" t="s">
        <v>855</v>
      </c>
      <c r="L199" s="2" t="s">
        <v>60</v>
      </c>
      <c r="M199" s="1" t="s">
        <v>868</v>
      </c>
      <c r="N199" s="1" t="s">
        <v>62</v>
      </c>
      <c r="O199" s="1" t="s">
        <v>167</v>
      </c>
      <c r="P199" s="1" t="s">
        <v>512</v>
      </c>
      <c r="Q199" s="1">
        <v>16.916667</v>
      </c>
      <c r="R199" s="1">
        <v>-89.833333</v>
      </c>
      <c r="S199" s="1" t="s">
        <v>148</v>
      </c>
      <c r="T199" s="2" t="s">
        <v>95</v>
      </c>
      <c r="U199" s="2" t="s">
        <v>96</v>
      </c>
      <c r="V199" s="3" t="s">
        <v>97</v>
      </c>
      <c r="W199" s="1" t="s">
        <v>867</v>
      </c>
      <c r="X199" s="2" t="s">
        <v>99</v>
      </c>
      <c r="Y199" s="6" t="s">
        <v>76</v>
      </c>
      <c r="Z199" s="3" t="s">
        <v>76</v>
      </c>
      <c r="AB199" s="1">
        <v>11.0</v>
      </c>
      <c r="AD199" s="1">
        <v>1.0</v>
      </c>
      <c r="AI199" s="1" t="s">
        <v>858</v>
      </c>
      <c r="AJ199" s="1">
        <v>-7170.0</v>
      </c>
      <c r="AK199" s="1">
        <v>1950.0</v>
      </c>
      <c r="AL199" s="2" t="s">
        <v>153</v>
      </c>
      <c r="AM199" s="2" t="s">
        <v>60</v>
      </c>
      <c r="AN199" s="1" t="s">
        <v>859</v>
      </c>
      <c r="AO199" s="2" t="s">
        <v>60</v>
      </c>
      <c r="AQ199" s="2" t="s">
        <v>576</v>
      </c>
      <c r="AR199" s="2" t="s">
        <v>76</v>
      </c>
      <c r="AS199" s="1">
        <v>1738.0</v>
      </c>
      <c r="AT199" s="1">
        <v>1738.0</v>
      </c>
      <c r="AU199" s="1">
        <v>690.0</v>
      </c>
      <c r="AV199" s="1">
        <v>36.0</v>
      </c>
      <c r="AW199" s="1">
        <v>144.0</v>
      </c>
      <c r="AX199" s="1">
        <v>5677.0</v>
      </c>
      <c r="AY199" s="1">
        <v>131.0</v>
      </c>
      <c r="AZ199" s="1" t="s">
        <v>133</v>
      </c>
      <c r="BA199" s="1" t="s">
        <v>121</v>
      </c>
    </row>
    <row r="200">
      <c r="A200" s="1" t="s">
        <v>850</v>
      </c>
      <c r="B200" s="1" t="s">
        <v>53</v>
      </c>
      <c r="C200" s="1">
        <v>1998.0</v>
      </c>
      <c r="D200" s="1" t="s">
        <v>851</v>
      </c>
      <c r="E200" s="1" t="s">
        <v>852</v>
      </c>
      <c r="F200" s="1" t="s">
        <v>732</v>
      </c>
      <c r="G200" s="1" t="s">
        <v>853</v>
      </c>
      <c r="H200" s="1" t="s">
        <v>854</v>
      </c>
      <c r="I200" s="1">
        <v>19.0</v>
      </c>
      <c r="J200" s="1">
        <v>2.0</v>
      </c>
      <c r="K200" s="2" t="s">
        <v>855</v>
      </c>
      <c r="L200" s="2" t="s">
        <v>60</v>
      </c>
      <c r="M200" s="1" t="s">
        <v>869</v>
      </c>
      <c r="N200" s="1" t="s">
        <v>62</v>
      </c>
      <c r="O200" s="1" t="s">
        <v>167</v>
      </c>
      <c r="P200" s="1" t="s">
        <v>512</v>
      </c>
      <c r="Q200" s="1">
        <v>16.916667</v>
      </c>
      <c r="R200" s="1">
        <v>-89.833333</v>
      </c>
      <c r="S200" s="1" t="s">
        <v>148</v>
      </c>
      <c r="T200" s="2" t="s">
        <v>95</v>
      </c>
      <c r="U200" s="2" t="s">
        <v>96</v>
      </c>
      <c r="V200" s="3" t="s">
        <v>97</v>
      </c>
      <c r="W200" s="1" t="s">
        <v>867</v>
      </c>
      <c r="X200" s="2" t="s">
        <v>99</v>
      </c>
      <c r="Y200" s="6" t="s">
        <v>76</v>
      </c>
      <c r="Z200" s="3" t="s">
        <v>76</v>
      </c>
      <c r="AB200" s="1">
        <v>11.0</v>
      </c>
      <c r="AD200" s="1">
        <v>1.0</v>
      </c>
      <c r="AI200" s="1" t="s">
        <v>858</v>
      </c>
      <c r="AJ200" s="1">
        <v>-7170.0</v>
      </c>
      <c r="AK200" s="1">
        <v>1950.0</v>
      </c>
      <c r="AL200" s="2" t="s">
        <v>153</v>
      </c>
      <c r="AM200" s="2" t="s">
        <v>60</v>
      </c>
      <c r="AN200" s="1" t="s">
        <v>859</v>
      </c>
      <c r="AO200" s="2" t="s">
        <v>60</v>
      </c>
      <c r="AQ200" s="2" t="s">
        <v>576</v>
      </c>
      <c r="AR200" s="2" t="s">
        <v>76</v>
      </c>
      <c r="AS200" s="1">
        <v>1738.0</v>
      </c>
      <c r="AT200" s="1">
        <v>1738.0</v>
      </c>
      <c r="AU200" s="1">
        <v>690.0</v>
      </c>
      <c r="AV200" s="1">
        <v>36.0</v>
      </c>
      <c r="AW200" s="1">
        <v>144.0</v>
      </c>
      <c r="AX200" s="1">
        <v>5677.0</v>
      </c>
      <c r="AY200" s="1">
        <v>131.0</v>
      </c>
      <c r="AZ200" s="1" t="s">
        <v>133</v>
      </c>
      <c r="BA200" s="1" t="s">
        <v>121</v>
      </c>
    </row>
    <row r="201">
      <c r="A201" s="1" t="s">
        <v>850</v>
      </c>
      <c r="B201" s="1" t="s">
        <v>53</v>
      </c>
      <c r="C201" s="1">
        <v>1998.0</v>
      </c>
      <c r="D201" s="1" t="s">
        <v>851</v>
      </c>
      <c r="E201" s="1" t="s">
        <v>852</v>
      </c>
      <c r="F201" s="1" t="s">
        <v>732</v>
      </c>
      <c r="G201" s="1" t="s">
        <v>853</v>
      </c>
      <c r="H201" s="1" t="s">
        <v>854</v>
      </c>
      <c r="I201" s="1">
        <v>19.0</v>
      </c>
      <c r="J201" s="1">
        <v>2.0</v>
      </c>
      <c r="K201" s="2" t="s">
        <v>855</v>
      </c>
      <c r="L201" s="2" t="s">
        <v>60</v>
      </c>
      <c r="M201" s="1" t="s">
        <v>870</v>
      </c>
      <c r="N201" s="1" t="s">
        <v>62</v>
      </c>
      <c r="O201" s="1" t="s">
        <v>167</v>
      </c>
      <c r="P201" s="1" t="s">
        <v>512</v>
      </c>
      <c r="Q201" s="1">
        <v>16.916667</v>
      </c>
      <c r="R201" s="1">
        <v>-89.833333</v>
      </c>
      <c r="S201" s="1" t="s">
        <v>148</v>
      </c>
      <c r="T201" s="2" t="s">
        <v>194</v>
      </c>
      <c r="U201" s="1" t="s">
        <v>173</v>
      </c>
      <c r="V201" s="3" t="s">
        <v>68</v>
      </c>
      <c r="W201" s="1" t="s">
        <v>286</v>
      </c>
      <c r="X201" s="1" t="s">
        <v>70</v>
      </c>
      <c r="Y201" s="6" t="s">
        <v>76</v>
      </c>
      <c r="Z201" s="3" t="s">
        <v>76</v>
      </c>
      <c r="AB201" s="1">
        <v>11.0</v>
      </c>
      <c r="AD201" s="1">
        <v>1.0</v>
      </c>
      <c r="AI201" s="1" t="s">
        <v>858</v>
      </c>
      <c r="AJ201" s="1">
        <v>-7170.0</v>
      </c>
      <c r="AK201" s="1">
        <v>1950.0</v>
      </c>
      <c r="AL201" s="2" t="s">
        <v>153</v>
      </c>
      <c r="AM201" s="2" t="s">
        <v>60</v>
      </c>
      <c r="AN201" s="1" t="s">
        <v>859</v>
      </c>
      <c r="AO201" s="2" t="s">
        <v>60</v>
      </c>
      <c r="AQ201" s="2" t="s">
        <v>576</v>
      </c>
      <c r="AR201" s="2" t="s">
        <v>76</v>
      </c>
      <c r="AS201" s="1">
        <v>1738.0</v>
      </c>
      <c r="AT201" s="1">
        <v>1738.0</v>
      </c>
      <c r="AU201" s="1">
        <v>690.0</v>
      </c>
      <c r="AV201" s="1">
        <v>36.0</v>
      </c>
      <c r="AW201" s="1">
        <v>144.0</v>
      </c>
      <c r="AX201" s="1">
        <v>5677.0</v>
      </c>
      <c r="AY201" s="1">
        <v>131.0</v>
      </c>
      <c r="AZ201" s="1" t="s">
        <v>133</v>
      </c>
      <c r="BA201" s="1" t="s">
        <v>121</v>
      </c>
    </row>
    <row r="202">
      <c r="A202" s="1" t="s">
        <v>871</v>
      </c>
      <c r="B202" s="1" t="s">
        <v>53</v>
      </c>
      <c r="C202" s="1">
        <v>2002.0</v>
      </c>
      <c r="D202" s="1" t="s">
        <v>872</v>
      </c>
      <c r="E202" s="1" t="s">
        <v>873</v>
      </c>
      <c r="F202" s="1" t="s">
        <v>732</v>
      </c>
      <c r="G202" s="1" t="s">
        <v>874</v>
      </c>
      <c r="H202" s="1" t="s">
        <v>875</v>
      </c>
      <c r="I202" s="1">
        <v>27.0</v>
      </c>
      <c r="J202" s="1">
        <v>1.0</v>
      </c>
      <c r="K202" s="2" t="s">
        <v>876</v>
      </c>
      <c r="L202" s="2" t="s">
        <v>60</v>
      </c>
      <c r="M202" s="1" t="s">
        <v>877</v>
      </c>
      <c r="N202" s="1" t="s">
        <v>62</v>
      </c>
      <c r="O202" s="1" t="s">
        <v>167</v>
      </c>
      <c r="P202" s="1" t="s">
        <v>878</v>
      </c>
      <c r="Q202" s="1">
        <v>16.98567</v>
      </c>
      <c r="R202" s="1">
        <v>-89.674358</v>
      </c>
      <c r="S202" s="1" t="s">
        <v>148</v>
      </c>
      <c r="T202" s="2" t="s">
        <v>189</v>
      </c>
      <c r="U202" s="1" t="s">
        <v>116</v>
      </c>
      <c r="V202" s="3" t="s">
        <v>68</v>
      </c>
      <c r="W202" s="1" t="s">
        <v>879</v>
      </c>
      <c r="X202" s="2" t="s">
        <v>70</v>
      </c>
      <c r="Y202" s="6" t="s">
        <v>76</v>
      </c>
      <c r="Z202" s="3" t="s">
        <v>173</v>
      </c>
      <c r="AB202" s="1">
        <v>8.0</v>
      </c>
      <c r="AI202" s="2" t="s">
        <v>72</v>
      </c>
      <c r="AJ202" s="1">
        <v>-6830.0</v>
      </c>
      <c r="AK202" s="1">
        <v>1950.0</v>
      </c>
      <c r="AL202" s="3" t="s">
        <v>73</v>
      </c>
      <c r="AM202" s="2" t="s">
        <v>76</v>
      </c>
      <c r="AN202" s="1" t="s">
        <v>400</v>
      </c>
      <c r="AO202" s="2" t="s">
        <v>72</v>
      </c>
      <c r="AQ202" s="2" t="s">
        <v>576</v>
      </c>
      <c r="AR202" s="2" t="s">
        <v>76</v>
      </c>
      <c r="AS202" s="1">
        <v>1757.0</v>
      </c>
      <c r="AT202" s="1">
        <v>1757.0</v>
      </c>
      <c r="AU202" s="1">
        <v>704.0</v>
      </c>
      <c r="AV202" s="1">
        <v>37.0</v>
      </c>
      <c r="AW202" s="1">
        <v>141.0</v>
      </c>
      <c r="AX202" s="1">
        <v>5662.0</v>
      </c>
      <c r="AY202" s="1">
        <v>118.0</v>
      </c>
      <c r="AZ202" s="1" t="s">
        <v>133</v>
      </c>
      <c r="BA202" s="1" t="s">
        <v>121</v>
      </c>
    </row>
    <row r="203">
      <c r="A203" s="1" t="s">
        <v>871</v>
      </c>
      <c r="B203" s="1" t="s">
        <v>53</v>
      </c>
      <c r="C203" s="1">
        <v>2002.0</v>
      </c>
      <c r="D203" s="1" t="s">
        <v>872</v>
      </c>
      <c r="E203" s="1" t="s">
        <v>873</v>
      </c>
      <c r="F203" s="1" t="s">
        <v>732</v>
      </c>
      <c r="G203" s="1" t="s">
        <v>874</v>
      </c>
      <c r="H203" s="1" t="s">
        <v>875</v>
      </c>
      <c r="I203" s="1">
        <v>27.0</v>
      </c>
      <c r="J203" s="1">
        <v>1.0</v>
      </c>
      <c r="K203" s="2" t="s">
        <v>876</v>
      </c>
      <c r="L203" s="2" t="s">
        <v>60</v>
      </c>
      <c r="M203" s="1" t="s">
        <v>880</v>
      </c>
      <c r="N203" s="1" t="s">
        <v>62</v>
      </c>
      <c r="O203" s="1" t="s">
        <v>167</v>
      </c>
      <c r="P203" s="1" t="s">
        <v>878</v>
      </c>
      <c r="Q203" s="1">
        <v>16.98567</v>
      </c>
      <c r="R203" s="1">
        <v>-89.674358</v>
      </c>
      <c r="S203" s="1" t="s">
        <v>148</v>
      </c>
      <c r="T203" s="2" t="s">
        <v>189</v>
      </c>
      <c r="U203" s="1" t="s">
        <v>116</v>
      </c>
      <c r="V203" s="3" t="s">
        <v>68</v>
      </c>
      <c r="W203" s="1" t="s">
        <v>879</v>
      </c>
      <c r="X203" s="2" t="s">
        <v>70</v>
      </c>
      <c r="Y203" s="6" t="s">
        <v>76</v>
      </c>
      <c r="Z203" s="3" t="s">
        <v>173</v>
      </c>
      <c r="AB203" s="1">
        <v>9.0</v>
      </c>
      <c r="AI203" s="2" t="s">
        <v>72</v>
      </c>
      <c r="AJ203" s="1">
        <v>-6270.0</v>
      </c>
      <c r="AK203" s="1">
        <v>1950.0</v>
      </c>
      <c r="AL203" s="3" t="s">
        <v>73</v>
      </c>
      <c r="AM203" s="2" t="s">
        <v>76</v>
      </c>
      <c r="AN203" s="1" t="s">
        <v>400</v>
      </c>
      <c r="AO203" s="2" t="s">
        <v>72</v>
      </c>
      <c r="AQ203" s="2" t="s">
        <v>576</v>
      </c>
      <c r="AR203" s="2" t="s">
        <v>76</v>
      </c>
      <c r="AS203" s="1">
        <v>1757.0</v>
      </c>
      <c r="AT203" s="1">
        <v>1757.0</v>
      </c>
      <c r="AU203" s="1">
        <v>704.0</v>
      </c>
      <c r="AV203" s="1">
        <v>37.0</v>
      </c>
      <c r="AW203" s="1">
        <v>141.0</v>
      </c>
      <c r="AX203" s="1">
        <v>5662.0</v>
      </c>
      <c r="AY203" s="1">
        <v>118.0</v>
      </c>
      <c r="AZ203" s="1" t="s">
        <v>133</v>
      </c>
      <c r="BA203" s="1" t="s">
        <v>121</v>
      </c>
    </row>
    <row r="204">
      <c r="A204" s="1" t="s">
        <v>871</v>
      </c>
      <c r="B204" s="1" t="s">
        <v>53</v>
      </c>
      <c r="C204" s="1">
        <v>2002.0</v>
      </c>
      <c r="D204" s="1" t="s">
        <v>872</v>
      </c>
      <c r="E204" s="1" t="s">
        <v>873</v>
      </c>
      <c r="F204" s="1" t="s">
        <v>732</v>
      </c>
      <c r="G204" s="1" t="s">
        <v>874</v>
      </c>
      <c r="H204" s="1" t="s">
        <v>875</v>
      </c>
      <c r="I204" s="1">
        <v>27.0</v>
      </c>
      <c r="J204" s="1">
        <v>1.0</v>
      </c>
      <c r="K204" s="2" t="s">
        <v>876</v>
      </c>
      <c r="L204" s="2" t="s">
        <v>60</v>
      </c>
      <c r="M204" s="1" t="s">
        <v>881</v>
      </c>
      <c r="N204" s="1" t="s">
        <v>62</v>
      </c>
      <c r="O204" s="1" t="s">
        <v>167</v>
      </c>
      <c r="P204" s="1" t="s">
        <v>878</v>
      </c>
      <c r="Q204" s="1">
        <v>16.98567</v>
      </c>
      <c r="R204" s="1">
        <v>-89.674358</v>
      </c>
      <c r="S204" s="1" t="s">
        <v>148</v>
      </c>
      <c r="T204" s="2" t="s">
        <v>95</v>
      </c>
      <c r="U204" s="2" t="s">
        <v>96</v>
      </c>
      <c r="V204" s="3" t="s">
        <v>97</v>
      </c>
      <c r="W204" s="1" t="s">
        <v>882</v>
      </c>
      <c r="X204" s="1" t="s">
        <v>256</v>
      </c>
      <c r="Y204" s="6" t="s">
        <v>76</v>
      </c>
      <c r="Z204" s="3" t="s">
        <v>76</v>
      </c>
      <c r="AB204" s="1">
        <v>8.0</v>
      </c>
      <c r="AI204" s="2" t="s">
        <v>72</v>
      </c>
      <c r="AJ204" s="1">
        <v>-6830.0</v>
      </c>
      <c r="AK204" s="1">
        <v>1950.0</v>
      </c>
      <c r="AL204" s="3" t="s">
        <v>73</v>
      </c>
      <c r="AM204" s="2" t="s">
        <v>76</v>
      </c>
      <c r="AN204" s="1" t="s">
        <v>400</v>
      </c>
      <c r="AO204" s="2" t="s">
        <v>72</v>
      </c>
      <c r="AQ204" s="2" t="s">
        <v>576</v>
      </c>
      <c r="AR204" s="2" t="s">
        <v>76</v>
      </c>
      <c r="AS204" s="1">
        <v>1757.0</v>
      </c>
      <c r="AT204" s="1">
        <v>1757.0</v>
      </c>
      <c r="AU204" s="1">
        <v>704.0</v>
      </c>
      <c r="AV204" s="1">
        <v>37.0</v>
      </c>
      <c r="AW204" s="1">
        <v>141.0</v>
      </c>
      <c r="AX204" s="1">
        <v>5662.0</v>
      </c>
      <c r="AY204" s="1">
        <v>118.0</v>
      </c>
      <c r="AZ204" s="1" t="s">
        <v>133</v>
      </c>
      <c r="BA204" s="1" t="s">
        <v>121</v>
      </c>
    </row>
    <row r="205">
      <c r="A205" s="1" t="s">
        <v>871</v>
      </c>
      <c r="B205" s="1" t="s">
        <v>53</v>
      </c>
      <c r="C205" s="1">
        <v>2002.0</v>
      </c>
      <c r="D205" s="1" t="s">
        <v>872</v>
      </c>
      <c r="E205" s="1" t="s">
        <v>873</v>
      </c>
      <c r="F205" s="1" t="s">
        <v>732</v>
      </c>
      <c r="G205" s="1" t="s">
        <v>874</v>
      </c>
      <c r="H205" s="1" t="s">
        <v>875</v>
      </c>
      <c r="I205" s="1">
        <v>27.0</v>
      </c>
      <c r="J205" s="1">
        <v>1.0</v>
      </c>
      <c r="K205" s="2" t="s">
        <v>876</v>
      </c>
      <c r="L205" s="2" t="s">
        <v>60</v>
      </c>
      <c r="M205" s="1" t="s">
        <v>883</v>
      </c>
      <c r="N205" s="1" t="s">
        <v>62</v>
      </c>
      <c r="O205" s="1" t="s">
        <v>167</v>
      </c>
      <c r="P205" s="1" t="s">
        <v>878</v>
      </c>
      <c r="Q205" s="1">
        <v>16.98567</v>
      </c>
      <c r="R205" s="1">
        <v>-89.674358</v>
      </c>
      <c r="S205" s="1" t="s">
        <v>148</v>
      </c>
      <c r="T205" s="2" t="s">
        <v>95</v>
      </c>
      <c r="U205" s="2" t="s">
        <v>96</v>
      </c>
      <c r="V205" s="3" t="s">
        <v>97</v>
      </c>
      <c r="W205" s="1" t="s">
        <v>882</v>
      </c>
      <c r="X205" s="1" t="s">
        <v>256</v>
      </c>
      <c r="Y205" s="6" t="s">
        <v>76</v>
      </c>
      <c r="Z205" s="3" t="s">
        <v>76</v>
      </c>
      <c r="AB205" s="1">
        <v>9.0</v>
      </c>
      <c r="AI205" s="2" t="s">
        <v>72</v>
      </c>
      <c r="AJ205" s="1">
        <v>-6270.0</v>
      </c>
      <c r="AK205" s="1">
        <v>1950.0</v>
      </c>
      <c r="AL205" s="3" t="s">
        <v>73</v>
      </c>
      <c r="AM205" s="2" t="s">
        <v>76</v>
      </c>
      <c r="AN205" s="1" t="s">
        <v>400</v>
      </c>
      <c r="AO205" s="2" t="s">
        <v>72</v>
      </c>
      <c r="AQ205" s="2" t="s">
        <v>576</v>
      </c>
      <c r="AR205" s="2" t="s">
        <v>76</v>
      </c>
      <c r="AS205" s="1">
        <v>1757.0</v>
      </c>
      <c r="AT205" s="1">
        <v>1757.0</v>
      </c>
      <c r="AU205" s="1">
        <v>704.0</v>
      </c>
      <c r="AV205" s="1">
        <v>37.0</v>
      </c>
      <c r="AW205" s="1">
        <v>141.0</v>
      </c>
      <c r="AX205" s="1">
        <v>5662.0</v>
      </c>
      <c r="AY205" s="1">
        <v>118.0</v>
      </c>
      <c r="AZ205" s="1" t="s">
        <v>133</v>
      </c>
      <c r="BA205" s="1" t="s">
        <v>121</v>
      </c>
    </row>
    <row r="206">
      <c r="A206" s="1" t="s">
        <v>871</v>
      </c>
      <c r="B206" s="1" t="s">
        <v>53</v>
      </c>
      <c r="C206" s="1">
        <v>2002.0</v>
      </c>
      <c r="D206" s="1" t="s">
        <v>872</v>
      </c>
      <c r="E206" s="1" t="s">
        <v>873</v>
      </c>
      <c r="F206" s="1" t="s">
        <v>732</v>
      </c>
      <c r="G206" s="1" t="s">
        <v>874</v>
      </c>
      <c r="H206" s="1" t="s">
        <v>875</v>
      </c>
      <c r="I206" s="1">
        <v>27.0</v>
      </c>
      <c r="J206" s="1">
        <v>1.0</v>
      </c>
      <c r="K206" s="2" t="s">
        <v>876</v>
      </c>
      <c r="L206" s="2" t="s">
        <v>60</v>
      </c>
      <c r="M206" s="1" t="s">
        <v>884</v>
      </c>
      <c r="N206" s="1" t="s">
        <v>62</v>
      </c>
      <c r="O206" s="1" t="s">
        <v>167</v>
      </c>
      <c r="P206" s="1" t="s">
        <v>878</v>
      </c>
      <c r="Q206" s="1">
        <v>16.98567</v>
      </c>
      <c r="R206" s="1">
        <v>-89.674358</v>
      </c>
      <c r="S206" s="1" t="s">
        <v>148</v>
      </c>
      <c r="T206" s="2" t="s">
        <v>189</v>
      </c>
      <c r="U206" s="3" t="s">
        <v>885</v>
      </c>
      <c r="V206" s="3" t="s">
        <v>68</v>
      </c>
      <c r="W206" s="1" t="s">
        <v>879</v>
      </c>
      <c r="X206" s="1" t="s">
        <v>70</v>
      </c>
      <c r="Y206" s="6" t="s">
        <v>76</v>
      </c>
      <c r="Z206" s="3" t="s">
        <v>173</v>
      </c>
      <c r="AB206" s="1">
        <v>8.0</v>
      </c>
      <c r="AI206" s="2" t="s">
        <v>72</v>
      </c>
      <c r="AJ206" s="1">
        <v>-6830.0</v>
      </c>
      <c r="AK206" s="1">
        <v>1950.0</v>
      </c>
      <c r="AL206" s="3" t="s">
        <v>73</v>
      </c>
      <c r="AM206" s="2" t="s">
        <v>76</v>
      </c>
      <c r="AN206" s="1" t="s">
        <v>400</v>
      </c>
      <c r="AO206" s="2" t="s">
        <v>72</v>
      </c>
      <c r="AQ206" s="2" t="s">
        <v>576</v>
      </c>
      <c r="AR206" s="2" t="s">
        <v>76</v>
      </c>
      <c r="AS206" s="1">
        <v>1757.0</v>
      </c>
      <c r="AT206" s="1">
        <v>1757.0</v>
      </c>
      <c r="AU206" s="1">
        <v>704.0</v>
      </c>
      <c r="AV206" s="1">
        <v>37.0</v>
      </c>
      <c r="AW206" s="1">
        <v>141.0</v>
      </c>
      <c r="AX206" s="1">
        <v>5662.0</v>
      </c>
      <c r="AY206" s="1">
        <v>118.0</v>
      </c>
      <c r="AZ206" s="1" t="s">
        <v>133</v>
      </c>
      <c r="BA206" s="1" t="s">
        <v>121</v>
      </c>
    </row>
    <row r="207">
      <c r="A207" s="1" t="s">
        <v>871</v>
      </c>
      <c r="B207" s="1" t="s">
        <v>53</v>
      </c>
      <c r="C207" s="1">
        <v>2002.0</v>
      </c>
      <c r="D207" s="1" t="s">
        <v>872</v>
      </c>
      <c r="E207" s="1" t="s">
        <v>873</v>
      </c>
      <c r="F207" s="1" t="s">
        <v>732</v>
      </c>
      <c r="G207" s="1" t="s">
        <v>874</v>
      </c>
      <c r="H207" s="1" t="s">
        <v>875</v>
      </c>
      <c r="I207" s="1">
        <v>27.0</v>
      </c>
      <c r="J207" s="1">
        <v>1.0</v>
      </c>
      <c r="K207" s="2" t="s">
        <v>876</v>
      </c>
      <c r="L207" s="2" t="s">
        <v>60</v>
      </c>
      <c r="M207" s="1" t="s">
        <v>886</v>
      </c>
      <c r="N207" s="1" t="s">
        <v>62</v>
      </c>
      <c r="O207" s="1" t="s">
        <v>167</v>
      </c>
      <c r="P207" s="1" t="s">
        <v>878</v>
      </c>
      <c r="Q207" s="1">
        <v>16.98567</v>
      </c>
      <c r="R207" s="1">
        <v>-89.674358</v>
      </c>
      <c r="S207" s="1" t="s">
        <v>148</v>
      </c>
      <c r="T207" s="2" t="s">
        <v>189</v>
      </c>
      <c r="U207" s="3" t="s">
        <v>885</v>
      </c>
      <c r="V207" s="3" t="s">
        <v>68</v>
      </c>
      <c r="W207" s="1" t="s">
        <v>879</v>
      </c>
      <c r="X207" s="1" t="s">
        <v>70</v>
      </c>
      <c r="Y207" s="6" t="s">
        <v>76</v>
      </c>
      <c r="Z207" s="3" t="s">
        <v>173</v>
      </c>
      <c r="AB207" s="1">
        <v>9.0</v>
      </c>
      <c r="AI207" s="2" t="s">
        <v>72</v>
      </c>
      <c r="AJ207" s="1">
        <v>-6270.0</v>
      </c>
      <c r="AK207" s="1">
        <v>1950.0</v>
      </c>
      <c r="AL207" s="3" t="s">
        <v>73</v>
      </c>
      <c r="AM207" s="2" t="s">
        <v>76</v>
      </c>
      <c r="AN207" s="1" t="s">
        <v>400</v>
      </c>
      <c r="AO207" s="2" t="s">
        <v>72</v>
      </c>
      <c r="AQ207" s="2" t="s">
        <v>576</v>
      </c>
      <c r="AR207" s="2" t="s">
        <v>76</v>
      </c>
      <c r="AS207" s="1">
        <v>1757.0</v>
      </c>
      <c r="AT207" s="1">
        <v>1757.0</v>
      </c>
      <c r="AU207" s="1">
        <v>704.0</v>
      </c>
      <c r="AV207" s="1">
        <v>37.0</v>
      </c>
      <c r="AW207" s="1">
        <v>141.0</v>
      </c>
      <c r="AX207" s="1">
        <v>5662.0</v>
      </c>
      <c r="AY207" s="1">
        <v>118.0</v>
      </c>
      <c r="AZ207" s="1" t="s">
        <v>133</v>
      </c>
      <c r="BA207" s="1" t="s">
        <v>121</v>
      </c>
    </row>
    <row r="208">
      <c r="A208" s="1" t="s">
        <v>871</v>
      </c>
      <c r="B208" s="1" t="s">
        <v>53</v>
      </c>
      <c r="C208" s="1">
        <v>2002.0</v>
      </c>
      <c r="D208" s="1" t="s">
        <v>872</v>
      </c>
      <c r="E208" s="1" t="s">
        <v>873</v>
      </c>
      <c r="F208" s="1" t="s">
        <v>732</v>
      </c>
      <c r="G208" s="1" t="s">
        <v>874</v>
      </c>
      <c r="H208" s="1" t="s">
        <v>875</v>
      </c>
      <c r="I208" s="1">
        <v>27.0</v>
      </c>
      <c r="J208" s="1">
        <v>1.0</v>
      </c>
      <c r="K208" s="2" t="s">
        <v>876</v>
      </c>
      <c r="L208" s="2" t="s">
        <v>60</v>
      </c>
      <c r="M208" s="1" t="s">
        <v>887</v>
      </c>
      <c r="N208" s="1" t="s">
        <v>62</v>
      </c>
      <c r="O208" s="1" t="s">
        <v>167</v>
      </c>
      <c r="P208" s="1" t="s">
        <v>878</v>
      </c>
      <c r="Q208" s="1">
        <v>16.98567</v>
      </c>
      <c r="R208" s="1">
        <v>-89.674358</v>
      </c>
      <c r="S208" s="1" t="s">
        <v>148</v>
      </c>
      <c r="T208" s="2" t="s">
        <v>194</v>
      </c>
      <c r="U208" s="3" t="s">
        <v>885</v>
      </c>
      <c r="V208" s="3" t="s">
        <v>68</v>
      </c>
      <c r="W208" s="1" t="s">
        <v>888</v>
      </c>
      <c r="X208" s="1" t="s">
        <v>70</v>
      </c>
      <c r="Y208" s="6" t="s">
        <v>76</v>
      </c>
      <c r="Z208" s="3" t="s">
        <v>173</v>
      </c>
      <c r="AB208" s="1">
        <v>8.0</v>
      </c>
      <c r="AI208" s="2" t="s">
        <v>72</v>
      </c>
      <c r="AJ208" s="1">
        <v>-6830.0</v>
      </c>
      <c r="AK208" s="1">
        <v>1950.0</v>
      </c>
      <c r="AL208" s="3" t="s">
        <v>73</v>
      </c>
      <c r="AM208" s="2" t="s">
        <v>76</v>
      </c>
      <c r="AN208" s="1" t="s">
        <v>400</v>
      </c>
      <c r="AO208" s="2" t="s">
        <v>72</v>
      </c>
      <c r="AQ208" s="2" t="s">
        <v>576</v>
      </c>
      <c r="AR208" s="2" t="s">
        <v>76</v>
      </c>
      <c r="AS208" s="1">
        <v>1757.0</v>
      </c>
      <c r="AT208" s="1">
        <v>1757.0</v>
      </c>
      <c r="AU208" s="1">
        <v>704.0</v>
      </c>
      <c r="AV208" s="1">
        <v>37.0</v>
      </c>
      <c r="AW208" s="1">
        <v>141.0</v>
      </c>
      <c r="AX208" s="1">
        <v>5662.0</v>
      </c>
      <c r="AY208" s="1">
        <v>118.0</v>
      </c>
      <c r="AZ208" s="1" t="s">
        <v>133</v>
      </c>
      <c r="BA208" s="1" t="s">
        <v>121</v>
      </c>
    </row>
    <row r="209">
      <c r="A209" s="1" t="s">
        <v>871</v>
      </c>
      <c r="B209" s="1" t="s">
        <v>53</v>
      </c>
      <c r="C209" s="1">
        <v>2002.0</v>
      </c>
      <c r="D209" s="1" t="s">
        <v>872</v>
      </c>
      <c r="E209" s="1" t="s">
        <v>873</v>
      </c>
      <c r="F209" s="1" t="s">
        <v>732</v>
      </c>
      <c r="G209" s="1" t="s">
        <v>874</v>
      </c>
      <c r="H209" s="1" t="s">
        <v>875</v>
      </c>
      <c r="I209" s="1">
        <v>27.0</v>
      </c>
      <c r="J209" s="1">
        <v>1.0</v>
      </c>
      <c r="K209" s="2" t="s">
        <v>876</v>
      </c>
      <c r="L209" s="2" t="s">
        <v>60</v>
      </c>
      <c r="M209" s="1" t="s">
        <v>889</v>
      </c>
      <c r="N209" s="1" t="s">
        <v>62</v>
      </c>
      <c r="O209" s="1" t="s">
        <v>167</v>
      </c>
      <c r="P209" s="1" t="s">
        <v>878</v>
      </c>
      <c r="Q209" s="1">
        <v>16.98567</v>
      </c>
      <c r="R209" s="1">
        <v>-89.674358</v>
      </c>
      <c r="S209" s="1" t="s">
        <v>148</v>
      </c>
      <c r="T209" s="2" t="s">
        <v>194</v>
      </c>
      <c r="U209" s="3" t="s">
        <v>885</v>
      </c>
      <c r="V209" s="3" t="s">
        <v>68</v>
      </c>
      <c r="W209" s="1" t="s">
        <v>888</v>
      </c>
      <c r="X209" s="1" t="s">
        <v>70</v>
      </c>
      <c r="Y209" s="6" t="s">
        <v>76</v>
      </c>
      <c r="Z209" s="3" t="s">
        <v>173</v>
      </c>
      <c r="AB209" s="1">
        <v>9.0</v>
      </c>
      <c r="AI209" s="2" t="s">
        <v>72</v>
      </c>
      <c r="AJ209" s="1">
        <v>-6270.0</v>
      </c>
      <c r="AK209" s="1">
        <v>1950.0</v>
      </c>
      <c r="AL209" s="3" t="s">
        <v>73</v>
      </c>
      <c r="AM209" s="2" t="s">
        <v>76</v>
      </c>
      <c r="AN209" s="1" t="s">
        <v>400</v>
      </c>
      <c r="AO209" s="2" t="s">
        <v>72</v>
      </c>
      <c r="AQ209" s="2" t="s">
        <v>576</v>
      </c>
      <c r="AR209" s="2" t="s">
        <v>76</v>
      </c>
      <c r="AS209" s="1">
        <v>1757.0</v>
      </c>
      <c r="AT209" s="1">
        <v>1757.0</v>
      </c>
      <c r="AU209" s="1">
        <v>704.0</v>
      </c>
      <c r="AV209" s="1">
        <v>37.0</v>
      </c>
      <c r="AW209" s="1">
        <v>141.0</v>
      </c>
      <c r="AX209" s="1">
        <v>5662.0</v>
      </c>
      <c r="AY209" s="1">
        <v>118.0</v>
      </c>
      <c r="AZ209" s="1" t="s">
        <v>133</v>
      </c>
      <c r="BA209" s="1" t="s">
        <v>121</v>
      </c>
    </row>
    <row r="210">
      <c r="A210" s="1" t="s">
        <v>729</v>
      </c>
      <c r="B210" s="1" t="s">
        <v>53</v>
      </c>
      <c r="C210" s="1">
        <v>2004.0</v>
      </c>
      <c r="D210" s="1" t="s">
        <v>730</v>
      </c>
      <c r="E210" s="1" t="s">
        <v>731</v>
      </c>
      <c r="F210" s="1" t="s">
        <v>732</v>
      </c>
      <c r="G210" s="1" t="s">
        <v>733</v>
      </c>
      <c r="H210" s="1" t="s">
        <v>734</v>
      </c>
      <c r="I210" s="1">
        <v>32.0</v>
      </c>
      <c r="J210" s="1">
        <v>3.0</v>
      </c>
      <c r="K210" s="2" t="s">
        <v>735</v>
      </c>
      <c r="L210" s="2" t="s">
        <v>60</v>
      </c>
      <c r="M210" s="1" t="s">
        <v>890</v>
      </c>
      <c r="N210" s="1" t="s">
        <v>62</v>
      </c>
      <c r="O210" s="1" t="s">
        <v>737</v>
      </c>
      <c r="P210" s="1" t="s">
        <v>738</v>
      </c>
      <c r="Q210" s="1">
        <v>13.57</v>
      </c>
      <c r="R210" s="1">
        <v>-89.52</v>
      </c>
      <c r="S210" s="1" t="s">
        <v>148</v>
      </c>
      <c r="T210" s="2" t="s">
        <v>321</v>
      </c>
      <c r="U210" s="3" t="s">
        <v>81</v>
      </c>
      <c r="V210" s="3" t="s">
        <v>68</v>
      </c>
      <c r="W210" s="1" t="s">
        <v>348</v>
      </c>
      <c r="X210" s="2" t="s">
        <v>355</v>
      </c>
      <c r="Y210" s="6" t="s">
        <v>76</v>
      </c>
      <c r="Z210" s="3" t="s">
        <v>84</v>
      </c>
      <c r="AB210" s="1">
        <v>3.0</v>
      </c>
      <c r="AH210" s="1">
        <v>1.0</v>
      </c>
      <c r="AI210" s="1" t="s">
        <v>740</v>
      </c>
      <c r="AJ210" s="1">
        <v>-2250.0</v>
      </c>
      <c r="AK210" s="1">
        <v>1950.0</v>
      </c>
      <c r="AL210" s="2" t="s">
        <v>73</v>
      </c>
      <c r="AM210" s="2" t="s">
        <v>76</v>
      </c>
      <c r="AN210" s="1" t="s">
        <v>400</v>
      </c>
      <c r="AO210" s="2" t="s">
        <v>76</v>
      </c>
      <c r="AQ210" s="2" t="s">
        <v>75</v>
      </c>
      <c r="AR210" s="2" t="s">
        <v>76</v>
      </c>
      <c r="AS210" s="1">
        <v>1850.0</v>
      </c>
      <c r="AT210" s="1">
        <v>1850.0</v>
      </c>
      <c r="AU210" s="1">
        <v>995.0</v>
      </c>
      <c r="AV210" s="1">
        <v>2.0</v>
      </c>
      <c r="AW210" s="1">
        <v>16.0</v>
      </c>
      <c r="AX210" s="1">
        <v>9579.0</v>
      </c>
      <c r="AY210" s="1">
        <v>413.0</v>
      </c>
      <c r="AZ210" s="1" t="s">
        <v>525</v>
      </c>
      <c r="BA210" s="1" t="s">
        <v>104</v>
      </c>
    </row>
    <row r="211">
      <c r="A211" s="1" t="s">
        <v>729</v>
      </c>
      <c r="B211" s="1" t="s">
        <v>53</v>
      </c>
      <c r="C211" s="1">
        <v>2004.0</v>
      </c>
      <c r="D211" s="1" t="s">
        <v>730</v>
      </c>
      <c r="E211" s="1" t="s">
        <v>731</v>
      </c>
      <c r="F211" s="1" t="s">
        <v>732</v>
      </c>
      <c r="G211" s="1" t="s">
        <v>733</v>
      </c>
      <c r="H211" s="1" t="s">
        <v>734</v>
      </c>
      <c r="I211" s="1">
        <v>32.0</v>
      </c>
      <c r="J211" s="1">
        <v>3.0</v>
      </c>
      <c r="K211" s="2" t="s">
        <v>735</v>
      </c>
      <c r="L211" s="2" t="s">
        <v>60</v>
      </c>
      <c r="M211" s="1" t="s">
        <v>891</v>
      </c>
      <c r="N211" s="1" t="s">
        <v>62</v>
      </c>
      <c r="O211" s="1" t="s">
        <v>737</v>
      </c>
      <c r="P211" s="1" t="s">
        <v>738</v>
      </c>
      <c r="Q211" s="1">
        <v>13.57</v>
      </c>
      <c r="R211" s="1">
        <v>-89.52</v>
      </c>
      <c r="S211" s="1" t="s">
        <v>148</v>
      </c>
      <c r="T211" s="2" t="s">
        <v>135</v>
      </c>
      <c r="U211" s="7" t="s">
        <v>173</v>
      </c>
      <c r="V211" s="3" t="s">
        <v>116</v>
      </c>
      <c r="W211" s="1" t="s">
        <v>892</v>
      </c>
      <c r="X211" s="2" t="s">
        <v>728</v>
      </c>
      <c r="Y211" s="6" t="s">
        <v>76</v>
      </c>
      <c r="Z211" s="3" t="s">
        <v>411</v>
      </c>
      <c r="AB211" s="1">
        <v>3.0</v>
      </c>
      <c r="AH211" s="1">
        <v>1.0</v>
      </c>
      <c r="AI211" s="1" t="s">
        <v>740</v>
      </c>
      <c r="AJ211" s="1">
        <v>-6570.0</v>
      </c>
      <c r="AK211" s="1">
        <v>1950.0</v>
      </c>
      <c r="AL211" s="2" t="s">
        <v>73</v>
      </c>
      <c r="AM211" s="2" t="s">
        <v>76</v>
      </c>
      <c r="AN211" s="1" t="s">
        <v>400</v>
      </c>
      <c r="AO211" s="2" t="s">
        <v>76</v>
      </c>
      <c r="AQ211" s="2" t="s">
        <v>75</v>
      </c>
      <c r="AR211" s="2" t="s">
        <v>76</v>
      </c>
      <c r="AS211" s="1">
        <v>1850.0</v>
      </c>
      <c r="AT211" s="1">
        <v>1850.0</v>
      </c>
      <c r="AU211" s="1">
        <v>995.0</v>
      </c>
      <c r="AV211" s="1">
        <v>2.0</v>
      </c>
      <c r="AW211" s="1">
        <v>16.0</v>
      </c>
      <c r="AX211" s="1">
        <v>9579.0</v>
      </c>
      <c r="AY211" s="1">
        <v>413.0</v>
      </c>
      <c r="AZ211" s="1" t="s">
        <v>525</v>
      </c>
      <c r="BA211" s="1" t="s">
        <v>104</v>
      </c>
    </row>
    <row r="212">
      <c r="A212" s="1" t="s">
        <v>729</v>
      </c>
      <c r="B212" s="1" t="s">
        <v>53</v>
      </c>
      <c r="C212" s="1">
        <v>2004.0</v>
      </c>
      <c r="D212" s="1" t="s">
        <v>730</v>
      </c>
      <c r="E212" s="1" t="s">
        <v>731</v>
      </c>
      <c r="F212" s="1" t="s">
        <v>732</v>
      </c>
      <c r="G212" s="1" t="s">
        <v>733</v>
      </c>
      <c r="H212" s="1" t="s">
        <v>734</v>
      </c>
      <c r="I212" s="1">
        <v>32.0</v>
      </c>
      <c r="J212" s="1">
        <v>3.0</v>
      </c>
      <c r="K212" s="2" t="s">
        <v>735</v>
      </c>
      <c r="L212" s="2" t="s">
        <v>60</v>
      </c>
      <c r="M212" s="1" t="s">
        <v>893</v>
      </c>
      <c r="N212" s="1" t="s">
        <v>62</v>
      </c>
      <c r="O212" s="1" t="s">
        <v>737</v>
      </c>
      <c r="P212" s="1" t="s">
        <v>738</v>
      </c>
      <c r="Q212" s="1">
        <v>13.57</v>
      </c>
      <c r="R212" s="1">
        <v>-89.52</v>
      </c>
      <c r="S212" s="1" t="s">
        <v>148</v>
      </c>
      <c r="T212" s="2" t="s">
        <v>80</v>
      </c>
      <c r="U212" s="3" t="s">
        <v>81</v>
      </c>
      <c r="V212" s="3" t="s">
        <v>68</v>
      </c>
      <c r="W212" s="1" t="s">
        <v>348</v>
      </c>
      <c r="X212" s="2" t="s">
        <v>355</v>
      </c>
      <c r="Y212" s="6" t="s">
        <v>76</v>
      </c>
      <c r="Z212" s="3" t="s">
        <v>84</v>
      </c>
      <c r="AB212" s="1">
        <v>3.0</v>
      </c>
      <c r="AH212" s="1">
        <v>1.0</v>
      </c>
      <c r="AI212" s="1" t="s">
        <v>740</v>
      </c>
      <c r="AJ212" s="1">
        <v>-2250.0</v>
      </c>
      <c r="AK212" s="1">
        <v>1950.0</v>
      </c>
      <c r="AL212" s="2" t="s">
        <v>73</v>
      </c>
      <c r="AM212" s="2" t="s">
        <v>76</v>
      </c>
      <c r="AN212" s="1" t="s">
        <v>400</v>
      </c>
      <c r="AO212" s="2" t="s">
        <v>76</v>
      </c>
      <c r="AQ212" s="2" t="s">
        <v>75</v>
      </c>
      <c r="AR212" s="2" t="s">
        <v>76</v>
      </c>
      <c r="AS212" s="1">
        <v>1850.0</v>
      </c>
      <c r="AT212" s="1">
        <v>1850.0</v>
      </c>
      <c r="AU212" s="1">
        <v>995.0</v>
      </c>
      <c r="AV212" s="1">
        <v>2.0</v>
      </c>
      <c r="AW212" s="1">
        <v>16.0</v>
      </c>
      <c r="AX212" s="1">
        <v>9579.0</v>
      </c>
      <c r="AY212" s="1">
        <v>413.0</v>
      </c>
      <c r="AZ212" s="1" t="s">
        <v>525</v>
      </c>
      <c r="BA212" s="1" t="s">
        <v>104</v>
      </c>
    </row>
    <row r="213">
      <c r="A213" s="1" t="s">
        <v>729</v>
      </c>
      <c r="B213" s="1" t="s">
        <v>53</v>
      </c>
      <c r="C213" s="1">
        <v>2004.0</v>
      </c>
      <c r="D213" s="1" t="s">
        <v>730</v>
      </c>
      <c r="E213" s="1" t="s">
        <v>731</v>
      </c>
      <c r="F213" s="1" t="s">
        <v>732</v>
      </c>
      <c r="G213" s="1" t="s">
        <v>733</v>
      </c>
      <c r="H213" s="1" t="s">
        <v>734</v>
      </c>
      <c r="I213" s="1">
        <v>32.0</v>
      </c>
      <c r="J213" s="1">
        <v>3.0</v>
      </c>
      <c r="K213" s="2" t="s">
        <v>735</v>
      </c>
      <c r="L213" s="2" t="s">
        <v>60</v>
      </c>
      <c r="M213" s="1" t="s">
        <v>894</v>
      </c>
      <c r="N213" s="1" t="s">
        <v>62</v>
      </c>
      <c r="O213" s="1" t="s">
        <v>737</v>
      </c>
      <c r="P213" s="1" t="s">
        <v>895</v>
      </c>
      <c r="Q213" s="1">
        <v>13.57</v>
      </c>
      <c r="R213" s="1">
        <v>-89.52</v>
      </c>
      <c r="S213" s="1" t="s">
        <v>148</v>
      </c>
      <c r="T213" s="2" t="s">
        <v>66</v>
      </c>
      <c r="U213" s="1" t="s">
        <v>823</v>
      </c>
      <c r="V213" s="3" t="s">
        <v>68</v>
      </c>
      <c r="W213" s="1" t="s">
        <v>896</v>
      </c>
      <c r="X213" s="1" t="s">
        <v>70</v>
      </c>
      <c r="Y213" s="5" t="s">
        <v>60</v>
      </c>
      <c r="Z213" s="3" t="s">
        <v>345</v>
      </c>
      <c r="AB213" s="1">
        <v>3.0</v>
      </c>
      <c r="AH213" s="1">
        <v>1.0</v>
      </c>
      <c r="AI213" s="1" t="s">
        <v>740</v>
      </c>
      <c r="AJ213" s="1">
        <v>-6570.0</v>
      </c>
      <c r="AK213" s="1">
        <v>1950.0</v>
      </c>
      <c r="AL213" s="2" t="s">
        <v>73</v>
      </c>
      <c r="AM213" s="2" t="s">
        <v>76</v>
      </c>
      <c r="AN213" s="1" t="s">
        <v>400</v>
      </c>
      <c r="AO213" s="2" t="s">
        <v>76</v>
      </c>
      <c r="AQ213" s="2" t="s">
        <v>75</v>
      </c>
      <c r="AR213" s="2" t="s">
        <v>76</v>
      </c>
      <c r="AS213" s="1">
        <v>1850.0</v>
      </c>
      <c r="AT213" s="1">
        <v>1850.0</v>
      </c>
      <c r="AU213" s="1">
        <v>995.0</v>
      </c>
      <c r="AV213" s="1">
        <v>2.0</v>
      </c>
      <c r="AW213" s="1">
        <v>16.0</v>
      </c>
      <c r="AX213" s="1">
        <v>9579.0</v>
      </c>
      <c r="AY213" s="1">
        <v>413.0</v>
      </c>
      <c r="AZ213" s="1" t="s">
        <v>525</v>
      </c>
      <c r="BA213" s="1" t="s">
        <v>104</v>
      </c>
    </row>
    <row r="214">
      <c r="A214" s="1" t="s">
        <v>897</v>
      </c>
      <c r="B214" s="1" t="s">
        <v>53</v>
      </c>
      <c r="C214" s="1">
        <v>2005.0</v>
      </c>
      <c r="D214" s="1" t="s">
        <v>898</v>
      </c>
      <c r="E214" s="1" t="s">
        <v>899</v>
      </c>
      <c r="F214" s="1" t="s">
        <v>732</v>
      </c>
      <c r="G214" s="1" t="s">
        <v>900</v>
      </c>
      <c r="H214" s="1" t="s">
        <v>901</v>
      </c>
      <c r="I214" s="1">
        <v>33.0</v>
      </c>
      <c r="J214" s="1">
        <v>3.0</v>
      </c>
      <c r="K214" s="2" t="s">
        <v>902</v>
      </c>
      <c r="L214" s="2" t="s">
        <v>76</v>
      </c>
      <c r="M214" s="1" t="s">
        <v>897</v>
      </c>
      <c r="N214" s="1" t="s">
        <v>62</v>
      </c>
      <c r="O214" s="1" t="s">
        <v>112</v>
      </c>
      <c r="P214" s="1" t="s">
        <v>597</v>
      </c>
      <c r="Q214" s="1">
        <v>8.813056</v>
      </c>
      <c r="R214" s="1">
        <v>-82.963056</v>
      </c>
      <c r="S214" s="1" t="s">
        <v>148</v>
      </c>
      <c r="T214" s="2" t="s">
        <v>149</v>
      </c>
      <c r="U214" s="2" t="s">
        <v>615</v>
      </c>
      <c r="V214" s="3" t="s">
        <v>97</v>
      </c>
      <c r="W214" s="1" t="s">
        <v>903</v>
      </c>
      <c r="X214" s="1" t="s">
        <v>70</v>
      </c>
      <c r="Y214" s="6" t="s">
        <v>76</v>
      </c>
      <c r="Z214" s="3" t="s">
        <v>380</v>
      </c>
      <c r="AB214" s="1">
        <v>3.0</v>
      </c>
      <c r="AI214" s="1" t="s">
        <v>904</v>
      </c>
      <c r="AJ214" s="1">
        <v>-1290.0</v>
      </c>
      <c r="AK214" s="1">
        <v>1950.0</v>
      </c>
      <c r="AL214" s="2" t="s">
        <v>73</v>
      </c>
      <c r="AM214" s="2" t="s">
        <v>72</v>
      </c>
      <c r="AN214" s="1" t="s">
        <v>400</v>
      </c>
      <c r="AO214" s="2" t="s">
        <v>72</v>
      </c>
      <c r="AQ214" s="2" t="s">
        <v>75</v>
      </c>
      <c r="AR214" s="2" t="s">
        <v>76</v>
      </c>
      <c r="AS214" s="1">
        <v>2841.0</v>
      </c>
      <c r="AT214" s="1">
        <v>2841.0</v>
      </c>
      <c r="AU214" s="1">
        <v>1165.0</v>
      </c>
      <c r="AV214" s="1">
        <v>40.0</v>
      </c>
      <c r="AW214" s="1">
        <v>166.0</v>
      </c>
      <c r="AX214" s="1">
        <v>6482.0</v>
      </c>
      <c r="AY214" s="1">
        <v>1094.0</v>
      </c>
      <c r="AZ214" s="1" t="s">
        <v>154</v>
      </c>
      <c r="BA214" s="1" t="s">
        <v>121</v>
      </c>
    </row>
    <row r="215">
      <c r="A215" s="1" t="s">
        <v>905</v>
      </c>
      <c r="B215" s="1" t="s">
        <v>53</v>
      </c>
      <c r="C215" s="1">
        <v>2009.0</v>
      </c>
      <c r="D215" s="1" t="s">
        <v>906</v>
      </c>
      <c r="E215" s="1" t="s">
        <v>907</v>
      </c>
      <c r="F215" s="1" t="s">
        <v>732</v>
      </c>
      <c r="G215" s="1" t="s">
        <v>908</v>
      </c>
      <c r="H215" s="1" t="s">
        <v>909</v>
      </c>
      <c r="I215" s="1">
        <v>42.0</v>
      </c>
      <c r="J215" s="1">
        <v>2.0</v>
      </c>
      <c r="K215" s="2" t="s">
        <v>910</v>
      </c>
      <c r="L215" s="2" t="s">
        <v>60</v>
      </c>
      <c r="M215" s="1" t="s">
        <v>911</v>
      </c>
      <c r="N215" s="1" t="s">
        <v>62</v>
      </c>
      <c r="O215" s="1" t="s">
        <v>92</v>
      </c>
      <c r="P215" s="1" t="s">
        <v>912</v>
      </c>
      <c r="Q215" s="1">
        <v>20.274287</v>
      </c>
      <c r="R215" s="1">
        <v>-87.486249</v>
      </c>
      <c r="S215" s="1" t="s">
        <v>148</v>
      </c>
      <c r="T215" s="2" t="s">
        <v>66</v>
      </c>
      <c r="U215" s="2" t="s">
        <v>913</v>
      </c>
      <c r="V215" s="3" t="s">
        <v>788</v>
      </c>
      <c r="W215" s="1" t="s">
        <v>914</v>
      </c>
      <c r="X215" s="1" t="s">
        <v>70</v>
      </c>
      <c r="Y215" s="5" t="s">
        <v>76</v>
      </c>
      <c r="Z215" s="3" t="s">
        <v>76</v>
      </c>
      <c r="AI215" s="1" t="s">
        <v>915</v>
      </c>
      <c r="AJ215" s="2" t="s">
        <v>72</v>
      </c>
      <c r="AK215" s="2" t="s">
        <v>72</v>
      </c>
      <c r="AL215" s="2" t="s">
        <v>100</v>
      </c>
      <c r="AM215" s="2" t="s">
        <v>76</v>
      </c>
      <c r="AN215" s="1" t="s">
        <v>238</v>
      </c>
      <c r="AO215" s="2" t="s">
        <v>101</v>
      </c>
      <c r="AQ215" s="2" t="s">
        <v>75</v>
      </c>
      <c r="AR215" s="2" t="s">
        <v>76</v>
      </c>
      <c r="AS215" s="1">
        <v>1209.0</v>
      </c>
      <c r="AT215" s="1">
        <v>1209.0</v>
      </c>
      <c r="AU215" s="1">
        <v>495.0</v>
      </c>
      <c r="AV215" s="1">
        <v>39.0</v>
      </c>
      <c r="AW215" s="1">
        <v>132.0</v>
      </c>
      <c r="AX215" s="1">
        <v>5135.0</v>
      </c>
      <c r="AY215" s="1">
        <v>5.0</v>
      </c>
      <c r="AZ215" s="1" t="s">
        <v>239</v>
      </c>
      <c r="BA215" s="1" t="s">
        <v>121</v>
      </c>
    </row>
    <row r="216">
      <c r="A216" s="1" t="s">
        <v>905</v>
      </c>
      <c r="B216" s="1" t="s">
        <v>53</v>
      </c>
      <c r="C216" s="1">
        <v>2009.0</v>
      </c>
      <c r="D216" s="1" t="s">
        <v>906</v>
      </c>
      <c r="E216" s="1" t="s">
        <v>907</v>
      </c>
      <c r="F216" s="1" t="s">
        <v>732</v>
      </c>
      <c r="G216" s="1" t="s">
        <v>908</v>
      </c>
      <c r="H216" s="1" t="s">
        <v>909</v>
      </c>
      <c r="I216" s="1">
        <v>42.0</v>
      </c>
      <c r="J216" s="1">
        <v>2.0</v>
      </c>
      <c r="K216" s="2" t="s">
        <v>910</v>
      </c>
      <c r="L216" s="2" t="s">
        <v>60</v>
      </c>
      <c r="M216" s="1" t="s">
        <v>916</v>
      </c>
      <c r="N216" s="1" t="s">
        <v>62</v>
      </c>
      <c r="O216" s="1" t="s">
        <v>92</v>
      </c>
      <c r="P216" s="1" t="s">
        <v>912</v>
      </c>
      <c r="Q216" s="1">
        <v>20.274287</v>
      </c>
      <c r="R216" s="1">
        <v>-87.486249</v>
      </c>
      <c r="S216" s="1" t="s">
        <v>148</v>
      </c>
      <c r="T216" s="2" t="s">
        <v>95</v>
      </c>
      <c r="U216" s="2" t="s">
        <v>917</v>
      </c>
      <c r="V216" s="3" t="s">
        <v>97</v>
      </c>
      <c r="W216" s="1" t="s">
        <v>918</v>
      </c>
      <c r="X216" s="2" t="s">
        <v>99</v>
      </c>
      <c r="Y216" s="6" t="s">
        <v>76</v>
      </c>
      <c r="Z216" s="3" t="s">
        <v>76</v>
      </c>
      <c r="AB216" s="1">
        <v>3.0</v>
      </c>
      <c r="AI216" s="1" t="s">
        <v>915</v>
      </c>
      <c r="AJ216" s="1">
        <v>-4890.0</v>
      </c>
      <c r="AK216" s="1">
        <v>-4630.0</v>
      </c>
      <c r="AL216" s="2" t="s">
        <v>73</v>
      </c>
      <c r="AM216" s="2" t="s">
        <v>76</v>
      </c>
      <c r="AN216" s="1" t="s">
        <v>238</v>
      </c>
      <c r="AO216" s="2" t="s">
        <v>60</v>
      </c>
      <c r="AQ216" s="2" t="s">
        <v>75</v>
      </c>
      <c r="AR216" s="2" t="s">
        <v>76</v>
      </c>
      <c r="AS216" s="1">
        <v>1209.0</v>
      </c>
      <c r="AT216" s="1">
        <v>1209.0</v>
      </c>
      <c r="AU216" s="1">
        <v>495.0</v>
      </c>
      <c r="AV216" s="1">
        <v>39.0</v>
      </c>
      <c r="AW216" s="1">
        <v>132.0</v>
      </c>
      <c r="AX216" s="1">
        <v>5135.0</v>
      </c>
      <c r="AY216" s="1">
        <v>5.0</v>
      </c>
      <c r="AZ216" s="1" t="s">
        <v>239</v>
      </c>
      <c r="BA216" s="1" t="s">
        <v>121</v>
      </c>
    </row>
    <row r="217">
      <c r="A217" s="1" t="s">
        <v>919</v>
      </c>
      <c r="B217" s="1" t="s">
        <v>268</v>
      </c>
      <c r="C217" s="1">
        <v>2006.0</v>
      </c>
      <c r="D217" s="1" t="s">
        <v>581</v>
      </c>
      <c r="E217" s="1" t="s">
        <v>920</v>
      </c>
      <c r="H217" s="1" t="s">
        <v>921</v>
      </c>
      <c r="I217" s="1">
        <v>65.0</v>
      </c>
      <c r="K217" s="2" t="s">
        <v>922</v>
      </c>
      <c r="L217" s="2" t="s">
        <v>60</v>
      </c>
      <c r="M217" s="1" t="s">
        <v>923</v>
      </c>
      <c r="N217" s="1" t="s">
        <v>62</v>
      </c>
      <c r="O217" s="1" t="s">
        <v>167</v>
      </c>
      <c r="P217" s="1" t="s">
        <v>588</v>
      </c>
      <c r="Q217" s="1">
        <v>17.533333</v>
      </c>
      <c r="R217" s="1">
        <v>-90.183333</v>
      </c>
      <c r="S217" s="1" t="s">
        <v>148</v>
      </c>
      <c r="T217" s="2" t="s">
        <v>189</v>
      </c>
      <c r="U217" s="1" t="s">
        <v>72</v>
      </c>
      <c r="V217" s="3" t="s">
        <v>277</v>
      </c>
      <c r="W217" s="1" t="s">
        <v>284</v>
      </c>
      <c r="X217" s="1" t="s">
        <v>70</v>
      </c>
      <c r="Y217" s="6" t="s">
        <v>76</v>
      </c>
      <c r="Z217" s="3" t="s">
        <v>76</v>
      </c>
      <c r="AB217" s="1">
        <v>6.0</v>
      </c>
      <c r="AI217" s="2" t="s">
        <v>72</v>
      </c>
      <c r="AJ217" s="1">
        <v>-6450.0</v>
      </c>
      <c r="AK217" s="1">
        <v>1950.0</v>
      </c>
      <c r="AL217" s="2" t="s">
        <v>73</v>
      </c>
      <c r="AM217" s="2" t="s">
        <v>76</v>
      </c>
      <c r="AN217" s="1" t="s">
        <v>400</v>
      </c>
      <c r="AO217" s="2" t="s">
        <v>72</v>
      </c>
      <c r="AQ217" s="2" t="s">
        <v>75</v>
      </c>
      <c r="AR217" s="2" t="s">
        <v>76</v>
      </c>
      <c r="AS217" s="1">
        <v>1598.0</v>
      </c>
      <c r="AT217" s="1">
        <v>1598.0</v>
      </c>
      <c r="AU217" s="1">
        <v>686.0</v>
      </c>
      <c r="AV217" s="1">
        <v>33.0</v>
      </c>
      <c r="AW217" s="1">
        <v>119.0</v>
      </c>
      <c r="AX217" s="1">
        <v>6059.0</v>
      </c>
      <c r="AY217" s="1">
        <v>238.0</v>
      </c>
      <c r="AZ217" s="1" t="s">
        <v>133</v>
      </c>
      <c r="BA217" s="1" t="s">
        <v>121</v>
      </c>
    </row>
    <row r="218">
      <c r="A218" s="1" t="s">
        <v>905</v>
      </c>
      <c r="B218" s="1" t="s">
        <v>53</v>
      </c>
      <c r="C218" s="1">
        <v>2009.0</v>
      </c>
      <c r="D218" s="1" t="s">
        <v>906</v>
      </c>
      <c r="E218" s="1" t="s">
        <v>907</v>
      </c>
      <c r="F218" s="1" t="s">
        <v>732</v>
      </c>
      <c r="G218" s="1" t="s">
        <v>908</v>
      </c>
      <c r="H218" s="1" t="s">
        <v>909</v>
      </c>
      <c r="I218" s="1">
        <v>42.0</v>
      </c>
      <c r="J218" s="1">
        <v>2.0</v>
      </c>
      <c r="K218" s="2" t="s">
        <v>910</v>
      </c>
      <c r="L218" s="2" t="s">
        <v>60</v>
      </c>
      <c r="M218" s="1" t="s">
        <v>924</v>
      </c>
      <c r="N218" s="1" t="s">
        <v>62</v>
      </c>
      <c r="O218" s="1" t="s">
        <v>92</v>
      </c>
      <c r="P218" s="1" t="s">
        <v>912</v>
      </c>
      <c r="Q218" s="1">
        <v>20.274287</v>
      </c>
      <c r="R218" s="1">
        <v>-87.486249</v>
      </c>
      <c r="S218" s="1" t="s">
        <v>148</v>
      </c>
      <c r="T218" s="2" t="s">
        <v>135</v>
      </c>
      <c r="U218" s="2" t="s">
        <v>917</v>
      </c>
      <c r="V218" s="3" t="s">
        <v>97</v>
      </c>
      <c r="W218" s="1" t="s">
        <v>918</v>
      </c>
      <c r="X218" s="2" t="s">
        <v>99</v>
      </c>
      <c r="Y218" s="6" t="s">
        <v>76</v>
      </c>
      <c r="Z218" s="3" t="s">
        <v>76</v>
      </c>
      <c r="AI218" s="1" t="s">
        <v>915</v>
      </c>
      <c r="AJ218" s="2" t="s">
        <v>72</v>
      </c>
      <c r="AK218" s="2" t="s">
        <v>72</v>
      </c>
      <c r="AL218" s="2" t="s">
        <v>100</v>
      </c>
      <c r="AM218" s="2" t="s">
        <v>76</v>
      </c>
      <c r="AN218" s="1" t="s">
        <v>238</v>
      </c>
      <c r="AO218" s="2" t="s">
        <v>101</v>
      </c>
      <c r="AQ218" s="2" t="s">
        <v>75</v>
      </c>
      <c r="AR218" s="2" t="s">
        <v>76</v>
      </c>
      <c r="AS218" s="1">
        <v>1209.0</v>
      </c>
      <c r="AT218" s="1">
        <v>1209.0</v>
      </c>
      <c r="AU218" s="1">
        <v>495.0</v>
      </c>
      <c r="AV218" s="1">
        <v>39.0</v>
      </c>
      <c r="AW218" s="1">
        <v>132.0</v>
      </c>
      <c r="AX218" s="1">
        <v>5135.0</v>
      </c>
      <c r="AY218" s="1">
        <v>5.0</v>
      </c>
      <c r="AZ218" s="1" t="s">
        <v>239</v>
      </c>
      <c r="BA218" s="1" t="s">
        <v>121</v>
      </c>
    </row>
    <row r="219">
      <c r="A219" s="1" t="s">
        <v>919</v>
      </c>
      <c r="B219" s="1" t="s">
        <v>268</v>
      </c>
      <c r="C219" s="1">
        <v>2006.0</v>
      </c>
      <c r="D219" s="1" t="s">
        <v>581</v>
      </c>
      <c r="E219" s="1" t="s">
        <v>920</v>
      </c>
      <c r="H219" s="1" t="s">
        <v>921</v>
      </c>
      <c r="I219" s="1">
        <v>65.0</v>
      </c>
      <c r="K219" s="2" t="s">
        <v>922</v>
      </c>
      <c r="L219" s="2" t="s">
        <v>60</v>
      </c>
      <c r="M219" s="1" t="s">
        <v>925</v>
      </c>
      <c r="N219" s="1" t="s">
        <v>62</v>
      </c>
      <c r="O219" s="1" t="s">
        <v>167</v>
      </c>
      <c r="P219" s="1" t="s">
        <v>588</v>
      </c>
      <c r="Q219" s="1">
        <v>17.533333</v>
      </c>
      <c r="R219" s="1">
        <v>-90.183333</v>
      </c>
      <c r="S219" s="1" t="s">
        <v>148</v>
      </c>
      <c r="T219" s="2" t="s">
        <v>194</v>
      </c>
      <c r="U219" s="1" t="s">
        <v>72</v>
      </c>
      <c r="V219" s="3" t="s">
        <v>277</v>
      </c>
      <c r="W219" s="1" t="s">
        <v>286</v>
      </c>
      <c r="X219" s="1" t="s">
        <v>70</v>
      </c>
      <c r="Y219" s="6" t="s">
        <v>76</v>
      </c>
      <c r="Z219" s="3" t="s">
        <v>76</v>
      </c>
      <c r="AB219" s="1">
        <v>6.0</v>
      </c>
      <c r="AI219" s="2" t="s">
        <v>72</v>
      </c>
      <c r="AJ219" s="1">
        <v>-6450.0</v>
      </c>
      <c r="AK219" s="1">
        <v>1950.0</v>
      </c>
      <c r="AL219" s="2" t="s">
        <v>73</v>
      </c>
      <c r="AM219" s="2" t="s">
        <v>76</v>
      </c>
      <c r="AN219" s="1" t="s">
        <v>400</v>
      </c>
      <c r="AO219" s="2" t="s">
        <v>72</v>
      </c>
      <c r="AQ219" s="2" t="s">
        <v>75</v>
      </c>
      <c r="AR219" s="2" t="s">
        <v>76</v>
      </c>
      <c r="AS219" s="1">
        <v>1598.0</v>
      </c>
      <c r="AT219" s="1">
        <v>1598.0</v>
      </c>
      <c r="AU219" s="1">
        <v>686.0</v>
      </c>
      <c r="AV219" s="1">
        <v>33.0</v>
      </c>
      <c r="AW219" s="1">
        <v>119.0</v>
      </c>
      <c r="AX219" s="1">
        <v>6059.0</v>
      </c>
      <c r="AY219" s="1">
        <v>238.0</v>
      </c>
      <c r="AZ219" s="1" t="s">
        <v>133</v>
      </c>
      <c r="BA219" s="1" t="s">
        <v>121</v>
      </c>
    </row>
    <row r="220">
      <c r="A220" s="1" t="s">
        <v>905</v>
      </c>
      <c r="B220" s="1" t="s">
        <v>53</v>
      </c>
      <c r="C220" s="1">
        <v>2009.0</v>
      </c>
      <c r="D220" s="1" t="s">
        <v>906</v>
      </c>
      <c r="E220" s="1" t="s">
        <v>907</v>
      </c>
      <c r="F220" s="1" t="s">
        <v>732</v>
      </c>
      <c r="G220" s="1" t="s">
        <v>908</v>
      </c>
      <c r="H220" s="1" t="s">
        <v>909</v>
      </c>
      <c r="I220" s="1">
        <v>42.0</v>
      </c>
      <c r="J220" s="1">
        <v>2.0</v>
      </c>
      <c r="K220" s="2" t="s">
        <v>910</v>
      </c>
      <c r="L220" s="2" t="s">
        <v>60</v>
      </c>
      <c r="M220" s="1" t="s">
        <v>926</v>
      </c>
      <c r="N220" s="1" t="s">
        <v>62</v>
      </c>
      <c r="O220" s="1" t="s">
        <v>92</v>
      </c>
      <c r="P220" s="1" t="s">
        <v>912</v>
      </c>
      <c r="Q220" s="1">
        <v>20.274287</v>
      </c>
      <c r="R220" s="1">
        <v>-87.486249</v>
      </c>
      <c r="S220" s="1" t="s">
        <v>148</v>
      </c>
      <c r="T220" s="2" t="s">
        <v>927</v>
      </c>
      <c r="U220" s="2" t="s">
        <v>917</v>
      </c>
      <c r="V220" s="3" t="s">
        <v>97</v>
      </c>
      <c r="W220" s="2" t="s">
        <v>72</v>
      </c>
      <c r="X220" s="1" t="s">
        <v>928</v>
      </c>
      <c r="Y220" s="6" t="s">
        <v>76</v>
      </c>
      <c r="Z220" s="3" t="s">
        <v>76</v>
      </c>
      <c r="AI220" s="1" t="s">
        <v>915</v>
      </c>
      <c r="AJ220" s="2" t="s">
        <v>72</v>
      </c>
      <c r="AK220" s="2" t="s">
        <v>72</v>
      </c>
      <c r="AL220" s="2" t="s">
        <v>100</v>
      </c>
      <c r="AM220" s="2" t="s">
        <v>76</v>
      </c>
      <c r="AN220" s="1" t="s">
        <v>238</v>
      </c>
      <c r="AO220" s="2" t="s">
        <v>101</v>
      </c>
      <c r="AQ220" s="2" t="s">
        <v>75</v>
      </c>
      <c r="AR220" s="2" t="s">
        <v>76</v>
      </c>
      <c r="AS220" s="1">
        <v>1209.0</v>
      </c>
      <c r="AT220" s="1">
        <v>1209.0</v>
      </c>
      <c r="AU220" s="1">
        <v>495.0</v>
      </c>
      <c r="AV220" s="1">
        <v>39.0</v>
      </c>
      <c r="AW220" s="1">
        <v>132.0</v>
      </c>
      <c r="AX220" s="1">
        <v>5135.0</v>
      </c>
      <c r="AY220" s="1">
        <v>5.0</v>
      </c>
      <c r="AZ220" s="1" t="s">
        <v>239</v>
      </c>
      <c r="BA220" s="1" t="s">
        <v>121</v>
      </c>
    </row>
    <row r="221">
      <c r="A221" s="1" t="s">
        <v>905</v>
      </c>
      <c r="B221" s="1" t="s">
        <v>53</v>
      </c>
      <c r="C221" s="1">
        <v>2009.0</v>
      </c>
      <c r="D221" s="1" t="s">
        <v>906</v>
      </c>
      <c r="E221" s="1" t="s">
        <v>907</v>
      </c>
      <c r="F221" s="1" t="s">
        <v>732</v>
      </c>
      <c r="G221" s="1" t="s">
        <v>908</v>
      </c>
      <c r="H221" s="1" t="s">
        <v>909</v>
      </c>
      <c r="I221" s="1">
        <v>42.0</v>
      </c>
      <c r="J221" s="1">
        <v>2.0</v>
      </c>
      <c r="K221" s="2" t="s">
        <v>910</v>
      </c>
      <c r="L221" s="2" t="s">
        <v>60</v>
      </c>
      <c r="M221" s="1" t="s">
        <v>929</v>
      </c>
      <c r="N221" s="1" t="s">
        <v>62</v>
      </c>
      <c r="O221" s="1" t="s">
        <v>92</v>
      </c>
      <c r="P221" s="1" t="s">
        <v>912</v>
      </c>
      <c r="Q221" s="1">
        <v>20.274287</v>
      </c>
      <c r="R221" s="1">
        <v>-87.486249</v>
      </c>
      <c r="S221" s="1" t="s">
        <v>148</v>
      </c>
      <c r="T221" s="2" t="s">
        <v>930</v>
      </c>
      <c r="U221" s="2" t="s">
        <v>917</v>
      </c>
      <c r="V221" s="3" t="s">
        <v>97</v>
      </c>
      <c r="W221" s="2" t="s">
        <v>72</v>
      </c>
      <c r="X221" s="1" t="s">
        <v>928</v>
      </c>
      <c r="Y221" s="6" t="s">
        <v>76</v>
      </c>
      <c r="Z221" s="3" t="s">
        <v>76</v>
      </c>
      <c r="AI221" s="1" t="s">
        <v>915</v>
      </c>
      <c r="AJ221" s="2" t="s">
        <v>72</v>
      </c>
      <c r="AK221" s="2" t="s">
        <v>72</v>
      </c>
      <c r="AL221" s="2" t="s">
        <v>100</v>
      </c>
      <c r="AM221" s="2" t="s">
        <v>76</v>
      </c>
      <c r="AN221" s="1" t="s">
        <v>238</v>
      </c>
      <c r="AO221" s="2" t="s">
        <v>101</v>
      </c>
      <c r="AQ221" s="2" t="s">
        <v>75</v>
      </c>
      <c r="AR221" s="2" t="s">
        <v>76</v>
      </c>
      <c r="AS221" s="1">
        <v>1209.0</v>
      </c>
      <c r="AT221" s="1">
        <v>1209.0</v>
      </c>
      <c r="AU221" s="1">
        <v>495.0</v>
      </c>
      <c r="AV221" s="1">
        <v>39.0</v>
      </c>
      <c r="AW221" s="1">
        <v>132.0</v>
      </c>
      <c r="AX221" s="1">
        <v>5135.0</v>
      </c>
      <c r="AY221" s="1">
        <v>5.0</v>
      </c>
      <c r="AZ221" s="1" t="s">
        <v>239</v>
      </c>
      <c r="BA221" s="1" t="s">
        <v>121</v>
      </c>
    </row>
    <row r="222">
      <c r="A222" s="1" t="s">
        <v>931</v>
      </c>
      <c r="B222" s="1" t="s">
        <v>268</v>
      </c>
      <c r="C222" s="1">
        <v>2007.0</v>
      </c>
      <c r="D222" s="1" t="s">
        <v>730</v>
      </c>
      <c r="E222" s="1" t="s">
        <v>932</v>
      </c>
      <c r="H222" s="1" t="s">
        <v>933</v>
      </c>
      <c r="I222" s="1">
        <v>97.0</v>
      </c>
      <c r="K222" s="2" t="s">
        <v>934</v>
      </c>
      <c r="L222" s="2" t="s">
        <v>60</v>
      </c>
      <c r="M222" s="1" t="s">
        <v>935</v>
      </c>
      <c r="N222" s="1" t="s">
        <v>62</v>
      </c>
      <c r="O222" s="1" t="s">
        <v>737</v>
      </c>
      <c r="P222" s="1" t="s">
        <v>936</v>
      </c>
      <c r="Q222" s="1">
        <v>13.983226</v>
      </c>
      <c r="R222" s="1">
        <v>-89.671258</v>
      </c>
      <c r="S222" s="1" t="s">
        <v>148</v>
      </c>
      <c r="T222" s="2" t="s">
        <v>275</v>
      </c>
      <c r="U222" s="1" t="s">
        <v>72</v>
      </c>
      <c r="V222" s="3" t="s">
        <v>277</v>
      </c>
      <c r="W222" s="1" t="s">
        <v>278</v>
      </c>
      <c r="X222" s="1" t="s">
        <v>279</v>
      </c>
      <c r="Y222" s="6" t="s">
        <v>76</v>
      </c>
      <c r="Z222" s="3" t="s">
        <v>76</v>
      </c>
      <c r="AB222" s="1">
        <v>4.0</v>
      </c>
      <c r="AH222" s="1">
        <v>1.0</v>
      </c>
      <c r="AI222" s="1" t="s">
        <v>937</v>
      </c>
      <c r="AJ222" s="1">
        <v>-1760.0</v>
      </c>
      <c r="AK222" s="1">
        <v>1950.0</v>
      </c>
      <c r="AL222" s="2" t="s">
        <v>73</v>
      </c>
      <c r="AM222" s="2" t="s">
        <v>76</v>
      </c>
      <c r="AN222" s="1" t="s">
        <v>74</v>
      </c>
      <c r="AO222" s="2" t="s">
        <v>72</v>
      </c>
      <c r="AQ222" s="2" t="s">
        <v>75</v>
      </c>
      <c r="AR222" s="2" t="s">
        <v>76</v>
      </c>
      <c r="AS222" s="1">
        <v>1612.0</v>
      </c>
      <c r="AT222" s="1">
        <v>1612.0</v>
      </c>
      <c r="AU222" s="1">
        <v>836.0</v>
      </c>
      <c r="AV222" s="1">
        <v>3.0</v>
      </c>
      <c r="AW222" s="1">
        <v>13.0</v>
      </c>
      <c r="AX222" s="1">
        <v>9515.0</v>
      </c>
      <c r="AY222" s="1">
        <v>700.0</v>
      </c>
      <c r="AZ222" s="1" t="s">
        <v>77</v>
      </c>
      <c r="BA222" s="1" t="s">
        <v>78</v>
      </c>
    </row>
    <row r="223">
      <c r="A223" s="1" t="s">
        <v>931</v>
      </c>
      <c r="B223" s="1" t="s">
        <v>268</v>
      </c>
      <c r="C223" s="1">
        <v>2007.0</v>
      </c>
      <c r="D223" s="1" t="s">
        <v>730</v>
      </c>
      <c r="E223" s="1" t="s">
        <v>932</v>
      </c>
      <c r="H223" s="1" t="s">
        <v>933</v>
      </c>
      <c r="I223" s="1">
        <v>97.0</v>
      </c>
      <c r="K223" s="2" t="s">
        <v>934</v>
      </c>
      <c r="L223" s="2" t="s">
        <v>60</v>
      </c>
      <c r="M223" s="1" t="s">
        <v>938</v>
      </c>
      <c r="N223" s="1" t="s">
        <v>62</v>
      </c>
      <c r="O223" s="1" t="s">
        <v>737</v>
      </c>
      <c r="P223" s="1" t="s">
        <v>936</v>
      </c>
      <c r="Q223" s="1">
        <v>13.983226</v>
      </c>
      <c r="R223" s="1">
        <v>-89.671258</v>
      </c>
      <c r="S223" s="1" t="s">
        <v>148</v>
      </c>
      <c r="T223" s="2" t="s">
        <v>194</v>
      </c>
      <c r="U223" s="1" t="s">
        <v>72</v>
      </c>
      <c r="V223" s="3" t="s">
        <v>277</v>
      </c>
      <c r="W223" s="1" t="s">
        <v>286</v>
      </c>
      <c r="X223" s="1" t="s">
        <v>70</v>
      </c>
      <c r="Y223" s="6" t="s">
        <v>76</v>
      </c>
      <c r="Z223" s="3" t="s">
        <v>76</v>
      </c>
      <c r="AB223" s="1">
        <v>4.0</v>
      </c>
      <c r="AH223" s="1">
        <v>1.0</v>
      </c>
      <c r="AI223" s="1" t="s">
        <v>937</v>
      </c>
      <c r="AJ223" s="1">
        <v>-1760.0</v>
      </c>
      <c r="AK223" s="1">
        <v>1950.0</v>
      </c>
      <c r="AL223" s="2" t="s">
        <v>73</v>
      </c>
      <c r="AM223" s="2" t="s">
        <v>76</v>
      </c>
      <c r="AN223" s="1" t="s">
        <v>74</v>
      </c>
      <c r="AO223" s="2" t="s">
        <v>72</v>
      </c>
      <c r="AQ223" s="2" t="s">
        <v>75</v>
      </c>
      <c r="AR223" s="2" t="s">
        <v>76</v>
      </c>
      <c r="AS223" s="1">
        <v>1612.0</v>
      </c>
      <c r="AT223" s="1">
        <v>1612.0</v>
      </c>
      <c r="AU223" s="1">
        <v>836.0</v>
      </c>
      <c r="AV223" s="1">
        <v>3.0</v>
      </c>
      <c r="AW223" s="1">
        <v>13.0</v>
      </c>
      <c r="AX223" s="1">
        <v>9515.0</v>
      </c>
      <c r="AY223" s="1">
        <v>700.0</v>
      </c>
      <c r="AZ223" s="1" t="s">
        <v>77</v>
      </c>
      <c r="BA223" s="1" t="s">
        <v>78</v>
      </c>
    </row>
    <row r="224">
      <c r="A224" s="1" t="s">
        <v>905</v>
      </c>
      <c r="B224" s="1" t="s">
        <v>53</v>
      </c>
      <c r="C224" s="1">
        <v>2009.0</v>
      </c>
      <c r="D224" s="1" t="s">
        <v>906</v>
      </c>
      <c r="E224" s="1" t="s">
        <v>907</v>
      </c>
      <c r="F224" s="1" t="s">
        <v>732</v>
      </c>
      <c r="G224" s="1" t="s">
        <v>908</v>
      </c>
      <c r="H224" s="1" t="s">
        <v>909</v>
      </c>
      <c r="I224" s="1">
        <v>42.0</v>
      </c>
      <c r="J224" s="1">
        <v>2.0</v>
      </c>
      <c r="K224" s="2" t="s">
        <v>910</v>
      </c>
      <c r="L224" s="2" t="s">
        <v>60</v>
      </c>
      <c r="M224" s="1" t="s">
        <v>939</v>
      </c>
      <c r="N224" s="1" t="s">
        <v>62</v>
      </c>
      <c r="O224" s="1" t="s">
        <v>92</v>
      </c>
      <c r="P224" s="1" t="s">
        <v>912</v>
      </c>
      <c r="Q224" s="1">
        <v>20.274287</v>
      </c>
      <c r="R224" s="1">
        <v>-87.486249</v>
      </c>
      <c r="S224" s="1" t="s">
        <v>148</v>
      </c>
      <c r="T224" s="2" t="s">
        <v>614</v>
      </c>
      <c r="U224" s="2" t="s">
        <v>917</v>
      </c>
      <c r="V224" s="3" t="s">
        <v>97</v>
      </c>
      <c r="W224" s="2" t="s">
        <v>72</v>
      </c>
      <c r="X224" s="1" t="s">
        <v>928</v>
      </c>
      <c r="Y224" s="6" t="s">
        <v>76</v>
      </c>
      <c r="Z224" s="3" t="s">
        <v>76</v>
      </c>
      <c r="AI224" s="1" t="s">
        <v>915</v>
      </c>
      <c r="AJ224" s="2" t="s">
        <v>72</v>
      </c>
      <c r="AK224" s="2" t="s">
        <v>72</v>
      </c>
      <c r="AL224" s="2" t="s">
        <v>100</v>
      </c>
      <c r="AM224" s="2" t="s">
        <v>76</v>
      </c>
      <c r="AN224" s="1" t="s">
        <v>238</v>
      </c>
      <c r="AO224" s="2" t="s">
        <v>101</v>
      </c>
      <c r="AQ224" s="2" t="s">
        <v>75</v>
      </c>
      <c r="AR224" s="2" t="s">
        <v>76</v>
      </c>
      <c r="AS224" s="1">
        <v>1209.0</v>
      </c>
      <c r="AT224" s="1">
        <v>1209.0</v>
      </c>
      <c r="AU224" s="1">
        <v>495.0</v>
      </c>
      <c r="AV224" s="1">
        <v>39.0</v>
      </c>
      <c r="AW224" s="1">
        <v>132.0</v>
      </c>
      <c r="AX224" s="1">
        <v>5135.0</v>
      </c>
      <c r="AY224" s="1">
        <v>5.0</v>
      </c>
      <c r="AZ224" s="1" t="s">
        <v>239</v>
      </c>
      <c r="BA224" s="1" t="s">
        <v>121</v>
      </c>
    </row>
    <row r="225">
      <c r="A225" s="1" t="s">
        <v>905</v>
      </c>
      <c r="B225" s="1" t="s">
        <v>53</v>
      </c>
      <c r="C225" s="1">
        <v>2009.0</v>
      </c>
      <c r="D225" s="1" t="s">
        <v>906</v>
      </c>
      <c r="E225" s="1" t="s">
        <v>907</v>
      </c>
      <c r="F225" s="1" t="s">
        <v>732</v>
      </c>
      <c r="G225" s="1" t="s">
        <v>908</v>
      </c>
      <c r="H225" s="1" t="s">
        <v>909</v>
      </c>
      <c r="I225" s="1">
        <v>42.0</v>
      </c>
      <c r="J225" s="1">
        <v>2.0</v>
      </c>
      <c r="K225" s="2" t="s">
        <v>910</v>
      </c>
      <c r="L225" s="2" t="s">
        <v>60</v>
      </c>
      <c r="M225" s="1" t="s">
        <v>940</v>
      </c>
      <c r="N225" s="1" t="s">
        <v>62</v>
      </c>
      <c r="O225" s="1" t="s">
        <v>92</v>
      </c>
      <c r="P225" s="1" t="s">
        <v>912</v>
      </c>
      <c r="Q225" s="1">
        <v>20.274287</v>
      </c>
      <c r="R225" s="1">
        <v>-87.486249</v>
      </c>
      <c r="S225" s="1" t="s">
        <v>148</v>
      </c>
      <c r="T225" s="2" t="s">
        <v>941</v>
      </c>
      <c r="U225" s="2" t="s">
        <v>917</v>
      </c>
      <c r="V225" s="3" t="s">
        <v>97</v>
      </c>
      <c r="W225" s="2" t="s">
        <v>72</v>
      </c>
      <c r="X225" s="1" t="s">
        <v>928</v>
      </c>
      <c r="Y225" s="6" t="s">
        <v>76</v>
      </c>
      <c r="Z225" s="3" t="s">
        <v>76</v>
      </c>
      <c r="AI225" s="1" t="s">
        <v>915</v>
      </c>
      <c r="AJ225" s="2" t="s">
        <v>72</v>
      </c>
      <c r="AK225" s="2" t="s">
        <v>72</v>
      </c>
      <c r="AL225" s="2" t="s">
        <v>100</v>
      </c>
      <c r="AM225" s="2" t="s">
        <v>76</v>
      </c>
      <c r="AN225" s="1" t="s">
        <v>238</v>
      </c>
      <c r="AO225" s="2" t="s">
        <v>101</v>
      </c>
      <c r="AQ225" s="2" t="s">
        <v>75</v>
      </c>
      <c r="AR225" s="2" t="s">
        <v>76</v>
      </c>
      <c r="AS225" s="1">
        <v>1209.0</v>
      </c>
      <c r="AT225" s="1">
        <v>1209.0</v>
      </c>
      <c r="AU225" s="1">
        <v>495.0</v>
      </c>
      <c r="AV225" s="1">
        <v>39.0</v>
      </c>
      <c r="AW225" s="1">
        <v>132.0</v>
      </c>
      <c r="AX225" s="1">
        <v>5135.0</v>
      </c>
      <c r="AY225" s="1">
        <v>5.0</v>
      </c>
      <c r="AZ225" s="1" t="s">
        <v>239</v>
      </c>
      <c r="BA225" s="1" t="s">
        <v>121</v>
      </c>
    </row>
    <row r="226">
      <c r="A226" s="1" t="s">
        <v>905</v>
      </c>
      <c r="B226" s="1" t="s">
        <v>53</v>
      </c>
      <c r="C226" s="1">
        <v>2009.0</v>
      </c>
      <c r="D226" s="1" t="s">
        <v>906</v>
      </c>
      <c r="E226" s="1" t="s">
        <v>907</v>
      </c>
      <c r="F226" s="1" t="s">
        <v>732</v>
      </c>
      <c r="G226" s="1" t="s">
        <v>908</v>
      </c>
      <c r="H226" s="1" t="s">
        <v>909</v>
      </c>
      <c r="I226" s="1">
        <v>42.0</v>
      </c>
      <c r="J226" s="1">
        <v>2.0</v>
      </c>
      <c r="K226" s="2" t="s">
        <v>910</v>
      </c>
      <c r="L226" s="2" t="s">
        <v>60</v>
      </c>
      <c r="M226" s="1" t="s">
        <v>942</v>
      </c>
      <c r="N226" s="1" t="s">
        <v>62</v>
      </c>
      <c r="O226" s="1" t="s">
        <v>92</v>
      </c>
      <c r="P226" s="1" t="s">
        <v>912</v>
      </c>
      <c r="Q226" s="1">
        <v>20.274287</v>
      </c>
      <c r="R226" s="1">
        <v>-87.486249</v>
      </c>
      <c r="S226" s="1" t="s">
        <v>148</v>
      </c>
      <c r="T226" s="2" t="s">
        <v>194</v>
      </c>
      <c r="U226" s="2" t="s">
        <v>917</v>
      </c>
      <c r="V226" s="3" t="s">
        <v>97</v>
      </c>
      <c r="W226" s="1" t="s">
        <v>943</v>
      </c>
      <c r="X226" s="1" t="s">
        <v>70</v>
      </c>
      <c r="Y226" s="6" t="s">
        <v>76</v>
      </c>
      <c r="Z226" s="3" t="s">
        <v>76</v>
      </c>
      <c r="AI226" s="1" t="s">
        <v>915</v>
      </c>
      <c r="AJ226" s="2" t="s">
        <v>72</v>
      </c>
      <c r="AK226" s="2" t="s">
        <v>72</v>
      </c>
      <c r="AL226" s="2" t="s">
        <v>100</v>
      </c>
      <c r="AM226" s="2" t="s">
        <v>76</v>
      </c>
      <c r="AN226" s="1" t="s">
        <v>238</v>
      </c>
      <c r="AO226" s="2" t="s">
        <v>101</v>
      </c>
      <c r="AQ226" s="2" t="s">
        <v>75</v>
      </c>
      <c r="AR226" s="2" t="s">
        <v>76</v>
      </c>
      <c r="AS226" s="1">
        <v>1209.0</v>
      </c>
      <c r="AT226" s="1">
        <v>1209.0</v>
      </c>
      <c r="AU226" s="1">
        <v>495.0</v>
      </c>
      <c r="AV226" s="1">
        <v>39.0</v>
      </c>
      <c r="AW226" s="1">
        <v>132.0</v>
      </c>
      <c r="AX226" s="1">
        <v>5135.0</v>
      </c>
      <c r="AY226" s="1">
        <v>5.0</v>
      </c>
      <c r="AZ226" s="1" t="s">
        <v>239</v>
      </c>
      <c r="BA226" s="1" t="s">
        <v>121</v>
      </c>
    </row>
    <row r="227">
      <c r="A227" s="1" t="s">
        <v>944</v>
      </c>
      <c r="B227" s="1" t="s">
        <v>53</v>
      </c>
      <c r="C227" s="1">
        <v>2011.0</v>
      </c>
      <c r="D227" s="1" t="s">
        <v>945</v>
      </c>
      <c r="E227" s="1" t="s">
        <v>946</v>
      </c>
      <c r="F227" s="1" t="s">
        <v>732</v>
      </c>
      <c r="G227" s="1" t="s">
        <v>947</v>
      </c>
      <c r="H227" s="1" t="s">
        <v>948</v>
      </c>
      <c r="I227" s="1">
        <v>45.0</v>
      </c>
      <c r="J227" s="1">
        <v>3.0</v>
      </c>
      <c r="K227" s="2" t="s">
        <v>949</v>
      </c>
      <c r="L227" s="2" t="s">
        <v>76</v>
      </c>
      <c r="M227" s="1" t="s">
        <v>944</v>
      </c>
      <c r="N227" s="1" t="s">
        <v>62</v>
      </c>
      <c r="O227" s="1" t="s">
        <v>112</v>
      </c>
      <c r="P227" s="1" t="s">
        <v>308</v>
      </c>
      <c r="Q227" s="1">
        <v>9.494444</v>
      </c>
      <c r="R227" s="1">
        <v>-83.487222</v>
      </c>
      <c r="S227" s="1" t="s">
        <v>148</v>
      </c>
      <c r="T227" s="2" t="s">
        <v>135</v>
      </c>
      <c r="U227" s="1" t="s">
        <v>823</v>
      </c>
      <c r="V227" s="3" t="s">
        <v>97</v>
      </c>
      <c r="W227" s="1" t="s">
        <v>547</v>
      </c>
      <c r="X227" s="1" t="s">
        <v>265</v>
      </c>
      <c r="Y227" s="5" t="s">
        <v>76</v>
      </c>
      <c r="Z227" s="3" t="s">
        <v>76</v>
      </c>
      <c r="AB227" s="1">
        <v>6.0</v>
      </c>
      <c r="AI227" s="2" t="s">
        <v>72</v>
      </c>
      <c r="AJ227" s="1">
        <v>-9050.0</v>
      </c>
      <c r="AK227" s="1">
        <v>1989.0</v>
      </c>
      <c r="AL227" s="2" t="s">
        <v>153</v>
      </c>
      <c r="AM227" s="2" t="s">
        <v>60</v>
      </c>
      <c r="AN227" s="1" t="s">
        <v>238</v>
      </c>
      <c r="AO227" s="2" t="s">
        <v>72</v>
      </c>
      <c r="AQ227" s="2" t="s">
        <v>102</v>
      </c>
      <c r="AR227" s="2" t="s">
        <v>76</v>
      </c>
      <c r="AS227" s="1">
        <v>2202.0</v>
      </c>
      <c r="AT227" s="1">
        <v>2202.0</v>
      </c>
      <c r="AU227" s="1">
        <v>957.0</v>
      </c>
      <c r="AV227" s="1">
        <v>11.0</v>
      </c>
      <c r="AW227" s="1">
        <v>65.0</v>
      </c>
      <c r="AX227" s="1">
        <v>7181.0</v>
      </c>
      <c r="AY227" s="1">
        <v>3509.0</v>
      </c>
      <c r="AZ227" s="1" t="s">
        <v>154</v>
      </c>
      <c r="BA227" s="1" t="s">
        <v>121</v>
      </c>
    </row>
    <row r="228">
      <c r="A228" s="1" t="s">
        <v>950</v>
      </c>
      <c r="B228" s="1" t="s">
        <v>53</v>
      </c>
      <c r="C228" s="1">
        <v>2013.0</v>
      </c>
      <c r="D228" s="1" t="s">
        <v>951</v>
      </c>
      <c r="E228" s="1" t="s">
        <v>952</v>
      </c>
      <c r="F228" s="1" t="s">
        <v>732</v>
      </c>
      <c r="G228" s="1" t="s">
        <v>953</v>
      </c>
      <c r="H228" s="1" t="s">
        <v>954</v>
      </c>
      <c r="I228" s="1">
        <v>50.0</v>
      </c>
      <c r="J228" s="1">
        <v>1.0</v>
      </c>
      <c r="K228" s="2" t="s">
        <v>955</v>
      </c>
      <c r="L228" s="2" t="s">
        <v>60</v>
      </c>
      <c r="M228" s="1" t="s">
        <v>956</v>
      </c>
      <c r="N228" s="1" t="s">
        <v>62</v>
      </c>
      <c r="O228" s="1" t="s">
        <v>521</v>
      </c>
      <c r="P228" s="1" t="s">
        <v>957</v>
      </c>
      <c r="Q228" s="1">
        <v>11.311111</v>
      </c>
      <c r="R228" s="1">
        <v>-85.134722</v>
      </c>
      <c r="S228" s="1" t="s">
        <v>148</v>
      </c>
      <c r="T228" s="2" t="s">
        <v>149</v>
      </c>
      <c r="U228" s="2" t="s">
        <v>958</v>
      </c>
      <c r="V228" s="3" t="s">
        <v>299</v>
      </c>
      <c r="W228" s="1" t="s">
        <v>959</v>
      </c>
      <c r="X228" s="1" t="s">
        <v>70</v>
      </c>
      <c r="Y228" s="6" t="s">
        <v>76</v>
      </c>
      <c r="Z228" s="3" t="s">
        <v>380</v>
      </c>
      <c r="AB228" s="1">
        <v>10.0</v>
      </c>
      <c r="AI228" s="1" t="s">
        <v>960</v>
      </c>
      <c r="AJ228" s="1">
        <v>-3639.0</v>
      </c>
      <c r="AK228" s="1">
        <v>1950.0</v>
      </c>
      <c r="AL228" s="2" t="s">
        <v>73</v>
      </c>
      <c r="AM228" s="2" t="s">
        <v>76</v>
      </c>
      <c r="AN228" s="2" t="s">
        <v>524</v>
      </c>
      <c r="AO228" s="2" t="s">
        <v>72</v>
      </c>
      <c r="AQ228" s="2" t="s">
        <v>75</v>
      </c>
      <c r="AR228" s="2" t="s">
        <v>76</v>
      </c>
      <c r="AS228" s="1">
        <v>1975.0</v>
      </c>
      <c r="AT228" s="1">
        <v>1975.0</v>
      </c>
      <c r="AU228" s="1">
        <v>950.0</v>
      </c>
      <c r="AV228" s="1">
        <v>16.0</v>
      </c>
      <c r="AW228" s="1">
        <v>67.0</v>
      </c>
      <c r="AX228" s="1">
        <v>7984.0</v>
      </c>
      <c r="AY228" s="1">
        <v>31.0</v>
      </c>
      <c r="AZ228" s="1" t="s">
        <v>120</v>
      </c>
      <c r="BA228" s="1" t="s">
        <v>121</v>
      </c>
    </row>
    <row r="229">
      <c r="A229" s="1" t="s">
        <v>950</v>
      </c>
      <c r="B229" s="1" t="s">
        <v>53</v>
      </c>
      <c r="C229" s="1">
        <v>2013.0</v>
      </c>
      <c r="D229" s="1" t="s">
        <v>951</v>
      </c>
      <c r="E229" s="1" t="s">
        <v>952</v>
      </c>
      <c r="F229" s="1" t="s">
        <v>732</v>
      </c>
      <c r="G229" s="1" t="s">
        <v>953</v>
      </c>
      <c r="H229" s="1" t="s">
        <v>954</v>
      </c>
      <c r="I229" s="1">
        <v>50.0</v>
      </c>
      <c r="J229" s="1">
        <v>1.0</v>
      </c>
      <c r="K229" s="2" t="s">
        <v>955</v>
      </c>
      <c r="L229" s="2" t="s">
        <v>60</v>
      </c>
      <c r="M229" s="1" t="s">
        <v>961</v>
      </c>
      <c r="N229" s="1" t="s">
        <v>62</v>
      </c>
      <c r="O229" s="1" t="s">
        <v>521</v>
      </c>
      <c r="P229" s="1" t="s">
        <v>957</v>
      </c>
      <c r="Q229" s="1">
        <v>11.311111</v>
      </c>
      <c r="R229" s="1">
        <v>-85.134722</v>
      </c>
      <c r="S229" s="1" t="s">
        <v>148</v>
      </c>
      <c r="T229" s="2" t="s">
        <v>194</v>
      </c>
      <c r="U229" s="1" t="s">
        <v>173</v>
      </c>
      <c r="V229" s="3" t="s">
        <v>68</v>
      </c>
      <c r="W229" s="1" t="s">
        <v>962</v>
      </c>
      <c r="X229" s="1" t="s">
        <v>70</v>
      </c>
      <c r="Y229" s="6" t="s">
        <v>76</v>
      </c>
      <c r="Z229" s="1" t="s">
        <v>173</v>
      </c>
      <c r="AB229" s="1">
        <v>10.0</v>
      </c>
      <c r="AI229" s="1" t="s">
        <v>960</v>
      </c>
      <c r="AJ229" s="1">
        <v>-3639.0</v>
      </c>
      <c r="AK229" s="1">
        <v>1950.0</v>
      </c>
      <c r="AL229" s="2" t="s">
        <v>73</v>
      </c>
      <c r="AM229" s="2" t="s">
        <v>76</v>
      </c>
      <c r="AN229" s="2" t="s">
        <v>524</v>
      </c>
      <c r="AO229" s="2" t="s">
        <v>72</v>
      </c>
      <c r="AQ229" s="2" t="s">
        <v>75</v>
      </c>
      <c r="AR229" s="2" t="s">
        <v>76</v>
      </c>
      <c r="AS229" s="1">
        <v>1975.0</v>
      </c>
      <c r="AT229" s="1">
        <v>1975.0</v>
      </c>
      <c r="AU229" s="1">
        <v>950.0</v>
      </c>
      <c r="AV229" s="1">
        <v>16.0</v>
      </c>
      <c r="AW229" s="1">
        <v>67.0</v>
      </c>
      <c r="AX229" s="1">
        <v>7984.0</v>
      </c>
      <c r="AY229" s="1">
        <v>31.0</v>
      </c>
      <c r="AZ229" s="1" t="s">
        <v>120</v>
      </c>
      <c r="BA229" s="1" t="s">
        <v>121</v>
      </c>
    </row>
    <row r="230">
      <c r="A230" s="1" t="s">
        <v>950</v>
      </c>
      <c r="B230" s="1" t="s">
        <v>53</v>
      </c>
      <c r="C230" s="1">
        <v>2013.0</v>
      </c>
      <c r="D230" s="1" t="s">
        <v>951</v>
      </c>
      <c r="E230" s="1" t="s">
        <v>952</v>
      </c>
      <c r="F230" s="1" t="s">
        <v>732</v>
      </c>
      <c r="G230" s="1" t="s">
        <v>953</v>
      </c>
      <c r="H230" s="1" t="s">
        <v>954</v>
      </c>
      <c r="I230" s="1">
        <v>50.0</v>
      </c>
      <c r="J230" s="1">
        <v>1.0</v>
      </c>
      <c r="K230" s="2" t="s">
        <v>955</v>
      </c>
      <c r="L230" s="2" t="s">
        <v>60</v>
      </c>
      <c r="M230" s="1" t="s">
        <v>963</v>
      </c>
      <c r="N230" s="1" t="s">
        <v>62</v>
      </c>
      <c r="O230" s="1" t="s">
        <v>521</v>
      </c>
      <c r="P230" s="1" t="s">
        <v>957</v>
      </c>
      <c r="Q230" s="1">
        <v>11.311111</v>
      </c>
      <c r="R230" s="1">
        <v>-85.134722</v>
      </c>
      <c r="S230" s="1" t="s">
        <v>148</v>
      </c>
      <c r="T230" s="2" t="s">
        <v>964</v>
      </c>
      <c r="U230" s="1" t="s">
        <v>173</v>
      </c>
      <c r="V230" s="3" t="s">
        <v>68</v>
      </c>
      <c r="W230" s="1" t="s">
        <v>965</v>
      </c>
      <c r="X230" s="1" t="s">
        <v>70</v>
      </c>
      <c r="Y230" s="6" t="s">
        <v>76</v>
      </c>
      <c r="Z230" s="1" t="s">
        <v>173</v>
      </c>
      <c r="AB230" s="1">
        <v>10.0</v>
      </c>
      <c r="AI230" s="1" t="s">
        <v>960</v>
      </c>
      <c r="AJ230" s="1">
        <v>-3639.0</v>
      </c>
      <c r="AK230" s="1">
        <v>1950.0</v>
      </c>
      <c r="AL230" s="2" t="s">
        <v>73</v>
      </c>
      <c r="AM230" s="2" t="s">
        <v>76</v>
      </c>
      <c r="AN230" s="2" t="s">
        <v>524</v>
      </c>
      <c r="AO230" s="2" t="s">
        <v>72</v>
      </c>
      <c r="AQ230" s="2" t="s">
        <v>75</v>
      </c>
      <c r="AR230" s="2" t="s">
        <v>76</v>
      </c>
      <c r="AS230" s="1">
        <v>1975.0</v>
      </c>
      <c r="AT230" s="1">
        <v>1975.0</v>
      </c>
      <c r="AU230" s="1">
        <v>950.0</v>
      </c>
      <c r="AV230" s="1">
        <v>16.0</v>
      </c>
      <c r="AW230" s="1">
        <v>67.0</v>
      </c>
      <c r="AX230" s="1">
        <v>7984.0</v>
      </c>
      <c r="AY230" s="1">
        <v>31.0</v>
      </c>
      <c r="AZ230" s="1" t="s">
        <v>120</v>
      </c>
      <c r="BA230" s="1" t="s">
        <v>121</v>
      </c>
    </row>
    <row r="231">
      <c r="A231" s="1" t="s">
        <v>950</v>
      </c>
      <c r="B231" s="1" t="s">
        <v>53</v>
      </c>
      <c r="C231" s="1">
        <v>2013.0</v>
      </c>
      <c r="D231" s="1" t="s">
        <v>951</v>
      </c>
      <c r="E231" s="1" t="s">
        <v>952</v>
      </c>
      <c r="F231" s="1" t="s">
        <v>732</v>
      </c>
      <c r="G231" s="1" t="s">
        <v>953</v>
      </c>
      <c r="H231" s="1" t="s">
        <v>954</v>
      </c>
      <c r="I231" s="1">
        <v>50.0</v>
      </c>
      <c r="J231" s="1">
        <v>1.0</v>
      </c>
      <c r="K231" s="2" t="s">
        <v>955</v>
      </c>
      <c r="L231" s="2" t="s">
        <v>60</v>
      </c>
      <c r="M231" s="1" t="s">
        <v>966</v>
      </c>
      <c r="N231" s="1" t="s">
        <v>62</v>
      </c>
      <c r="O231" s="1" t="s">
        <v>521</v>
      </c>
      <c r="P231" s="1" t="s">
        <v>957</v>
      </c>
      <c r="Q231" s="1">
        <v>11.311111</v>
      </c>
      <c r="R231" s="1">
        <v>-85.134722</v>
      </c>
      <c r="S231" s="1" t="s">
        <v>148</v>
      </c>
      <c r="T231" s="2" t="s">
        <v>382</v>
      </c>
      <c r="U231" s="1" t="s">
        <v>173</v>
      </c>
      <c r="V231" s="3" t="s">
        <v>68</v>
      </c>
      <c r="W231" s="1" t="s">
        <v>967</v>
      </c>
      <c r="X231" s="1" t="s">
        <v>968</v>
      </c>
      <c r="Y231" s="6" t="s">
        <v>76</v>
      </c>
      <c r="Z231" s="1" t="s">
        <v>173</v>
      </c>
      <c r="AB231" s="1">
        <v>10.0</v>
      </c>
      <c r="AI231" s="1" t="s">
        <v>960</v>
      </c>
      <c r="AJ231" s="1">
        <v>-3639.0</v>
      </c>
      <c r="AK231" s="1">
        <v>1950.0</v>
      </c>
      <c r="AL231" s="2" t="s">
        <v>73</v>
      </c>
      <c r="AM231" s="2" t="s">
        <v>76</v>
      </c>
      <c r="AN231" s="2" t="s">
        <v>524</v>
      </c>
      <c r="AO231" s="2" t="s">
        <v>72</v>
      </c>
      <c r="AQ231" s="2" t="s">
        <v>75</v>
      </c>
      <c r="AR231" s="2" t="s">
        <v>76</v>
      </c>
      <c r="AS231" s="1">
        <v>1975.0</v>
      </c>
      <c r="AT231" s="1">
        <v>1975.0</v>
      </c>
      <c r="AU231" s="1">
        <v>950.0</v>
      </c>
      <c r="AV231" s="1">
        <v>16.0</v>
      </c>
      <c r="AW231" s="1">
        <v>67.0</v>
      </c>
      <c r="AX231" s="1">
        <v>7984.0</v>
      </c>
      <c r="AY231" s="1">
        <v>31.0</v>
      </c>
      <c r="AZ231" s="1" t="s">
        <v>120</v>
      </c>
      <c r="BA231" s="1" t="s">
        <v>121</v>
      </c>
    </row>
    <row r="232">
      <c r="A232" s="1" t="s">
        <v>969</v>
      </c>
      <c r="B232" s="1" t="s">
        <v>53</v>
      </c>
      <c r="C232" s="1">
        <v>2015.0</v>
      </c>
      <c r="D232" s="1" t="s">
        <v>970</v>
      </c>
      <c r="E232" s="1" t="s">
        <v>971</v>
      </c>
      <c r="F232" s="1" t="s">
        <v>732</v>
      </c>
      <c r="G232" s="1" t="s">
        <v>972</v>
      </c>
      <c r="H232" s="1" t="s">
        <v>973</v>
      </c>
      <c r="I232" s="1">
        <v>54.0</v>
      </c>
      <c r="J232" s="1">
        <v>4.0</v>
      </c>
      <c r="K232" s="2" t="s">
        <v>974</v>
      </c>
      <c r="L232" s="2" t="s">
        <v>60</v>
      </c>
      <c r="M232" s="1" t="s">
        <v>975</v>
      </c>
      <c r="N232" s="1" t="s">
        <v>62</v>
      </c>
      <c r="O232" s="1" t="s">
        <v>112</v>
      </c>
      <c r="P232" s="1" t="s">
        <v>597</v>
      </c>
      <c r="Q232" s="1">
        <v>8.812</v>
      </c>
      <c r="R232" s="1">
        <v>-82.961</v>
      </c>
      <c r="S232" s="1" t="s">
        <v>148</v>
      </c>
      <c r="T232" s="2" t="s">
        <v>189</v>
      </c>
      <c r="U232" s="10" t="s">
        <v>976</v>
      </c>
      <c r="V232" s="3" t="s">
        <v>116</v>
      </c>
      <c r="W232" s="1" t="s">
        <v>977</v>
      </c>
      <c r="X232" s="1" t="s">
        <v>70</v>
      </c>
      <c r="Y232" s="6" t="s">
        <v>76</v>
      </c>
      <c r="Z232" s="3" t="s">
        <v>173</v>
      </c>
      <c r="AB232" s="1">
        <v>3.0</v>
      </c>
      <c r="AI232" s="1" t="s">
        <v>978</v>
      </c>
      <c r="AJ232" s="1">
        <v>0.0</v>
      </c>
      <c r="AK232" s="1">
        <v>1950.0</v>
      </c>
      <c r="AL232" s="2" t="s">
        <v>73</v>
      </c>
      <c r="AM232" s="2" t="s">
        <v>72</v>
      </c>
      <c r="AN232" s="1" t="s">
        <v>238</v>
      </c>
      <c r="AO232" s="2" t="s">
        <v>72</v>
      </c>
      <c r="AQ232" s="2" t="s">
        <v>102</v>
      </c>
      <c r="AR232" s="2" t="s">
        <v>76</v>
      </c>
      <c r="AS232" s="1">
        <v>2841.0</v>
      </c>
      <c r="AT232" s="1">
        <v>2841.0</v>
      </c>
      <c r="AU232" s="1">
        <v>1165.0</v>
      </c>
      <c r="AV232" s="1">
        <v>40.0</v>
      </c>
      <c r="AW232" s="1">
        <v>166.0</v>
      </c>
      <c r="AX232" s="1">
        <v>6482.0</v>
      </c>
      <c r="AY232" s="1">
        <v>1094.0</v>
      </c>
      <c r="AZ232" s="1" t="s">
        <v>154</v>
      </c>
      <c r="BA232" s="1" t="s">
        <v>121</v>
      </c>
    </row>
    <row r="233">
      <c r="A233" s="1" t="s">
        <v>969</v>
      </c>
      <c r="B233" s="1" t="s">
        <v>53</v>
      </c>
      <c r="C233" s="1">
        <v>2015.0</v>
      </c>
      <c r="D233" s="1" t="s">
        <v>970</v>
      </c>
      <c r="E233" s="1" t="s">
        <v>971</v>
      </c>
      <c r="F233" s="1" t="s">
        <v>732</v>
      </c>
      <c r="G233" s="1" t="s">
        <v>972</v>
      </c>
      <c r="H233" s="1" t="s">
        <v>973</v>
      </c>
      <c r="I233" s="1">
        <v>54.0</v>
      </c>
      <c r="J233" s="1">
        <v>4.0</v>
      </c>
      <c r="K233" s="2" t="s">
        <v>974</v>
      </c>
      <c r="L233" s="2" t="s">
        <v>60</v>
      </c>
      <c r="M233" s="1" t="s">
        <v>979</v>
      </c>
      <c r="N233" s="1" t="s">
        <v>62</v>
      </c>
      <c r="O233" s="1" t="s">
        <v>112</v>
      </c>
      <c r="P233" s="1" t="s">
        <v>597</v>
      </c>
      <c r="Q233" s="1">
        <v>8.812</v>
      </c>
      <c r="R233" s="1">
        <v>-82.961</v>
      </c>
      <c r="S233" s="1" t="s">
        <v>148</v>
      </c>
      <c r="T233" s="2" t="s">
        <v>189</v>
      </c>
      <c r="U233" s="10" t="s">
        <v>976</v>
      </c>
      <c r="V233" s="3" t="s">
        <v>116</v>
      </c>
      <c r="W233" s="1" t="s">
        <v>977</v>
      </c>
      <c r="X233" s="1" t="s">
        <v>70</v>
      </c>
      <c r="Y233" s="6" t="s">
        <v>76</v>
      </c>
      <c r="Z233" s="3" t="s">
        <v>173</v>
      </c>
      <c r="AB233" s="1">
        <v>2.0</v>
      </c>
      <c r="AI233" s="1" t="s">
        <v>980</v>
      </c>
      <c r="AJ233" s="1">
        <v>0.0</v>
      </c>
      <c r="AK233" s="1">
        <v>1950.0</v>
      </c>
      <c r="AL233" s="2" t="s">
        <v>100</v>
      </c>
      <c r="AM233" s="2" t="s">
        <v>72</v>
      </c>
      <c r="AN233" s="1" t="s">
        <v>238</v>
      </c>
      <c r="AO233" s="2" t="s">
        <v>72</v>
      </c>
      <c r="AQ233" s="2" t="s">
        <v>102</v>
      </c>
      <c r="AR233" s="2" t="s">
        <v>76</v>
      </c>
      <c r="AS233" s="1">
        <v>2841.0</v>
      </c>
      <c r="AT233" s="1">
        <v>2841.0</v>
      </c>
      <c r="AU233" s="1">
        <v>1165.0</v>
      </c>
      <c r="AV233" s="1">
        <v>40.0</v>
      </c>
      <c r="AW233" s="1">
        <v>166.0</v>
      </c>
      <c r="AX233" s="1">
        <v>6482.0</v>
      </c>
      <c r="AY233" s="1">
        <v>1094.0</v>
      </c>
      <c r="AZ233" s="1" t="s">
        <v>154</v>
      </c>
      <c r="BA233" s="1" t="s">
        <v>121</v>
      </c>
    </row>
    <row r="234">
      <c r="A234" s="1" t="s">
        <v>969</v>
      </c>
      <c r="B234" s="1" t="s">
        <v>53</v>
      </c>
      <c r="C234" s="1">
        <v>2015.0</v>
      </c>
      <c r="D234" s="1" t="s">
        <v>970</v>
      </c>
      <c r="E234" s="1" t="s">
        <v>971</v>
      </c>
      <c r="F234" s="1" t="s">
        <v>732</v>
      </c>
      <c r="G234" s="1" t="s">
        <v>972</v>
      </c>
      <c r="H234" s="1" t="s">
        <v>973</v>
      </c>
      <c r="I234" s="1">
        <v>54.0</v>
      </c>
      <c r="J234" s="1">
        <v>4.0</v>
      </c>
      <c r="K234" s="2" t="s">
        <v>974</v>
      </c>
      <c r="L234" s="2" t="s">
        <v>60</v>
      </c>
      <c r="M234" s="1" t="s">
        <v>981</v>
      </c>
      <c r="N234" s="1" t="s">
        <v>62</v>
      </c>
      <c r="O234" s="1" t="s">
        <v>112</v>
      </c>
      <c r="P234" s="1" t="s">
        <v>597</v>
      </c>
      <c r="Q234" s="1">
        <v>8.812</v>
      </c>
      <c r="R234" s="1">
        <v>-82.961</v>
      </c>
      <c r="S234" s="1" t="s">
        <v>148</v>
      </c>
      <c r="T234" s="2" t="s">
        <v>189</v>
      </c>
      <c r="U234" s="10" t="s">
        <v>976</v>
      </c>
      <c r="V234" s="3" t="s">
        <v>116</v>
      </c>
      <c r="W234" s="1" t="s">
        <v>977</v>
      </c>
      <c r="X234" s="1" t="s">
        <v>70</v>
      </c>
      <c r="Y234" s="6" t="s">
        <v>76</v>
      </c>
      <c r="Z234" s="3" t="s">
        <v>173</v>
      </c>
      <c r="AB234" s="1">
        <v>3.0</v>
      </c>
      <c r="AI234" s="1" t="s">
        <v>425</v>
      </c>
      <c r="AJ234" s="1">
        <v>0.0</v>
      </c>
      <c r="AK234" s="1">
        <v>1950.0</v>
      </c>
      <c r="AL234" s="2" t="s">
        <v>100</v>
      </c>
      <c r="AM234" s="2" t="s">
        <v>72</v>
      </c>
      <c r="AN234" s="1" t="s">
        <v>238</v>
      </c>
      <c r="AO234" s="2" t="s">
        <v>72</v>
      </c>
      <c r="AQ234" s="2" t="s">
        <v>102</v>
      </c>
      <c r="AR234" s="2" t="s">
        <v>76</v>
      </c>
      <c r="AS234" s="1">
        <v>2841.0</v>
      </c>
      <c r="AT234" s="1">
        <v>2841.0</v>
      </c>
      <c r="AU234" s="1">
        <v>1165.0</v>
      </c>
      <c r="AV234" s="1">
        <v>40.0</v>
      </c>
      <c r="AW234" s="1">
        <v>166.0</v>
      </c>
      <c r="AX234" s="1">
        <v>6482.0</v>
      </c>
      <c r="AY234" s="1">
        <v>1094.0</v>
      </c>
      <c r="AZ234" s="1" t="s">
        <v>154</v>
      </c>
      <c r="BA234" s="1" t="s">
        <v>121</v>
      </c>
    </row>
    <row r="235">
      <c r="A235" s="1" t="s">
        <v>969</v>
      </c>
      <c r="B235" s="1" t="s">
        <v>53</v>
      </c>
      <c r="C235" s="1">
        <v>2015.0</v>
      </c>
      <c r="D235" s="1" t="s">
        <v>970</v>
      </c>
      <c r="E235" s="1" t="s">
        <v>971</v>
      </c>
      <c r="F235" s="1" t="s">
        <v>732</v>
      </c>
      <c r="G235" s="1" t="s">
        <v>972</v>
      </c>
      <c r="H235" s="1" t="s">
        <v>973</v>
      </c>
      <c r="I235" s="1">
        <v>54.0</v>
      </c>
      <c r="J235" s="1">
        <v>4.0</v>
      </c>
      <c r="K235" s="2" t="s">
        <v>974</v>
      </c>
      <c r="L235" s="2" t="s">
        <v>60</v>
      </c>
      <c r="M235" s="1" t="s">
        <v>982</v>
      </c>
      <c r="N235" s="1" t="s">
        <v>62</v>
      </c>
      <c r="O235" s="1" t="s">
        <v>112</v>
      </c>
      <c r="P235" s="1" t="s">
        <v>597</v>
      </c>
      <c r="Q235" s="1">
        <v>8.812</v>
      </c>
      <c r="R235" s="1">
        <v>-82.961</v>
      </c>
      <c r="S235" s="1" t="s">
        <v>148</v>
      </c>
      <c r="T235" s="2" t="s">
        <v>189</v>
      </c>
      <c r="U235" s="10" t="s">
        <v>976</v>
      </c>
      <c r="V235" s="3" t="s">
        <v>116</v>
      </c>
      <c r="W235" s="1" t="s">
        <v>977</v>
      </c>
      <c r="X235" s="1" t="s">
        <v>70</v>
      </c>
      <c r="Y235" s="6" t="s">
        <v>76</v>
      </c>
      <c r="Z235" s="3" t="s">
        <v>173</v>
      </c>
      <c r="AB235" s="1">
        <v>2.0</v>
      </c>
      <c r="AI235" s="1" t="s">
        <v>983</v>
      </c>
      <c r="AJ235" s="1">
        <v>0.0</v>
      </c>
      <c r="AK235" s="1">
        <v>1950.0</v>
      </c>
      <c r="AL235" s="2" t="s">
        <v>73</v>
      </c>
      <c r="AM235" s="2" t="s">
        <v>72</v>
      </c>
      <c r="AN235" s="1" t="s">
        <v>238</v>
      </c>
      <c r="AO235" s="2" t="s">
        <v>72</v>
      </c>
      <c r="AQ235" s="2" t="s">
        <v>102</v>
      </c>
      <c r="AR235" s="2" t="s">
        <v>76</v>
      </c>
      <c r="AS235" s="1">
        <v>2841.0</v>
      </c>
      <c r="AT235" s="1">
        <v>2841.0</v>
      </c>
      <c r="AU235" s="1">
        <v>1165.0</v>
      </c>
      <c r="AV235" s="1">
        <v>40.0</v>
      </c>
      <c r="AW235" s="1">
        <v>166.0</v>
      </c>
      <c r="AX235" s="1">
        <v>6482.0</v>
      </c>
      <c r="AY235" s="1">
        <v>1094.0</v>
      </c>
      <c r="AZ235" s="1" t="s">
        <v>154</v>
      </c>
      <c r="BA235" s="1" t="s">
        <v>121</v>
      </c>
    </row>
    <row r="236">
      <c r="A236" s="1" t="s">
        <v>969</v>
      </c>
      <c r="B236" s="1" t="s">
        <v>53</v>
      </c>
      <c r="C236" s="1">
        <v>2015.0</v>
      </c>
      <c r="D236" s="1" t="s">
        <v>970</v>
      </c>
      <c r="E236" s="1" t="s">
        <v>971</v>
      </c>
      <c r="F236" s="1" t="s">
        <v>732</v>
      </c>
      <c r="G236" s="1" t="s">
        <v>972</v>
      </c>
      <c r="H236" s="1" t="s">
        <v>973</v>
      </c>
      <c r="I236" s="1">
        <v>54.0</v>
      </c>
      <c r="J236" s="1">
        <v>4.0</v>
      </c>
      <c r="K236" s="2" t="s">
        <v>974</v>
      </c>
      <c r="L236" s="2" t="s">
        <v>60</v>
      </c>
      <c r="M236" s="1" t="s">
        <v>984</v>
      </c>
      <c r="N236" s="1" t="s">
        <v>62</v>
      </c>
      <c r="O236" s="1" t="s">
        <v>112</v>
      </c>
      <c r="P236" s="1" t="s">
        <v>597</v>
      </c>
      <c r="Q236" s="1">
        <v>8.812</v>
      </c>
      <c r="R236" s="1">
        <v>-82.961</v>
      </c>
      <c r="S236" s="1" t="s">
        <v>148</v>
      </c>
      <c r="T236" s="2" t="s">
        <v>189</v>
      </c>
      <c r="U236" s="10" t="s">
        <v>976</v>
      </c>
      <c r="V236" s="3" t="s">
        <v>116</v>
      </c>
      <c r="W236" s="1" t="s">
        <v>977</v>
      </c>
      <c r="X236" s="1" t="s">
        <v>70</v>
      </c>
      <c r="Y236" s="6" t="s">
        <v>76</v>
      </c>
      <c r="Z236" s="3" t="s">
        <v>173</v>
      </c>
      <c r="AB236" s="1">
        <v>3.0</v>
      </c>
      <c r="AI236" s="1" t="s">
        <v>985</v>
      </c>
      <c r="AJ236" s="1">
        <v>0.0</v>
      </c>
      <c r="AK236" s="1">
        <v>1950.0</v>
      </c>
      <c r="AL236" s="2" t="s">
        <v>73</v>
      </c>
      <c r="AM236" s="2" t="s">
        <v>72</v>
      </c>
      <c r="AN236" s="1" t="s">
        <v>238</v>
      </c>
      <c r="AO236" s="2" t="s">
        <v>72</v>
      </c>
      <c r="AQ236" s="2" t="s">
        <v>102</v>
      </c>
      <c r="AR236" s="2" t="s">
        <v>76</v>
      </c>
      <c r="AS236" s="1">
        <v>2841.0</v>
      </c>
      <c r="AT236" s="1">
        <v>2841.0</v>
      </c>
      <c r="AU236" s="1">
        <v>1165.0</v>
      </c>
      <c r="AV236" s="1">
        <v>40.0</v>
      </c>
      <c r="AW236" s="1">
        <v>166.0</v>
      </c>
      <c r="AX236" s="1">
        <v>6482.0</v>
      </c>
      <c r="AY236" s="1">
        <v>1094.0</v>
      </c>
      <c r="AZ236" s="1" t="s">
        <v>154</v>
      </c>
      <c r="BA236" s="1" t="s">
        <v>121</v>
      </c>
    </row>
    <row r="237">
      <c r="A237" s="1" t="s">
        <v>969</v>
      </c>
      <c r="B237" s="1" t="s">
        <v>53</v>
      </c>
      <c r="C237" s="1">
        <v>2015.0</v>
      </c>
      <c r="D237" s="1" t="s">
        <v>970</v>
      </c>
      <c r="E237" s="1" t="s">
        <v>971</v>
      </c>
      <c r="F237" s="1" t="s">
        <v>732</v>
      </c>
      <c r="G237" s="1" t="s">
        <v>972</v>
      </c>
      <c r="H237" s="1" t="s">
        <v>973</v>
      </c>
      <c r="I237" s="1">
        <v>54.0</v>
      </c>
      <c r="J237" s="1">
        <v>4.0</v>
      </c>
      <c r="K237" s="2" t="s">
        <v>974</v>
      </c>
      <c r="L237" s="2" t="s">
        <v>60</v>
      </c>
      <c r="M237" s="1" t="s">
        <v>986</v>
      </c>
      <c r="N237" s="1" t="s">
        <v>62</v>
      </c>
      <c r="O237" s="1" t="s">
        <v>112</v>
      </c>
      <c r="P237" s="1" t="s">
        <v>597</v>
      </c>
      <c r="Q237" s="1">
        <v>8.812</v>
      </c>
      <c r="R237" s="1">
        <v>-82.961</v>
      </c>
      <c r="S237" s="1" t="s">
        <v>148</v>
      </c>
      <c r="T237" s="2" t="s">
        <v>135</v>
      </c>
      <c r="U237" s="10" t="s">
        <v>976</v>
      </c>
      <c r="V237" s="3" t="s">
        <v>116</v>
      </c>
      <c r="W237" s="1" t="s">
        <v>987</v>
      </c>
      <c r="X237" s="2" t="s">
        <v>99</v>
      </c>
      <c r="Y237" s="6" t="s">
        <v>76</v>
      </c>
      <c r="Z237" s="3" t="s">
        <v>173</v>
      </c>
      <c r="AB237" s="1">
        <v>3.0</v>
      </c>
      <c r="AI237" s="1" t="s">
        <v>978</v>
      </c>
      <c r="AJ237" s="1">
        <v>0.0</v>
      </c>
      <c r="AK237" s="1">
        <v>1950.0</v>
      </c>
      <c r="AL237" s="2" t="s">
        <v>100</v>
      </c>
      <c r="AM237" s="2" t="s">
        <v>72</v>
      </c>
      <c r="AN237" s="1" t="s">
        <v>238</v>
      </c>
      <c r="AO237" s="2" t="s">
        <v>72</v>
      </c>
      <c r="AQ237" s="2" t="s">
        <v>102</v>
      </c>
      <c r="AR237" s="2" t="s">
        <v>76</v>
      </c>
      <c r="AS237" s="1">
        <v>2841.0</v>
      </c>
      <c r="AT237" s="1">
        <v>2841.0</v>
      </c>
      <c r="AU237" s="1">
        <v>1165.0</v>
      </c>
      <c r="AV237" s="1">
        <v>40.0</v>
      </c>
      <c r="AW237" s="1">
        <v>166.0</v>
      </c>
      <c r="AX237" s="1">
        <v>6482.0</v>
      </c>
      <c r="AY237" s="1">
        <v>1094.0</v>
      </c>
      <c r="AZ237" s="1" t="s">
        <v>154</v>
      </c>
      <c r="BA237" s="1" t="s">
        <v>121</v>
      </c>
    </row>
    <row r="238">
      <c r="A238" s="1" t="s">
        <v>969</v>
      </c>
      <c r="B238" s="1" t="s">
        <v>53</v>
      </c>
      <c r="C238" s="1">
        <v>2015.0</v>
      </c>
      <c r="D238" s="1" t="s">
        <v>970</v>
      </c>
      <c r="E238" s="1" t="s">
        <v>971</v>
      </c>
      <c r="F238" s="1" t="s">
        <v>732</v>
      </c>
      <c r="G238" s="1" t="s">
        <v>972</v>
      </c>
      <c r="H238" s="1" t="s">
        <v>973</v>
      </c>
      <c r="I238" s="1">
        <v>54.0</v>
      </c>
      <c r="J238" s="1">
        <v>4.0</v>
      </c>
      <c r="K238" s="2" t="s">
        <v>974</v>
      </c>
      <c r="L238" s="2" t="s">
        <v>60</v>
      </c>
      <c r="M238" s="1" t="s">
        <v>988</v>
      </c>
      <c r="N238" s="1" t="s">
        <v>62</v>
      </c>
      <c r="O238" s="1" t="s">
        <v>112</v>
      </c>
      <c r="P238" s="1" t="s">
        <v>597</v>
      </c>
      <c r="Q238" s="1">
        <v>8.812</v>
      </c>
      <c r="R238" s="1">
        <v>-82.961</v>
      </c>
      <c r="S238" s="1" t="s">
        <v>148</v>
      </c>
      <c r="T238" s="2" t="s">
        <v>135</v>
      </c>
      <c r="U238" s="10" t="s">
        <v>976</v>
      </c>
      <c r="V238" s="3" t="s">
        <v>116</v>
      </c>
      <c r="W238" s="1" t="s">
        <v>987</v>
      </c>
      <c r="X238" s="2" t="s">
        <v>99</v>
      </c>
      <c r="Y238" s="6" t="s">
        <v>76</v>
      </c>
      <c r="Z238" s="3" t="s">
        <v>173</v>
      </c>
      <c r="AB238" s="1">
        <v>2.0</v>
      </c>
      <c r="AI238" s="1" t="s">
        <v>980</v>
      </c>
      <c r="AJ238" s="1">
        <v>0.0</v>
      </c>
      <c r="AK238" s="1">
        <v>1950.0</v>
      </c>
      <c r="AL238" s="2" t="s">
        <v>100</v>
      </c>
      <c r="AM238" s="2" t="s">
        <v>72</v>
      </c>
      <c r="AN238" s="1" t="s">
        <v>238</v>
      </c>
      <c r="AO238" s="2" t="s">
        <v>72</v>
      </c>
      <c r="AQ238" s="2" t="s">
        <v>102</v>
      </c>
      <c r="AR238" s="2" t="s">
        <v>76</v>
      </c>
      <c r="AS238" s="1">
        <v>2841.0</v>
      </c>
      <c r="AT238" s="1">
        <v>2841.0</v>
      </c>
      <c r="AU238" s="1">
        <v>1165.0</v>
      </c>
      <c r="AV238" s="1">
        <v>40.0</v>
      </c>
      <c r="AW238" s="1">
        <v>166.0</v>
      </c>
      <c r="AX238" s="1">
        <v>6482.0</v>
      </c>
      <c r="AY238" s="1">
        <v>1094.0</v>
      </c>
      <c r="AZ238" s="1" t="s">
        <v>154</v>
      </c>
      <c r="BA238" s="1" t="s">
        <v>121</v>
      </c>
    </row>
    <row r="239">
      <c r="A239" s="1" t="s">
        <v>969</v>
      </c>
      <c r="B239" s="1" t="s">
        <v>53</v>
      </c>
      <c r="C239" s="1">
        <v>2015.0</v>
      </c>
      <c r="D239" s="1" t="s">
        <v>970</v>
      </c>
      <c r="E239" s="1" t="s">
        <v>971</v>
      </c>
      <c r="F239" s="1" t="s">
        <v>732</v>
      </c>
      <c r="G239" s="1" t="s">
        <v>972</v>
      </c>
      <c r="H239" s="1" t="s">
        <v>973</v>
      </c>
      <c r="I239" s="1">
        <v>54.0</v>
      </c>
      <c r="J239" s="1">
        <v>4.0</v>
      </c>
      <c r="K239" s="2" t="s">
        <v>974</v>
      </c>
      <c r="L239" s="2" t="s">
        <v>60</v>
      </c>
      <c r="M239" s="1" t="s">
        <v>989</v>
      </c>
      <c r="N239" s="1" t="s">
        <v>62</v>
      </c>
      <c r="O239" s="1" t="s">
        <v>112</v>
      </c>
      <c r="P239" s="1" t="s">
        <v>597</v>
      </c>
      <c r="Q239" s="1">
        <v>8.812</v>
      </c>
      <c r="R239" s="1">
        <v>-82.961</v>
      </c>
      <c r="S239" s="1" t="s">
        <v>148</v>
      </c>
      <c r="T239" s="2" t="s">
        <v>135</v>
      </c>
      <c r="U239" s="10" t="s">
        <v>976</v>
      </c>
      <c r="V239" s="3" t="s">
        <v>116</v>
      </c>
      <c r="W239" s="1" t="s">
        <v>987</v>
      </c>
      <c r="X239" s="2" t="s">
        <v>99</v>
      </c>
      <c r="Y239" s="6" t="s">
        <v>76</v>
      </c>
      <c r="Z239" s="3" t="s">
        <v>173</v>
      </c>
      <c r="AB239" s="1">
        <v>3.0</v>
      </c>
      <c r="AI239" s="1" t="s">
        <v>425</v>
      </c>
      <c r="AJ239" s="1">
        <v>0.0</v>
      </c>
      <c r="AK239" s="1">
        <v>1950.0</v>
      </c>
      <c r="AL239" s="2" t="s">
        <v>73</v>
      </c>
      <c r="AM239" s="2" t="s">
        <v>72</v>
      </c>
      <c r="AN239" s="1" t="s">
        <v>238</v>
      </c>
      <c r="AO239" s="2" t="s">
        <v>72</v>
      </c>
      <c r="AQ239" s="2" t="s">
        <v>102</v>
      </c>
      <c r="AR239" s="2" t="s">
        <v>76</v>
      </c>
      <c r="AS239" s="1">
        <v>2841.0</v>
      </c>
      <c r="AT239" s="1">
        <v>2841.0</v>
      </c>
      <c r="AU239" s="1">
        <v>1165.0</v>
      </c>
      <c r="AV239" s="1">
        <v>40.0</v>
      </c>
      <c r="AW239" s="1">
        <v>166.0</v>
      </c>
      <c r="AX239" s="1">
        <v>6482.0</v>
      </c>
      <c r="AY239" s="1">
        <v>1094.0</v>
      </c>
      <c r="AZ239" s="1" t="s">
        <v>154</v>
      </c>
      <c r="BA239" s="1" t="s">
        <v>121</v>
      </c>
    </row>
    <row r="240">
      <c r="A240" s="1" t="s">
        <v>969</v>
      </c>
      <c r="B240" s="1" t="s">
        <v>53</v>
      </c>
      <c r="C240" s="1">
        <v>2015.0</v>
      </c>
      <c r="D240" s="1" t="s">
        <v>970</v>
      </c>
      <c r="E240" s="1" t="s">
        <v>971</v>
      </c>
      <c r="F240" s="1" t="s">
        <v>732</v>
      </c>
      <c r="G240" s="1" t="s">
        <v>972</v>
      </c>
      <c r="H240" s="1" t="s">
        <v>973</v>
      </c>
      <c r="I240" s="1">
        <v>54.0</v>
      </c>
      <c r="J240" s="1">
        <v>4.0</v>
      </c>
      <c r="K240" s="2" t="s">
        <v>974</v>
      </c>
      <c r="L240" s="2" t="s">
        <v>60</v>
      </c>
      <c r="M240" s="1" t="s">
        <v>990</v>
      </c>
      <c r="N240" s="1" t="s">
        <v>62</v>
      </c>
      <c r="O240" s="1" t="s">
        <v>112</v>
      </c>
      <c r="P240" s="1" t="s">
        <v>597</v>
      </c>
      <c r="Q240" s="1">
        <v>8.812</v>
      </c>
      <c r="R240" s="1">
        <v>-82.961</v>
      </c>
      <c r="S240" s="1" t="s">
        <v>148</v>
      </c>
      <c r="T240" s="2" t="s">
        <v>135</v>
      </c>
      <c r="U240" s="10" t="s">
        <v>976</v>
      </c>
      <c r="V240" s="3" t="s">
        <v>116</v>
      </c>
      <c r="W240" s="1" t="s">
        <v>987</v>
      </c>
      <c r="X240" s="2" t="s">
        <v>99</v>
      </c>
      <c r="Y240" s="6" t="s">
        <v>76</v>
      </c>
      <c r="Z240" s="3" t="s">
        <v>173</v>
      </c>
      <c r="AB240" s="1">
        <v>2.0</v>
      </c>
      <c r="AI240" s="1" t="s">
        <v>983</v>
      </c>
      <c r="AJ240" s="1">
        <v>0.0</v>
      </c>
      <c r="AK240" s="1">
        <v>1950.0</v>
      </c>
      <c r="AL240" s="2" t="s">
        <v>73</v>
      </c>
      <c r="AM240" s="2" t="s">
        <v>72</v>
      </c>
      <c r="AN240" s="1" t="s">
        <v>238</v>
      </c>
      <c r="AO240" s="2" t="s">
        <v>72</v>
      </c>
      <c r="AQ240" s="2" t="s">
        <v>102</v>
      </c>
      <c r="AR240" s="2" t="s">
        <v>76</v>
      </c>
      <c r="AS240" s="1">
        <v>2841.0</v>
      </c>
      <c r="AT240" s="1">
        <v>2841.0</v>
      </c>
      <c r="AU240" s="1">
        <v>1165.0</v>
      </c>
      <c r="AV240" s="1">
        <v>40.0</v>
      </c>
      <c r="AW240" s="1">
        <v>166.0</v>
      </c>
      <c r="AX240" s="1">
        <v>6482.0</v>
      </c>
      <c r="AY240" s="1">
        <v>1094.0</v>
      </c>
      <c r="AZ240" s="1" t="s">
        <v>154</v>
      </c>
      <c r="BA240" s="1" t="s">
        <v>121</v>
      </c>
    </row>
    <row r="241">
      <c r="A241" s="1" t="s">
        <v>969</v>
      </c>
      <c r="B241" s="1" t="s">
        <v>53</v>
      </c>
      <c r="C241" s="1">
        <v>2015.0</v>
      </c>
      <c r="D241" s="1" t="s">
        <v>970</v>
      </c>
      <c r="E241" s="1" t="s">
        <v>971</v>
      </c>
      <c r="F241" s="1" t="s">
        <v>732</v>
      </c>
      <c r="G241" s="1" t="s">
        <v>972</v>
      </c>
      <c r="H241" s="1" t="s">
        <v>973</v>
      </c>
      <c r="I241" s="1">
        <v>54.0</v>
      </c>
      <c r="J241" s="1">
        <v>4.0</v>
      </c>
      <c r="K241" s="2" t="s">
        <v>974</v>
      </c>
      <c r="L241" s="2" t="s">
        <v>60</v>
      </c>
      <c r="M241" s="1" t="s">
        <v>991</v>
      </c>
      <c r="N241" s="1" t="s">
        <v>62</v>
      </c>
      <c r="O241" s="1" t="s">
        <v>112</v>
      </c>
      <c r="P241" s="1" t="s">
        <v>597</v>
      </c>
      <c r="Q241" s="1">
        <v>8.812</v>
      </c>
      <c r="R241" s="1">
        <v>-82.961</v>
      </c>
      <c r="S241" s="1" t="s">
        <v>148</v>
      </c>
      <c r="T241" s="2" t="s">
        <v>135</v>
      </c>
      <c r="U241" s="10" t="s">
        <v>976</v>
      </c>
      <c r="V241" s="3" t="s">
        <v>116</v>
      </c>
      <c r="W241" s="1" t="s">
        <v>987</v>
      </c>
      <c r="X241" s="2" t="s">
        <v>99</v>
      </c>
      <c r="Y241" s="6" t="s">
        <v>76</v>
      </c>
      <c r="Z241" s="3" t="s">
        <v>173</v>
      </c>
      <c r="AB241" s="1">
        <v>3.0</v>
      </c>
      <c r="AI241" s="1" t="s">
        <v>985</v>
      </c>
      <c r="AJ241" s="1">
        <v>0.0</v>
      </c>
      <c r="AK241" s="1">
        <v>1950.0</v>
      </c>
      <c r="AL241" s="2" t="s">
        <v>100</v>
      </c>
      <c r="AM241" s="2" t="s">
        <v>72</v>
      </c>
      <c r="AN241" s="1" t="s">
        <v>238</v>
      </c>
      <c r="AO241" s="2" t="s">
        <v>72</v>
      </c>
      <c r="AQ241" s="2" t="s">
        <v>102</v>
      </c>
      <c r="AR241" s="2" t="s">
        <v>76</v>
      </c>
      <c r="AS241" s="1">
        <v>2841.0</v>
      </c>
      <c r="AT241" s="1">
        <v>2841.0</v>
      </c>
      <c r="AU241" s="1">
        <v>1165.0</v>
      </c>
      <c r="AV241" s="1">
        <v>40.0</v>
      </c>
      <c r="AW241" s="1">
        <v>166.0</v>
      </c>
      <c r="AX241" s="1">
        <v>6482.0</v>
      </c>
      <c r="AY241" s="1">
        <v>1094.0</v>
      </c>
      <c r="AZ241" s="1" t="s">
        <v>154</v>
      </c>
      <c r="BA241" s="1" t="s">
        <v>121</v>
      </c>
    </row>
    <row r="242">
      <c r="A242" s="1" t="s">
        <v>969</v>
      </c>
      <c r="B242" s="1" t="s">
        <v>53</v>
      </c>
      <c r="C242" s="1">
        <v>2015.0</v>
      </c>
      <c r="D242" s="1" t="s">
        <v>970</v>
      </c>
      <c r="E242" s="1" t="s">
        <v>971</v>
      </c>
      <c r="F242" s="1" t="s">
        <v>732</v>
      </c>
      <c r="G242" s="1" t="s">
        <v>972</v>
      </c>
      <c r="H242" s="1" t="s">
        <v>973</v>
      </c>
      <c r="I242" s="1">
        <v>54.0</v>
      </c>
      <c r="J242" s="1">
        <v>4.0</v>
      </c>
      <c r="K242" s="2" t="s">
        <v>974</v>
      </c>
      <c r="L242" s="2" t="s">
        <v>60</v>
      </c>
      <c r="M242" s="1" t="s">
        <v>992</v>
      </c>
      <c r="N242" s="1" t="s">
        <v>62</v>
      </c>
      <c r="O242" s="1" t="s">
        <v>112</v>
      </c>
      <c r="P242" s="1" t="s">
        <v>597</v>
      </c>
      <c r="Q242" s="1">
        <v>8.812</v>
      </c>
      <c r="R242" s="1">
        <v>-82.961</v>
      </c>
      <c r="S242" s="1" t="s">
        <v>148</v>
      </c>
      <c r="T242" s="2" t="s">
        <v>194</v>
      </c>
      <c r="U242" s="10" t="s">
        <v>976</v>
      </c>
      <c r="V242" s="3" t="s">
        <v>116</v>
      </c>
      <c r="W242" s="1" t="s">
        <v>977</v>
      </c>
      <c r="X242" s="1" t="s">
        <v>70</v>
      </c>
      <c r="Y242" s="6" t="s">
        <v>76</v>
      </c>
      <c r="Z242" s="3" t="s">
        <v>173</v>
      </c>
      <c r="AB242" s="1">
        <v>3.0</v>
      </c>
      <c r="AI242" s="1" t="s">
        <v>978</v>
      </c>
      <c r="AJ242" s="1">
        <v>0.0</v>
      </c>
      <c r="AK242" s="1">
        <v>1950.0</v>
      </c>
      <c r="AL242" s="2" t="s">
        <v>100</v>
      </c>
      <c r="AM242" s="2" t="s">
        <v>72</v>
      </c>
      <c r="AN242" s="1" t="s">
        <v>238</v>
      </c>
      <c r="AO242" s="2" t="s">
        <v>72</v>
      </c>
      <c r="AQ242" s="2" t="s">
        <v>102</v>
      </c>
      <c r="AR242" s="2" t="s">
        <v>76</v>
      </c>
      <c r="AS242" s="1">
        <v>2841.0</v>
      </c>
      <c r="AT242" s="1">
        <v>2841.0</v>
      </c>
      <c r="AU242" s="1">
        <v>1165.0</v>
      </c>
      <c r="AV242" s="1">
        <v>40.0</v>
      </c>
      <c r="AW242" s="1">
        <v>166.0</v>
      </c>
      <c r="AX242" s="1">
        <v>6482.0</v>
      </c>
      <c r="AY242" s="1">
        <v>1094.0</v>
      </c>
      <c r="AZ242" s="1" t="s">
        <v>154</v>
      </c>
      <c r="BA242" s="1" t="s">
        <v>121</v>
      </c>
    </row>
    <row r="243">
      <c r="A243" s="1" t="s">
        <v>993</v>
      </c>
      <c r="B243" s="1" t="s">
        <v>53</v>
      </c>
      <c r="C243" s="1">
        <v>2007.0</v>
      </c>
      <c r="D243" s="1" t="s">
        <v>994</v>
      </c>
      <c r="E243" s="1" t="s">
        <v>995</v>
      </c>
      <c r="F243" s="1" t="s">
        <v>631</v>
      </c>
      <c r="G243" s="1" t="s">
        <v>996</v>
      </c>
      <c r="H243" s="1" t="s">
        <v>997</v>
      </c>
      <c r="I243" s="1">
        <v>18.0</v>
      </c>
      <c r="J243" s="1">
        <v>2.0</v>
      </c>
      <c r="K243" s="2" t="s">
        <v>998</v>
      </c>
      <c r="L243" s="2" t="s">
        <v>60</v>
      </c>
      <c r="M243" s="1" t="s">
        <v>999</v>
      </c>
      <c r="N243" s="1" t="s">
        <v>62</v>
      </c>
      <c r="O243" s="1" t="s">
        <v>167</v>
      </c>
      <c r="P243" s="1" t="s">
        <v>1000</v>
      </c>
      <c r="Q243" s="1">
        <v>17.669071</v>
      </c>
      <c r="R243" s="1">
        <v>-89.792832</v>
      </c>
      <c r="S243" s="1" t="s">
        <v>148</v>
      </c>
      <c r="T243" s="2" t="s">
        <v>275</v>
      </c>
      <c r="U243" s="1" t="s">
        <v>72</v>
      </c>
      <c r="V243" s="3" t="s">
        <v>277</v>
      </c>
      <c r="W243" s="1" t="s">
        <v>278</v>
      </c>
      <c r="X243" s="1" t="s">
        <v>279</v>
      </c>
      <c r="Y243" s="6" t="s">
        <v>76</v>
      </c>
      <c r="Z243" s="3" t="s">
        <v>76</v>
      </c>
      <c r="AB243" s="1">
        <v>2.0</v>
      </c>
      <c r="AI243" s="2" t="s">
        <v>72</v>
      </c>
      <c r="AJ243" s="1">
        <v>1690.0</v>
      </c>
      <c r="AK243" s="1">
        <v>1988.0</v>
      </c>
      <c r="AL243" s="2" t="s">
        <v>100</v>
      </c>
      <c r="AM243" s="2" t="s">
        <v>76</v>
      </c>
      <c r="AN243" s="1" t="s">
        <v>238</v>
      </c>
      <c r="AO243" s="2" t="s">
        <v>76</v>
      </c>
      <c r="AQ243" s="2" t="s">
        <v>75</v>
      </c>
      <c r="AR243" s="2" t="s">
        <v>76</v>
      </c>
      <c r="AS243" s="1">
        <v>1436.0</v>
      </c>
      <c r="AT243" s="1">
        <v>1436.0</v>
      </c>
      <c r="AU243" s="1">
        <v>608.0</v>
      </c>
      <c r="AV243" s="1">
        <v>34.0</v>
      </c>
      <c r="AW243" s="1">
        <v>112.0</v>
      </c>
      <c r="AX243" s="1">
        <v>5881.0</v>
      </c>
      <c r="AY243" s="1">
        <v>298.0</v>
      </c>
      <c r="AZ243" s="1" t="s">
        <v>133</v>
      </c>
      <c r="BA243" s="1" t="s">
        <v>121</v>
      </c>
    </row>
    <row r="244">
      <c r="A244" s="1" t="s">
        <v>969</v>
      </c>
      <c r="B244" s="1" t="s">
        <v>53</v>
      </c>
      <c r="C244" s="1">
        <v>2015.0</v>
      </c>
      <c r="D244" s="1" t="s">
        <v>970</v>
      </c>
      <c r="E244" s="1" t="s">
        <v>971</v>
      </c>
      <c r="F244" s="1" t="s">
        <v>732</v>
      </c>
      <c r="G244" s="1" t="s">
        <v>972</v>
      </c>
      <c r="H244" s="1" t="s">
        <v>973</v>
      </c>
      <c r="I244" s="1">
        <v>54.0</v>
      </c>
      <c r="J244" s="1">
        <v>4.0</v>
      </c>
      <c r="K244" s="2" t="s">
        <v>974</v>
      </c>
      <c r="L244" s="2" t="s">
        <v>60</v>
      </c>
      <c r="M244" s="1" t="s">
        <v>1001</v>
      </c>
      <c r="N244" s="1" t="s">
        <v>62</v>
      </c>
      <c r="O244" s="1" t="s">
        <v>112</v>
      </c>
      <c r="P244" s="1" t="s">
        <v>597</v>
      </c>
      <c r="Q244" s="1">
        <v>8.812</v>
      </c>
      <c r="R244" s="1">
        <v>-82.961</v>
      </c>
      <c r="S244" s="1" t="s">
        <v>148</v>
      </c>
      <c r="T244" s="2" t="s">
        <v>194</v>
      </c>
      <c r="U244" s="10" t="s">
        <v>976</v>
      </c>
      <c r="V244" s="3" t="s">
        <v>116</v>
      </c>
      <c r="W244" s="1" t="s">
        <v>977</v>
      </c>
      <c r="X244" s="1" t="s">
        <v>70</v>
      </c>
      <c r="Y244" s="6" t="s">
        <v>76</v>
      </c>
      <c r="Z244" s="3" t="s">
        <v>173</v>
      </c>
      <c r="AB244" s="1">
        <v>2.0</v>
      </c>
      <c r="AI244" s="1" t="s">
        <v>980</v>
      </c>
      <c r="AJ244" s="1">
        <v>0.0</v>
      </c>
      <c r="AK244" s="1">
        <v>1950.0</v>
      </c>
      <c r="AL244" s="2" t="s">
        <v>73</v>
      </c>
      <c r="AM244" s="2" t="s">
        <v>72</v>
      </c>
      <c r="AN244" s="1" t="s">
        <v>238</v>
      </c>
      <c r="AO244" s="2" t="s">
        <v>72</v>
      </c>
      <c r="AQ244" s="2" t="s">
        <v>102</v>
      </c>
      <c r="AR244" s="2" t="s">
        <v>76</v>
      </c>
      <c r="AS244" s="1">
        <v>2841.0</v>
      </c>
      <c r="AT244" s="1">
        <v>2841.0</v>
      </c>
      <c r="AU244" s="1">
        <v>1165.0</v>
      </c>
      <c r="AV244" s="1">
        <v>40.0</v>
      </c>
      <c r="AW244" s="1">
        <v>166.0</v>
      </c>
      <c r="AX244" s="1">
        <v>6482.0</v>
      </c>
      <c r="AY244" s="1">
        <v>1094.0</v>
      </c>
      <c r="AZ244" s="1" t="s">
        <v>154</v>
      </c>
      <c r="BA244" s="1" t="s">
        <v>121</v>
      </c>
    </row>
    <row r="245">
      <c r="A245" s="1" t="s">
        <v>969</v>
      </c>
      <c r="B245" s="1" t="s">
        <v>53</v>
      </c>
      <c r="C245" s="1">
        <v>2015.0</v>
      </c>
      <c r="D245" s="1" t="s">
        <v>970</v>
      </c>
      <c r="E245" s="1" t="s">
        <v>971</v>
      </c>
      <c r="F245" s="1" t="s">
        <v>732</v>
      </c>
      <c r="G245" s="1" t="s">
        <v>972</v>
      </c>
      <c r="H245" s="1" t="s">
        <v>973</v>
      </c>
      <c r="I245" s="1">
        <v>54.0</v>
      </c>
      <c r="J245" s="1">
        <v>4.0</v>
      </c>
      <c r="K245" s="2" t="s">
        <v>974</v>
      </c>
      <c r="L245" s="2" t="s">
        <v>60</v>
      </c>
      <c r="M245" s="1" t="s">
        <v>1002</v>
      </c>
      <c r="N245" s="1" t="s">
        <v>62</v>
      </c>
      <c r="O245" s="1" t="s">
        <v>112</v>
      </c>
      <c r="P245" s="1" t="s">
        <v>597</v>
      </c>
      <c r="Q245" s="1">
        <v>8.812</v>
      </c>
      <c r="R245" s="1">
        <v>-82.961</v>
      </c>
      <c r="S245" s="1" t="s">
        <v>148</v>
      </c>
      <c r="T245" s="2" t="s">
        <v>194</v>
      </c>
      <c r="U245" s="10" t="s">
        <v>976</v>
      </c>
      <c r="V245" s="3" t="s">
        <v>116</v>
      </c>
      <c r="W245" s="1" t="s">
        <v>977</v>
      </c>
      <c r="X245" s="1" t="s">
        <v>70</v>
      </c>
      <c r="Y245" s="6" t="s">
        <v>76</v>
      </c>
      <c r="Z245" s="3" t="s">
        <v>173</v>
      </c>
      <c r="AB245" s="1">
        <v>3.0</v>
      </c>
      <c r="AI245" s="1" t="s">
        <v>425</v>
      </c>
      <c r="AJ245" s="1">
        <v>0.0</v>
      </c>
      <c r="AK245" s="1">
        <v>1950.0</v>
      </c>
      <c r="AL245" s="2" t="s">
        <v>73</v>
      </c>
      <c r="AM245" s="2" t="s">
        <v>72</v>
      </c>
      <c r="AN245" s="1" t="s">
        <v>238</v>
      </c>
      <c r="AO245" s="2" t="s">
        <v>72</v>
      </c>
      <c r="AQ245" s="2" t="s">
        <v>102</v>
      </c>
      <c r="AR245" s="2" t="s">
        <v>76</v>
      </c>
      <c r="AS245" s="1">
        <v>2841.0</v>
      </c>
      <c r="AT245" s="1">
        <v>2841.0</v>
      </c>
      <c r="AU245" s="1">
        <v>1165.0</v>
      </c>
      <c r="AV245" s="1">
        <v>40.0</v>
      </c>
      <c r="AW245" s="1">
        <v>166.0</v>
      </c>
      <c r="AX245" s="1">
        <v>6482.0</v>
      </c>
      <c r="AY245" s="1">
        <v>1094.0</v>
      </c>
      <c r="AZ245" s="1" t="s">
        <v>154</v>
      </c>
      <c r="BA245" s="1" t="s">
        <v>121</v>
      </c>
    </row>
    <row r="246">
      <c r="A246" s="1" t="s">
        <v>969</v>
      </c>
      <c r="B246" s="1" t="s">
        <v>53</v>
      </c>
      <c r="C246" s="1">
        <v>2015.0</v>
      </c>
      <c r="D246" s="1" t="s">
        <v>970</v>
      </c>
      <c r="E246" s="1" t="s">
        <v>971</v>
      </c>
      <c r="F246" s="1" t="s">
        <v>732</v>
      </c>
      <c r="G246" s="1" t="s">
        <v>972</v>
      </c>
      <c r="H246" s="1" t="s">
        <v>973</v>
      </c>
      <c r="I246" s="1">
        <v>54.0</v>
      </c>
      <c r="J246" s="1">
        <v>4.0</v>
      </c>
      <c r="K246" s="2" t="s">
        <v>974</v>
      </c>
      <c r="L246" s="2" t="s">
        <v>60</v>
      </c>
      <c r="M246" s="1" t="s">
        <v>1003</v>
      </c>
      <c r="N246" s="1" t="s">
        <v>62</v>
      </c>
      <c r="O246" s="1" t="s">
        <v>112</v>
      </c>
      <c r="P246" s="1" t="s">
        <v>597</v>
      </c>
      <c r="Q246" s="1">
        <v>8.812</v>
      </c>
      <c r="R246" s="1">
        <v>-82.961</v>
      </c>
      <c r="S246" s="1" t="s">
        <v>148</v>
      </c>
      <c r="T246" s="2" t="s">
        <v>194</v>
      </c>
      <c r="U246" s="10" t="s">
        <v>976</v>
      </c>
      <c r="V246" s="3" t="s">
        <v>116</v>
      </c>
      <c r="W246" s="1" t="s">
        <v>977</v>
      </c>
      <c r="X246" s="1" t="s">
        <v>70</v>
      </c>
      <c r="Y246" s="6" t="s">
        <v>76</v>
      </c>
      <c r="Z246" s="3" t="s">
        <v>173</v>
      </c>
      <c r="AB246" s="1">
        <v>2.0</v>
      </c>
      <c r="AI246" s="1" t="s">
        <v>983</v>
      </c>
      <c r="AJ246" s="1">
        <v>0.0</v>
      </c>
      <c r="AK246" s="1">
        <v>1950.0</v>
      </c>
      <c r="AL246" s="2" t="s">
        <v>100</v>
      </c>
      <c r="AM246" s="2" t="s">
        <v>72</v>
      </c>
      <c r="AN246" s="1" t="s">
        <v>238</v>
      </c>
      <c r="AO246" s="2" t="s">
        <v>72</v>
      </c>
      <c r="AQ246" s="2" t="s">
        <v>102</v>
      </c>
      <c r="AR246" s="2" t="s">
        <v>76</v>
      </c>
      <c r="AS246" s="1">
        <v>2841.0</v>
      </c>
      <c r="AT246" s="1">
        <v>2841.0</v>
      </c>
      <c r="AU246" s="1">
        <v>1165.0</v>
      </c>
      <c r="AV246" s="1">
        <v>40.0</v>
      </c>
      <c r="AW246" s="1">
        <v>166.0</v>
      </c>
      <c r="AX246" s="1">
        <v>6482.0</v>
      </c>
      <c r="AY246" s="1">
        <v>1094.0</v>
      </c>
      <c r="AZ246" s="1" t="s">
        <v>154</v>
      </c>
      <c r="BA246" s="1" t="s">
        <v>121</v>
      </c>
    </row>
    <row r="247">
      <c r="A247" s="1" t="s">
        <v>969</v>
      </c>
      <c r="B247" s="1" t="s">
        <v>53</v>
      </c>
      <c r="C247" s="1">
        <v>2015.0</v>
      </c>
      <c r="D247" s="1" t="s">
        <v>970</v>
      </c>
      <c r="E247" s="1" t="s">
        <v>971</v>
      </c>
      <c r="F247" s="1" t="s">
        <v>732</v>
      </c>
      <c r="G247" s="1" t="s">
        <v>972</v>
      </c>
      <c r="H247" s="1" t="s">
        <v>973</v>
      </c>
      <c r="I247" s="1">
        <v>54.0</v>
      </c>
      <c r="J247" s="1">
        <v>4.0</v>
      </c>
      <c r="K247" s="2" t="s">
        <v>974</v>
      </c>
      <c r="L247" s="2" t="s">
        <v>60</v>
      </c>
      <c r="M247" s="1" t="s">
        <v>1004</v>
      </c>
      <c r="N247" s="1" t="s">
        <v>62</v>
      </c>
      <c r="O247" s="1" t="s">
        <v>112</v>
      </c>
      <c r="P247" s="1" t="s">
        <v>597</v>
      </c>
      <c r="Q247" s="1">
        <v>8.812</v>
      </c>
      <c r="R247" s="1">
        <v>-82.961</v>
      </c>
      <c r="S247" s="1" t="s">
        <v>148</v>
      </c>
      <c r="T247" s="2" t="s">
        <v>194</v>
      </c>
      <c r="U247" s="10" t="s">
        <v>976</v>
      </c>
      <c r="V247" s="3" t="s">
        <v>116</v>
      </c>
      <c r="W247" s="1" t="s">
        <v>977</v>
      </c>
      <c r="X247" s="1" t="s">
        <v>70</v>
      </c>
      <c r="Y247" s="6" t="s">
        <v>76</v>
      </c>
      <c r="Z247" s="3" t="s">
        <v>173</v>
      </c>
      <c r="AB247" s="1">
        <v>3.0</v>
      </c>
      <c r="AI247" s="1" t="s">
        <v>985</v>
      </c>
      <c r="AJ247" s="1">
        <v>0.0</v>
      </c>
      <c r="AK247" s="1">
        <v>1950.0</v>
      </c>
      <c r="AL247" s="2" t="s">
        <v>100</v>
      </c>
      <c r="AM247" s="2" t="s">
        <v>72</v>
      </c>
      <c r="AN247" s="1" t="s">
        <v>238</v>
      </c>
      <c r="AO247" s="2" t="s">
        <v>72</v>
      </c>
      <c r="AQ247" s="2" t="s">
        <v>102</v>
      </c>
      <c r="AR247" s="2" t="s">
        <v>76</v>
      </c>
      <c r="AS247" s="1">
        <v>2841.0</v>
      </c>
      <c r="AT247" s="1">
        <v>2841.0</v>
      </c>
      <c r="AU247" s="1">
        <v>1165.0</v>
      </c>
      <c r="AV247" s="1">
        <v>40.0</v>
      </c>
      <c r="AW247" s="1">
        <v>166.0</v>
      </c>
      <c r="AX247" s="1">
        <v>6482.0</v>
      </c>
      <c r="AY247" s="1">
        <v>1094.0</v>
      </c>
      <c r="AZ247" s="1" t="s">
        <v>154</v>
      </c>
      <c r="BA247" s="1" t="s">
        <v>121</v>
      </c>
    </row>
    <row r="248">
      <c r="A248" s="1" t="s">
        <v>969</v>
      </c>
      <c r="B248" s="1" t="s">
        <v>53</v>
      </c>
      <c r="C248" s="1">
        <v>2015.0</v>
      </c>
      <c r="D248" s="1" t="s">
        <v>970</v>
      </c>
      <c r="E248" s="1" t="s">
        <v>971</v>
      </c>
      <c r="F248" s="1" t="s">
        <v>732</v>
      </c>
      <c r="G248" s="1" t="s">
        <v>972</v>
      </c>
      <c r="H248" s="1" t="s">
        <v>973</v>
      </c>
      <c r="I248" s="1">
        <v>54.0</v>
      </c>
      <c r="J248" s="1">
        <v>4.0</v>
      </c>
      <c r="K248" s="2" t="s">
        <v>974</v>
      </c>
      <c r="L248" s="2" t="s">
        <v>60</v>
      </c>
      <c r="M248" s="1" t="s">
        <v>1005</v>
      </c>
      <c r="N248" s="1" t="s">
        <v>62</v>
      </c>
      <c r="O248" s="1" t="s">
        <v>112</v>
      </c>
      <c r="P248" s="1" t="s">
        <v>597</v>
      </c>
      <c r="Q248" s="1">
        <v>8.812</v>
      </c>
      <c r="R248" s="1">
        <v>-82.961</v>
      </c>
      <c r="S248" s="1" t="s">
        <v>148</v>
      </c>
      <c r="T248" s="2" t="s">
        <v>388</v>
      </c>
      <c r="U248" s="10" t="s">
        <v>976</v>
      </c>
      <c r="V248" s="3" t="s">
        <v>116</v>
      </c>
      <c r="W248" s="1" t="s">
        <v>987</v>
      </c>
      <c r="X248" s="1" t="s">
        <v>256</v>
      </c>
      <c r="Y248" s="6" t="s">
        <v>76</v>
      </c>
      <c r="Z248" s="3" t="s">
        <v>173</v>
      </c>
      <c r="AB248" s="1">
        <v>3.0</v>
      </c>
      <c r="AI248" s="1" t="s">
        <v>978</v>
      </c>
      <c r="AJ248" s="1">
        <v>0.0</v>
      </c>
      <c r="AK248" s="1">
        <v>1950.0</v>
      </c>
      <c r="AL248" s="2" t="s">
        <v>73</v>
      </c>
      <c r="AM248" s="2" t="s">
        <v>72</v>
      </c>
      <c r="AN248" s="1" t="s">
        <v>238</v>
      </c>
      <c r="AO248" s="2" t="s">
        <v>72</v>
      </c>
      <c r="AQ248" s="2" t="s">
        <v>102</v>
      </c>
      <c r="AR248" s="2" t="s">
        <v>76</v>
      </c>
      <c r="AS248" s="1">
        <v>2841.0</v>
      </c>
      <c r="AT248" s="1">
        <v>2841.0</v>
      </c>
      <c r="AU248" s="1">
        <v>1165.0</v>
      </c>
      <c r="AV248" s="1">
        <v>40.0</v>
      </c>
      <c r="AW248" s="1">
        <v>166.0</v>
      </c>
      <c r="AX248" s="1">
        <v>6482.0</v>
      </c>
      <c r="AY248" s="1">
        <v>1094.0</v>
      </c>
      <c r="AZ248" s="1" t="s">
        <v>154</v>
      </c>
      <c r="BA248" s="1" t="s">
        <v>121</v>
      </c>
    </row>
    <row r="249">
      <c r="A249" s="1" t="s">
        <v>969</v>
      </c>
      <c r="B249" s="1" t="s">
        <v>53</v>
      </c>
      <c r="C249" s="1">
        <v>2015.0</v>
      </c>
      <c r="D249" s="1" t="s">
        <v>970</v>
      </c>
      <c r="E249" s="1" t="s">
        <v>971</v>
      </c>
      <c r="F249" s="1" t="s">
        <v>732</v>
      </c>
      <c r="G249" s="1" t="s">
        <v>972</v>
      </c>
      <c r="H249" s="1" t="s">
        <v>973</v>
      </c>
      <c r="I249" s="1">
        <v>54.0</v>
      </c>
      <c r="J249" s="1">
        <v>4.0</v>
      </c>
      <c r="K249" s="2" t="s">
        <v>974</v>
      </c>
      <c r="L249" s="2" t="s">
        <v>60</v>
      </c>
      <c r="M249" s="1" t="s">
        <v>1006</v>
      </c>
      <c r="N249" s="1" t="s">
        <v>62</v>
      </c>
      <c r="O249" s="1" t="s">
        <v>112</v>
      </c>
      <c r="P249" s="1" t="s">
        <v>597</v>
      </c>
      <c r="Q249" s="1">
        <v>8.812</v>
      </c>
      <c r="R249" s="1">
        <v>-82.961</v>
      </c>
      <c r="S249" s="1" t="s">
        <v>148</v>
      </c>
      <c r="T249" s="2" t="s">
        <v>388</v>
      </c>
      <c r="U249" s="10" t="s">
        <v>976</v>
      </c>
      <c r="V249" s="3" t="s">
        <v>116</v>
      </c>
      <c r="W249" s="1" t="s">
        <v>987</v>
      </c>
      <c r="X249" s="1" t="s">
        <v>256</v>
      </c>
      <c r="Y249" s="6" t="s">
        <v>76</v>
      </c>
      <c r="Z249" s="3" t="s">
        <v>173</v>
      </c>
      <c r="AB249" s="1">
        <v>2.0</v>
      </c>
      <c r="AI249" s="1" t="s">
        <v>980</v>
      </c>
      <c r="AJ249" s="1">
        <v>0.0</v>
      </c>
      <c r="AK249" s="1">
        <v>1950.0</v>
      </c>
      <c r="AL249" s="2" t="s">
        <v>73</v>
      </c>
      <c r="AM249" s="2" t="s">
        <v>72</v>
      </c>
      <c r="AN249" s="1" t="s">
        <v>238</v>
      </c>
      <c r="AO249" s="2" t="s">
        <v>72</v>
      </c>
      <c r="AQ249" s="2" t="s">
        <v>102</v>
      </c>
      <c r="AR249" s="2" t="s">
        <v>76</v>
      </c>
      <c r="AS249" s="1">
        <v>2841.0</v>
      </c>
      <c r="AT249" s="1">
        <v>2841.0</v>
      </c>
      <c r="AU249" s="1">
        <v>1165.0</v>
      </c>
      <c r="AV249" s="1">
        <v>40.0</v>
      </c>
      <c r="AW249" s="1">
        <v>166.0</v>
      </c>
      <c r="AX249" s="1">
        <v>6482.0</v>
      </c>
      <c r="AY249" s="1">
        <v>1094.0</v>
      </c>
      <c r="AZ249" s="1" t="s">
        <v>154</v>
      </c>
      <c r="BA249" s="1" t="s">
        <v>121</v>
      </c>
    </row>
    <row r="250">
      <c r="A250" s="1" t="s">
        <v>969</v>
      </c>
      <c r="B250" s="1" t="s">
        <v>53</v>
      </c>
      <c r="C250" s="1">
        <v>2015.0</v>
      </c>
      <c r="D250" s="1" t="s">
        <v>970</v>
      </c>
      <c r="E250" s="1" t="s">
        <v>971</v>
      </c>
      <c r="F250" s="1" t="s">
        <v>732</v>
      </c>
      <c r="G250" s="1" t="s">
        <v>972</v>
      </c>
      <c r="H250" s="1" t="s">
        <v>973</v>
      </c>
      <c r="I250" s="1">
        <v>54.0</v>
      </c>
      <c r="J250" s="1">
        <v>4.0</v>
      </c>
      <c r="K250" s="2" t="s">
        <v>974</v>
      </c>
      <c r="L250" s="2" t="s">
        <v>60</v>
      </c>
      <c r="M250" s="1" t="s">
        <v>1007</v>
      </c>
      <c r="N250" s="1" t="s">
        <v>62</v>
      </c>
      <c r="O250" s="1" t="s">
        <v>112</v>
      </c>
      <c r="P250" s="1" t="s">
        <v>597</v>
      </c>
      <c r="Q250" s="1">
        <v>8.812</v>
      </c>
      <c r="R250" s="1">
        <v>-82.961</v>
      </c>
      <c r="S250" s="1" t="s">
        <v>148</v>
      </c>
      <c r="T250" s="2" t="s">
        <v>388</v>
      </c>
      <c r="U250" s="10" t="s">
        <v>976</v>
      </c>
      <c r="V250" s="3" t="s">
        <v>116</v>
      </c>
      <c r="W250" s="1" t="s">
        <v>987</v>
      </c>
      <c r="X250" s="1" t="s">
        <v>256</v>
      </c>
      <c r="Y250" s="6" t="s">
        <v>76</v>
      </c>
      <c r="Z250" s="3" t="s">
        <v>173</v>
      </c>
      <c r="AB250" s="1">
        <v>3.0</v>
      </c>
      <c r="AI250" s="1" t="s">
        <v>425</v>
      </c>
      <c r="AJ250" s="1">
        <v>0.0</v>
      </c>
      <c r="AK250" s="1">
        <v>1950.0</v>
      </c>
      <c r="AL250" s="2" t="s">
        <v>100</v>
      </c>
      <c r="AM250" s="2" t="s">
        <v>72</v>
      </c>
      <c r="AN250" s="1" t="s">
        <v>238</v>
      </c>
      <c r="AO250" s="2" t="s">
        <v>72</v>
      </c>
      <c r="AQ250" s="2" t="s">
        <v>102</v>
      </c>
      <c r="AR250" s="2" t="s">
        <v>76</v>
      </c>
      <c r="AS250" s="1">
        <v>2841.0</v>
      </c>
      <c r="AT250" s="1">
        <v>2841.0</v>
      </c>
      <c r="AU250" s="1">
        <v>1165.0</v>
      </c>
      <c r="AV250" s="1">
        <v>40.0</v>
      </c>
      <c r="AW250" s="1">
        <v>166.0</v>
      </c>
      <c r="AX250" s="1">
        <v>6482.0</v>
      </c>
      <c r="AY250" s="1">
        <v>1094.0</v>
      </c>
      <c r="AZ250" s="1" t="s">
        <v>154</v>
      </c>
      <c r="BA250" s="1" t="s">
        <v>121</v>
      </c>
    </row>
    <row r="251">
      <c r="A251" s="1" t="s">
        <v>969</v>
      </c>
      <c r="B251" s="1" t="s">
        <v>53</v>
      </c>
      <c r="C251" s="1">
        <v>2015.0</v>
      </c>
      <c r="D251" s="1" t="s">
        <v>970</v>
      </c>
      <c r="E251" s="1" t="s">
        <v>971</v>
      </c>
      <c r="F251" s="1" t="s">
        <v>732</v>
      </c>
      <c r="G251" s="1" t="s">
        <v>972</v>
      </c>
      <c r="H251" s="1" t="s">
        <v>973</v>
      </c>
      <c r="I251" s="1">
        <v>54.0</v>
      </c>
      <c r="J251" s="1">
        <v>4.0</v>
      </c>
      <c r="K251" s="2" t="s">
        <v>974</v>
      </c>
      <c r="L251" s="2" t="s">
        <v>60</v>
      </c>
      <c r="M251" s="1" t="s">
        <v>1008</v>
      </c>
      <c r="N251" s="1" t="s">
        <v>62</v>
      </c>
      <c r="O251" s="1" t="s">
        <v>112</v>
      </c>
      <c r="P251" s="1" t="s">
        <v>597</v>
      </c>
      <c r="Q251" s="1">
        <v>8.812</v>
      </c>
      <c r="R251" s="1">
        <v>-82.961</v>
      </c>
      <c r="S251" s="1" t="s">
        <v>148</v>
      </c>
      <c r="T251" s="2" t="s">
        <v>388</v>
      </c>
      <c r="U251" s="10" t="s">
        <v>976</v>
      </c>
      <c r="V251" s="3" t="s">
        <v>116</v>
      </c>
      <c r="W251" s="1" t="s">
        <v>987</v>
      </c>
      <c r="X251" s="1" t="s">
        <v>256</v>
      </c>
      <c r="Y251" s="6" t="s">
        <v>76</v>
      </c>
      <c r="Z251" s="3" t="s">
        <v>173</v>
      </c>
      <c r="AB251" s="1">
        <v>2.0</v>
      </c>
      <c r="AI251" s="1" t="s">
        <v>983</v>
      </c>
      <c r="AJ251" s="1">
        <v>0.0</v>
      </c>
      <c r="AK251" s="1">
        <v>1950.0</v>
      </c>
      <c r="AL251" s="2" t="s">
        <v>100</v>
      </c>
      <c r="AM251" s="2" t="s">
        <v>72</v>
      </c>
      <c r="AN251" s="1" t="s">
        <v>238</v>
      </c>
      <c r="AO251" s="2" t="s">
        <v>72</v>
      </c>
      <c r="AQ251" s="2" t="s">
        <v>102</v>
      </c>
      <c r="AR251" s="2" t="s">
        <v>76</v>
      </c>
      <c r="AS251" s="1">
        <v>2841.0</v>
      </c>
      <c r="AT251" s="1">
        <v>2841.0</v>
      </c>
      <c r="AU251" s="1">
        <v>1165.0</v>
      </c>
      <c r="AV251" s="1">
        <v>40.0</v>
      </c>
      <c r="AW251" s="1">
        <v>166.0</v>
      </c>
      <c r="AX251" s="1">
        <v>6482.0</v>
      </c>
      <c r="AY251" s="1">
        <v>1094.0</v>
      </c>
      <c r="AZ251" s="1" t="s">
        <v>154</v>
      </c>
      <c r="BA251" s="1" t="s">
        <v>121</v>
      </c>
    </row>
    <row r="252">
      <c r="A252" s="1" t="s">
        <v>969</v>
      </c>
      <c r="B252" s="1" t="s">
        <v>53</v>
      </c>
      <c r="C252" s="1">
        <v>2015.0</v>
      </c>
      <c r="D252" s="1" t="s">
        <v>970</v>
      </c>
      <c r="E252" s="1" t="s">
        <v>971</v>
      </c>
      <c r="F252" s="1" t="s">
        <v>732</v>
      </c>
      <c r="G252" s="1" t="s">
        <v>972</v>
      </c>
      <c r="H252" s="1" t="s">
        <v>973</v>
      </c>
      <c r="I252" s="1">
        <v>54.0</v>
      </c>
      <c r="J252" s="1">
        <v>4.0</v>
      </c>
      <c r="K252" s="2" t="s">
        <v>974</v>
      </c>
      <c r="L252" s="2" t="s">
        <v>60</v>
      </c>
      <c r="M252" s="1" t="s">
        <v>1009</v>
      </c>
      <c r="N252" s="1" t="s">
        <v>62</v>
      </c>
      <c r="O252" s="1" t="s">
        <v>112</v>
      </c>
      <c r="P252" s="1" t="s">
        <v>597</v>
      </c>
      <c r="Q252" s="1">
        <v>8.812</v>
      </c>
      <c r="R252" s="1">
        <v>-82.961</v>
      </c>
      <c r="S252" s="1" t="s">
        <v>148</v>
      </c>
      <c r="T252" s="2" t="s">
        <v>388</v>
      </c>
      <c r="U252" s="10" t="s">
        <v>976</v>
      </c>
      <c r="V252" s="3" t="s">
        <v>116</v>
      </c>
      <c r="W252" s="1" t="s">
        <v>987</v>
      </c>
      <c r="X252" s="1" t="s">
        <v>256</v>
      </c>
      <c r="Y252" s="6" t="s">
        <v>76</v>
      </c>
      <c r="Z252" s="3" t="s">
        <v>173</v>
      </c>
      <c r="AB252" s="1">
        <v>3.0</v>
      </c>
      <c r="AI252" s="1" t="s">
        <v>985</v>
      </c>
      <c r="AJ252" s="1">
        <v>0.0</v>
      </c>
      <c r="AK252" s="1">
        <v>1950.0</v>
      </c>
      <c r="AL252" s="2" t="s">
        <v>73</v>
      </c>
      <c r="AM252" s="2" t="s">
        <v>72</v>
      </c>
      <c r="AN252" s="1" t="s">
        <v>238</v>
      </c>
      <c r="AO252" s="2" t="s">
        <v>72</v>
      </c>
      <c r="AQ252" s="2" t="s">
        <v>102</v>
      </c>
      <c r="AR252" s="2" t="s">
        <v>76</v>
      </c>
      <c r="AS252" s="1">
        <v>2841.0</v>
      </c>
      <c r="AT252" s="1">
        <v>2841.0</v>
      </c>
      <c r="AU252" s="1">
        <v>1165.0</v>
      </c>
      <c r="AV252" s="1">
        <v>40.0</v>
      </c>
      <c r="AW252" s="1">
        <v>166.0</v>
      </c>
      <c r="AX252" s="1">
        <v>6482.0</v>
      </c>
      <c r="AY252" s="1">
        <v>1094.0</v>
      </c>
      <c r="AZ252" s="1" t="s">
        <v>154</v>
      </c>
      <c r="BA252" s="1" t="s">
        <v>121</v>
      </c>
    </row>
    <row r="253">
      <c r="A253" s="1" t="s">
        <v>1010</v>
      </c>
      <c r="B253" s="1" t="s">
        <v>268</v>
      </c>
      <c r="C253" s="1">
        <v>2008.0</v>
      </c>
      <c r="D253" s="1" t="s">
        <v>1011</v>
      </c>
      <c r="E253" s="1" t="s">
        <v>1012</v>
      </c>
      <c r="H253" s="1" t="s">
        <v>1013</v>
      </c>
      <c r="I253" s="1">
        <v>40.0</v>
      </c>
      <c r="K253" s="2" t="s">
        <v>1014</v>
      </c>
      <c r="L253" s="2" t="s">
        <v>60</v>
      </c>
      <c r="M253" s="1" t="s">
        <v>1015</v>
      </c>
      <c r="N253" s="1" t="s">
        <v>62</v>
      </c>
      <c r="O253" s="1" t="s">
        <v>112</v>
      </c>
      <c r="P253" s="1" t="s">
        <v>1016</v>
      </c>
      <c r="Q253" s="1">
        <v>10.43972</v>
      </c>
      <c r="R253" s="1">
        <v>-84.00667</v>
      </c>
      <c r="S253" s="1" t="s">
        <v>114</v>
      </c>
      <c r="T253" s="2" t="s">
        <v>275</v>
      </c>
      <c r="U253" s="1" t="s">
        <v>72</v>
      </c>
      <c r="V253" s="3" t="s">
        <v>277</v>
      </c>
      <c r="W253" s="1" t="s">
        <v>1017</v>
      </c>
      <c r="X253" s="1" t="s">
        <v>279</v>
      </c>
      <c r="Y253" s="6" t="s">
        <v>76</v>
      </c>
      <c r="Z253" s="3" t="s">
        <v>76</v>
      </c>
      <c r="AB253" s="1">
        <v>5.0</v>
      </c>
      <c r="AI253" s="2" t="s">
        <v>1018</v>
      </c>
      <c r="AJ253" s="1">
        <v>-1350.0</v>
      </c>
      <c r="AK253" s="1">
        <v>1950.0</v>
      </c>
      <c r="AL253" s="2" t="s">
        <v>73</v>
      </c>
      <c r="AM253" s="2" t="s">
        <v>72</v>
      </c>
      <c r="AN253" s="1" t="s">
        <v>74</v>
      </c>
      <c r="AO253" s="2" t="s">
        <v>72</v>
      </c>
      <c r="AQ253" s="2" t="s">
        <v>75</v>
      </c>
      <c r="AR253" s="2" t="s">
        <v>76</v>
      </c>
      <c r="AS253" s="1">
        <v>3680.0</v>
      </c>
      <c r="AT253" s="1">
        <v>3680.0</v>
      </c>
      <c r="AU253" s="1">
        <v>1257.0</v>
      </c>
      <c r="AV253" s="1">
        <v>131.0</v>
      </c>
      <c r="AW253" s="1">
        <v>422.0</v>
      </c>
      <c r="AX253" s="1">
        <v>3892.0</v>
      </c>
      <c r="AY253" s="1">
        <v>51.0</v>
      </c>
      <c r="AZ253" s="1" t="s">
        <v>120</v>
      </c>
      <c r="BA253" s="1" t="s">
        <v>121</v>
      </c>
    </row>
    <row r="254">
      <c r="A254" s="1" t="s">
        <v>1019</v>
      </c>
      <c r="B254" s="1" t="s">
        <v>53</v>
      </c>
      <c r="C254" s="1">
        <v>2017.0</v>
      </c>
      <c r="D254" s="1" t="s">
        <v>1020</v>
      </c>
      <c r="E254" s="1" t="s">
        <v>1021</v>
      </c>
      <c r="F254" s="1" t="s">
        <v>732</v>
      </c>
      <c r="G254" s="1" t="s">
        <v>1022</v>
      </c>
      <c r="H254" s="1" t="s">
        <v>1023</v>
      </c>
      <c r="I254" s="1">
        <v>57.0</v>
      </c>
      <c r="J254" s="1">
        <v>4.0</v>
      </c>
      <c r="K254" s="2" t="s">
        <v>1024</v>
      </c>
      <c r="L254" s="2" t="s">
        <v>60</v>
      </c>
      <c r="M254" s="1" t="s">
        <v>1025</v>
      </c>
      <c r="N254" s="1" t="s">
        <v>62</v>
      </c>
      <c r="O254" s="1" t="s">
        <v>167</v>
      </c>
      <c r="P254" s="1" t="s">
        <v>512</v>
      </c>
      <c r="Q254" s="1">
        <v>16.916667</v>
      </c>
      <c r="R254" s="1">
        <v>-89.833333</v>
      </c>
      <c r="S254" s="1" t="s">
        <v>148</v>
      </c>
      <c r="T254" s="2" t="s">
        <v>135</v>
      </c>
      <c r="U254" s="3" t="s">
        <v>1026</v>
      </c>
      <c r="V254" s="3" t="s">
        <v>97</v>
      </c>
      <c r="W254" s="1" t="s">
        <v>1027</v>
      </c>
      <c r="X254" s="2" t="s">
        <v>99</v>
      </c>
      <c r="Y254" s="5" t="s">
        <v>76</v>
      </c>
      <c r="Z254" s="3" t="s">
        <v>76</v>
      </c>
      <c r="AB254" s="1">
        <v>36.0</v>
      </c>
      <c r="AH254" s="1">
        <v>1.0</v>
      </c>
      <c r="AI254" s="2" t="s">
        <v>72</v>
      </c>
      <c r="AJ254" s="1">
        <v>-41000.0</v>
      </c>
      <c r="AK254" s="1">
        <v>2006.0</v>
      </c>
      <c r="AL254" s="2" t="s">
        <v>153</v>
      </c>
      <c r="AM254" s="2" t="s">
        <v>60</v>
      </c>
      <c r="AN254" s="2" t="s">
        <v>132</v>
      </c>
      <c r="AO254" s="2" t="s">
        <v>76</v>
      </c>
      <c r="AQ254" s="2" t="s">
        <v>75</v>
      </c>
      <c r="AR254" s="2" t="s">
        <v>76</v>
      </c>
      <c r="AS254" s="1">
        <v>1738.0</v>
      </c>
      <c r="AT254" s="1">
        <v>1738.0</v>
      </c>
      <c r="AU254" s="1">
        <v>690.0</v>
      </c>
      <c r="AV254" s="1">
        <v>36.0</v>
      </c>
      <c r="AW254" s="1">
        <v>144.0</v>
      </c>
      <c r="AX254" s="1">
        <v>5677.0</v>
      </c>
      <c r="AY254" s="1">
        <v>131.0</v>
      </c>
      <c r="AZ254" s="1" t="s">
        <v>133</v>
      </c>
      <c r="BA254" s="1" t="s">
        <v>121</v>
      </c>
    </row>
    <row r="255">
      <c r="A255" s="1" t="s">
        <v>1019</v>
      </c>
      <c r="B255" s="1" t="s">
        <v>53</v>
      </c>
      <c r="C255" s="1">
        <v>2017.0</v>
      </c>
      <c r="D255" s="1" t="s">
        <v>1020</v>
      </c>
      <c r="E255" s="1" t="s">
        <v>1021</v>
      </c>
      <c r="F255" s="1" t="s">
        <v>732</v>
      </c>
      <c r="G255" s="1" t="s">
        <v>1022</v>
      </c>
      <c r="H255" s="1" t="s">
        <v>1023</v>
      </c>
      <c r="I255" s="1">
        <v>57.0</v>
      </c>
      <c r="J255" s="1">
        <v>4.0</v>
      </c>
      <c r="K255" s="2" t="s">
        <v>1024</v>
      </c>
      <c r="L255" s="2" t="s">
        <v>60</v>
      </c>
      <c r="M255" s="1" t="s">
        <v>1028</v>
      </c>
      <c r="N255" s="1" t="s">
        <v>62</v>
      </c>
      <c r="O255" s="1" t="s">
        <v>167</v>
      </c>
      <c r="P255" s="1" t="s">
        <v>512</v>
      </c>
      <c r="Q255" s="1">
        <v>16.916667</v>
      </c>
      <c r="R255" s="1">
        <v>-89.833333</v>
      </c>
      <c r="S255" s="1" t="s">
        <v>148</v>
      </c>
      <c r="T255" s="2" t="s">
        <v>1029</v>
      </c>
      <c r="U255" s="1" t="s">
        <v>173</v>
      </c>
      <c r="V255" s="3" t="s">
        <v>68</v>
      </c>
      <c r="W255" s="1" t="s">
        <v>1030</v>
      </c>
      <c r="X255" s="2" t="s">
        <v>72</v>
      </c>
      <c r="Y255" s="6" t="s">
        <v>76</v>
      </c>
      <c r="Z255" s="1" t="s">
        <v>173</v>
      </c>
      <c r="AB255" s="1">
        <v>36.0</v>
      </c>
      <c r="AH255" s="1">
        <v>1.0</v>
      </c>
      <c r="AI255" s="2" t="s">
        <v>72</v>
      </c>
      <c r="AJ255" s="1">
        <v>-41000.0</v>
      </c>
      <c r="AK255" s="1">
        <v>2006.0</v>
      </c>
      <c r="AL255" s="2" t="s">
        <v>153</v>
      </c>
      <c r="AM255" s="2" t="s">
        <v>60</v>
      </c>
      <c r="AN255" s="2" t="s">
        <v>132</v>
      </c>
      <c r="AO255" s="2" t="s">
        <v>76</v>
      </c>
      <c r="AQ255" s="2" t="s">
        <v>75</v>
      </c>
      <c r="AR255" s="2" t="s">
        <v>76</v>
      </c>
      <c r="AS255" s="1">
        <v>1738.0</v>
      </c>
      <c r="AT255" s="1">
        <v>1738.0</v>
      </c>
      <c r="AU255" s="1">
        <v>690.0</v>
      </c>
      <c r="AV255" s="1">
        <v>36.0</v>
      </c>
      <c r="AW255" s="1">
        <v>144.0</v>
      </c>
      <c r="AX255" s="1">
        <v>5677.0</v>
      </c>
      <c r="AY255" s="1">
        <v>131.0</v>
      </c>
      <c r="AZ255" s="1" t="s">
        <v>133</v>
      </c>
      <c r="BA255" s="1" t="s">
        <v>121</v>
      </c>
    </row>
    <row r="256">
      <c r="A256" s="1" t="s">
        <v>1019</v>
      </c>
      <c r="B256" s="1" t="s">
        <v>53</v>
      </c>
      <c r="C256" s="1">
        <v>2017.0</v>
      </c>
      <c r="D256" s="1" t="s">
        <v>1020</v>
      </c>
      <c r="E256" s="1" t="s">
        <v>1021</v>
      </c>
      <c r="F256" s="1" t="s">
        <v>732</v>
      </c>
      <c r="G256" s="1" t="s">
        <v>1022</v>
      </c>
      <c r="H256" s="1" t="s">
        <v>1023</v>
      </c>
      <c r="I256" s="1">
        <v>57.0</v>
      </c>
      <c r="J256" s="1">
        <v>4.0</v>
      </c>
      <c r="K256" s="2" t="s">
        <v>1024</v>
      </c>
      <c r="L256" s="2" t="s">
        <v>60</v>
      </c>
      <c r="M256" s="1" t="s">
        <v>1031</v>
      </c>
      <c r="N256" s="1" t="s">
        <v>62</v>
      </c>
      <c r="O256" s="1" t="s">
        <v>167</v>
      </c>
      <c r="P256" s="1" t="s">
        <v>512</v>
      </c>
      <c r="Q256" s="1">
        <v>16.916667</v>
      </c>
      <c r="R256" s="1">
        <v>-89.833333</v>
      </c>
      <c r="S256" s="1" t="s">
        <v>148</v>
      </c>
      <c r="T256" s="2" t="s">
        <v>382</v>
      </c>
      <c r="U256" s="1" t="s">
        <v>173</v>
      </c>
      <c r="V256" s="3" t="s">
        <v>68</v>
      </c>
      <c r="W256" s="1" t="s">
        <v>1030</v>
      </c>
      <c r="X256" s="1" t="s">
        <v>968</v>
      </c>
      <c r="Y256" s="6" t="s">
        <v>76</v>
      </c>
      <c r="Z256" s="1" t="s">
        <v>173</v>
      </c>
      <c r="AB256" s="1">
        <v>36.0</v>
      </c>
      <c r="AH256" s="1">
        <v>1.0</v>
      </c>
      <c r="AI256" s="2" t="s">
        <v>72</v>
      </c>
      <c r="AJ256" s="1">
        <v>-41000.0</v>
      </c>
      <c r="AK256" s="1">
        <v>2006.0</v>
      </c>
      <c r="AL256" s="2" t="s">
        <v>153</v>
      </c>
      <c r="AM256" s="2" t="s">
        <v>60</v>
      </c>
      <c r="AN256" s="2" t="s">
        <v>132</v>
      </c>
      <c r="AO256" s="2" t="s">
        <v>76</v>
      </c>
      <c r="AQ256" s="2" t="s">
        <v>75</v>
      </c>
      <c r="AR256" s="2" t="s">
        <v>76</v>
      </c>
      <c r="AS256" s="1">
        <v>1738.0</v>
      </c>
      <c r="AT256" s="1">
        <v>1738.0</v>
      </c>
      <c r="AU256" s="1">
        <v>690.0</v>
      </c>
      <c r="AV256" s="1">
        <v>36.0</v>
      </c>
      <c r="AW256" s="1">
        <v>144.0</v>
      </c>
      <c r="AX256" s="1">
        <v>5677.0</v>
      </c>
      <c r="AY256" s="1">
        <v>131.0</v>
      </c>
      <c r="AZ256" s="1" t="s">
        <v>133</v>
      </c>
      <c r="BA256" s="1" t="s">
        <v>121</v>
      </c>
    </row>
    <row r="257">
      <c r="A257" s="1" t="s">
        <v>1019</v>
      </c>
      <c r="B257" s="1" t="s">
        <v>53</v>
      </c>
      <c r="C257" s="1">
        <v>2017.0</v>
      </c>
      <c r="D257" s="1" t="s">
        <v>1020</v>
      </c>
      <c r="E257" s="1" t="s">
        <v>1021</v>
      </c>
      <c r="F257" s="1" t="s">
        <v>732</v>
      </c>
      <c r="G257" s="1" t="s">
        <v>1022</v>
      </c>
      <c r="H257" s="1" t="s">
        <v>1023</v>
      </c>
      <c r="I257" s="1">
        <v>57.0</v>
      </c>
      <c r="J257" s="1">
        <v>4.0</v>
      </c>
      <c r="K257" s="2" t="s">
        <v>1024</v>
      </c>
      <c r="L257" s="2" t="s">
        <v>60</v>
      </c>
      <c r="M257" s="1" t="s">
        <v>1032</v>
      </c>
      <c r="N257" s="1" t="s">
        <v>62</v>
      </c>
      <c r="O257" s="1" t="s">
        <v>167</v>
      </c>
      <c r="P257" s="1" t="s">
        <v>512</v>
      </c>
      <c r="Q257" s="1">
        <v>16.916667</v>
      </c>
      <c r="R257" s="1">
        <v>-89.833333</v>
      </c>
      <c r="S257" s="1" t="s">
        <v>148</v>
      </c>
      <c r="T257" s="2" t="s">
        <v>169</v>
      </c>
      <c r="U257" s="2" t="s">
        <v>1033</v>
      </c>
      <c r="V257" s="3" t="s">
        <v>68</v>
      </c>
      <c r="W257" s="1" t="s">
        <v>1034</v>
      </c>
      <c r="X257" s="1" t="s">
        <v>70</v>
      </c>
      <c r="Y257" s="5" t="s">
        <v>76</v>
      </c>
      <c r="Z257" s="2" t="s">
        <v>1033</v>
      </c>
      <c r="AB257" s="1">
        <v>36.0</v>
      </c>
      <c r="AH257" s="1">
        <v>1.0</v>
      </c>
      <c r="AI257" s="2" t="s">
        <v>72</v>
      </c>
      <c r="AJ257" s="1">
        <v>-41000.0</v>
      </c>
      <c r="AK257" s="1">
        <v>2006.0</v>
      </c>
      <c r="AL257" s="2" t="s">
        <v>153</v>
      </c>
      <c r="AM257" s="2" t="s">
        <v>60</v>
      </c>
      <c r="AN257" s="2" t="s">
        <v>132</v>
      </c>
      <c r="AO257" s="2" t="s">
        <v>76</v>
      </c>
      <c r="AQ257" s="2" t="s">
        <v>75</v>
      </c>
      <c r="AR257" s="2" t="s">
        <v>76</v>
      </c>
      <c r="AS257" s="1">
        <v>1738.0</v>
      </c>
      <c r="AT257" s="1">
        <v>1738.0</v>
      </c>
      <c r="AU257" s="1">
        <v>690.0</v>
      </c>
      <c r="AV257" s="1">
        <v>36.0</v>
      </c>
      <c r="AW257" s="1">
        <v>144.0</v>
      </c>
      <c r="AX257" s="1">
        <v>5677.0</v>
      </c>
      <c r="AY257" s="1">
        <v>131.0</v>
      </c>
      <c r="AZ257" s="1" t="s">
        <v>133</v>
      </c>
      <c r="BA257" s="1" t="s">
        <v>121</v>
      </c>
    </row>
    <row r="258">
      <c r="A258" s="1" t="s">
        <v>1035</v>
      </c>
      <c r="B258" s="1" t="s">
        <v>53</v>
      </c>
      <c r="C258" s="1">
        <v>2019.0</v>
      </c>
      <c r="D258" s="1" t="s">
        <v>1036</v>
      </c>
      <c r="E258" s="1" t="s">
        <v>1037</v>
      </c>
      <c r="F258" s="1" t="s">
        <v>732</v>
      </c>
      <c r="G258" s="1" t="s">
        <v>1038</v>
      </c>
      <c r="H258" s="1" t="s">
        <v>1039</v>
      </c>
      <c r="I258" s="1">
        <v>62.0</v>
      </c>
      <c r="J258" s="1">
        <v>4.0</v>
      </c>
      <c r="K258" s="2" t="s">
        <v>1040</v>
      </c>
      <c r="L258" s="2" t="s">
        <v>60</v>
      </c>
      <c r="M258" s="1" t="s">
        <v>1041</v>
      </c>
      <c r="N258" s="1" t="s">
        <v>62</v>
      </c>
      <c r="O258" s="1" t="s">
        <v>92</v>
      </c>
      <c r="P258" s="1" t="s">
        <v>1042</v>
      </c>
      <c r="Q258" s="1">
        <v>20.681564</v>
      </c>
      <c r="R258" s="1">
        <v>-87.625762</v>
      </c>
      <c r="S258" s="1" t="s">
        <v>148</v>
      </c>
      <c r="T258" s="2" t="s">
        <v>169</v>
      </c>
      <c r="U258" s="2" t="s">
        <v>1043</v>
      </c>
      <c r="V258" s="3" t="s">
        <v>97</v>
      </c>
      <c r="W258" s="1" t="s">
        <v>1044</v>
      </c>
      <c r="X258" s="2" t="s">
        <v>72</v>
      </c>
      <c r="Y258" s="6" t="s">
        <v>76</v>
      </c>
      <c r="Z258" s="3" t="s">
        <v>76</v>
      </c>
      <c r="AB258" s="1">
        <v>12.0</v>
      </c>
      <c r="AI258" s="1" t="s">
        <v>1045</v>
      </c>
      <c r="AJ258" s="1">
        <v>-2050.0</v>
      </c>
      <c r="AK258" s="1">
        <v>1950.0</v>
      </c>
      <c r="AL258" s="2" t="s">
        <v>73</v>
      </c>
      <c r="AM258" s="2" t="s">
        <v>60</v>
      </c>
      <c r="AN258" s="2" t="s">
        <v>132</v>
      </c>
      <c r="AO258" s="2" t="s">
        <v>72</v>
      </c>
      <c r="AQ258" s="2" t="s">
        <v>102</v>
      </c>
      <c r="AR258" s="2" t="s">
        <v>76</v>
      </c>
      <c r="AS258" s="1">
        <v>1187.0</v>
      </c>
      <c r="AT258" s="1">
        <v>1187.0</v>
      </c>
      <c r="AU258" s="1">
        <v>504.0</v>
      </c>
      <c r="AV258" s="1">
        <v>44.0</v>
      </c>
      <c r="AW258" s="1">
        <v>138.0</v>
      </c>
      <c r="AX258" s="1">
        <v>5374.0</v>
      </c>
      <c r="AY258" s="1">
        <v>24.0</v>
      </c>
      <c r="AZ258" s="1" t="s">
        <v>239</v>
      </c>
      <c r="BA258" s="1" t="s">
        <v>121</v>
      </c>
    </row>
    <row r="259">
      <c r="A259" s="1" t="s">
        <v>1035</v>
      </c>
      <c r="B259" s="1" t="s">
        <v>53</v>
      </c>
      <c r="C259" s="1">
        <v>2019.0</v>
      </c>
      <c r="D259" s="1" t="s">
        <v>1036</v>
      </c>
      <c r="E259" s="1" t="s">
        <v>1037</v>
      </c>
      <c r="F259" s="1" t="s">
        <v>732</v>
      </c>
      <c r="G259" s="1" t="s">
        <v>1038</v>
      </c>
      <c r="H259" s="1" t="s">
        <v>1039</v>
      </c>
      <c r="I259" s="1">
        <v>62.0</v>
      </c>
      <c r="J259" s="1">
        <v>4.0</v>
      </c>
      <c r="K259" s="2" t="s">
        <v>1040</v>
      </c>
      <c r="L259" s="2" t="s">
        <v>60</v>
      </c>
      <c r="M259" s="1" t="s">
        <v>1046</v>
      </c>
      <c r="N259" s="1" t="s">
        <v>62</v>
      </c>
      <c r="O259" s="1" t="s">
        <v>92</v>
      </c>
      <c r="P259" s="1" t="s">
        <v>1042</v>
      </c>
      <c r="Q259" s="1">
        <v>20.681564</v>
      </c>
      <c r="R259" s="1">
        <v>-87.625762</v>
      </c>
      <c r="S259" s="1" t="s">
        <v>148</v>
      </c>
      <c r="T259" s="2" t="s">
        <v>1047</v>
      </c>
      <c r="U259" s="2" t="s">
        <v>1043</v>
      </c>
      <c r="V259" s="3" t="s">
        <v>97</v>
      </c>
      <c r="W259" s="1" t="s">
        <v>1048</v>
      </c>
      <c r="X259" s="2" t="s">
        <v>72</v>
      </c>
      <c r="Y259" s="6" t="s">
        <v>76</v>
      </c>
      <c r="Z259" s="3" t="s">
        <v>76</v>
      </c>
      <c r="AB259" s="1">
        <v>12.0</v>
      </c>
      <c r="AI259" s="1" t="s">
        <v>1045</v>
      </c>
      <c r="AJ259" s="1">
        <v>-2050.0</v>
      </c>
      <c r="AK259" s="1">
        <v>1950.0</v>
      </c>
      <c r="AL259" s="2" t="s">
        <v>73</v>
      </c>
      <c r="AM259" s="2" t="s">
        <v>60</v>
      </c>
      <c r="AN259" s="2" t="s">
        <v>132</v>
      </c>
      <c r="AO259" s="2" t="s">
        <v>72</v>
      </c>
      <c r="AQ259" s="2" t="s">
        <v>72</v>
      </c>
      <c r="AR259" s="2" t="s">
        <v>76</v>
      </c>
      <c r="AS259" s="1">
        <v>1187.0</v>
      </c>
      <c r="AT259" s="1">
        <v>1187.0</v>
      </c>
      <c r="AU259" s="1">
        <v>504.0</v>
      </c>
      <c r="AV259" s="1">
        <v>44.0</v>
      </c>
      <c r="AW259" s="1">
        <v>138.0</v>
      </c>
      <c r="AX259" s="1">
        <v>5374.0</v>
      </c>
      <c r="AY259" s="1">
        <v>24.0</v>
      </c>
      <c r="AZ259" s="1" t="s">
        <v>239</v>
      </c>
      <c r="BA259" s="1" t="s">
        <v>121</v>
      </c>
    </row>
    <row r="260">
      <c r="A260" s="1" t="s">
        <v>1049</v>
      </c>
      <c r="B260" s="1" t="s">
        <v>53</v>
      </c>
      <c r="C260" s="1">
        <v>2020.0</v>
      </c>
      <c r="D260" s="1" t="s">
        <v>1050</v>
      </c>
      <c r="E260" s="1" t="s">
        <v>1051</v>
      </c>
      <c r="F260" s="1" t="s">
        <v>732</v>
      </c>
      <c r="G260" s="1" t="s">
        <v>1052</v>
      </c>
      <c r="H260" s="1" t="s">
        <v>1053</v>
      </c>
      <c r="I260" s="1">
        <v>64.0</v>
      </c>
      <c r="J260" s="1">
        <v>1.0</v>
      </c>
      <c r="K260" s="2" t="s">
        <v>1054</v>
      </c>
      <c r="L260" s="2" t="s">
        <v>60</v>
      </c>
      <c r="M260" s="1" t="s">
        <v>1055</v>
      </c>
      <c r="N260" s="1" t="s">
        <v>62</v>
      </c>
      <c r="O260" s="1" t="s">
        <v>112</v>
      </c>
      <c r="P260" s="1" t="s">
        <v>1056</v>
      </c>
      <c r="Q260" s="1">
        <v>9.1122</v>
      </c>
      <c r="R260" s="1">
        <v>-83.448</v>
      </c>
      <c r="S260" s="1" t="s">
        <v>148</v>
      </c>
      <c r="T260" s="2" t="s">
        <v>321</v>
      </c>
      <c r="U260" s="3" t="s">
        <v>81</v>
      </c>
      <c r="V260" s="3" t="s">
        <v>788</v>
      </c>
      <c r="W260" s="1" t="s">
        <v>264</v>
      </c>
      <c r="X260" s="2" t="s">
        <v>355</v>
      </c>
      <c r="Y260" s="6" t="s">
        <v>76</v>
      </c>
      <c r="Z260" s="3" t="s">
        <v>84</v>
      </c>
      <c r="AA260" s="1">
        <v>1.0</v>
      </c>
      <c r="AB260" s="1">
        <v>4.0</v>
      </c>
      <c r="AI260" s="1" t="s">
        <v>1057</v>
      </c>
      <c r="AJ260" s="1">
        <v>1150.0</v>
      </c>
      <c r="AK260" s="1">
        <v>2014.0</v>
      </c>
      <c r="AL260" s="2" t="s">
        <v>100</v>
      </c>
      <c r="AM260" s="2" t="s">
        <v>72</v>
      </c>
      <c r="AN260" s="2" t="s">
        <v>132</v>
      </c>
      <c r="AO260" s="2" t="s">
        <v>72</v>
      </c>
      <c r="AQ260" s="2" t="s">
        <v>102</v>
      </c>
      <c r="AR260" s="2" t="s">
        <v>76</v>
      </c>
      <c r="AS260" s="1">
        <v>3163.0</v>
      </c>
      <c r="AT260" s="1">
        <v>3163.0</v>
      </c>
      <c r="AU260" s="1">
        <v>1321.0</v>
      </c>
      <c r="AV260" s="1">
        <v>40.0</v>
      </c>
      <c r="AW260" s="1">
        <v>143.0</v>
      </c>
      <c r="AX260" s="1">
        <v>6146.0</v>
      </c>
      <c r="AY260" s="1">
        <v>476.0</v>
      </c>
      <c r="AZ260" s="1" t="s">
        <v>281</v>
      </c>
      <c r="BA260" s="1" t="s">
        <v>121</v>
      </c>
    </row>
    <row r="261">
      <c r="A261" s="1" t="s">
        <v>1049</v>
      </c>
      <c r="B261" s="1" t="s">
        <v>53</v>
      </c>
      <c r="C261" s="1">
        <v>2020.0</v>
      </c>
      <c r="D261" s="1" t="s">
        <v>1050</v>
      </c>
      <c r="E261" s="1" t="s">
        <v>1051</v>
      </c>
      <c r="F261" s="1" t="s">
        <v>732</v>
      </c>
      <c r="G261" s="1" t="s">
        <v>1052</v>
      </c>
      <c r="H261" s="1" t="s">
        <v>1053</v>
      </c>
      <c r="I261" s="1">
        <v>64.0</v>
      </c>
      <c r="J261" s="1">
        <v>1.0</v>
      </c>
      <c r="K261" s="2" t="s">
        <v>1054</v>
      </c>
      <c r="L261" s="2" t="s">
        <v>60</v>
      </c>
      <c r="M261" s="1" t="s">
        <v>1058</v>
      </c>
      <c r="N261" s="1" t="s">
        <v>62</v>
      </c>
      <c r="O261" s="1" t="s">
        <v>112</v>
      </c>
      <c r="P261" s="1" t="s">
        <v>1056</v>
      </c>
      <c r="Q261" s="1">
        <v>9.1122</v>
      </c>
      <c r="R261" s="1">
        <v>-83.448</v>
      </c>
      <c r="S261" s="1" t="s">
        <v>148</v>
      </c>
      <c r="T261" s="2" t="s">
        <v>388</v>
      </c>
      <c r="U261" s="3" t="s">
        <v>1059</v>
      </c>
      <c r="V261" s="3" t="s">
        <v>68</v>
      </c>
      <c r="W261" s="1" t="s">
        <v>547</v>
      </c>
      <c r="X261" s="1" t="s">
        <v>70</v>
      </c>
      <c r="Y261" s="6" t="s">
        <v>76</v>
      </c>
      <c r="Z261" s="3" t="s">
        <v>411</v>
      </c>
      <c r="AA261" s="1">
        <v>1.0</v>
      </c>
      <c r="AB261" s="1">
        <v>4.0</v>
      </c>
      <c r="AI261" s="1" t="s">
        <v>1057</v>
      </c>
      <c r="AJ261" s="1">
        <v>1150.0</v>
      </c>
      <c r="AK261" s="1">
        <v>2014.0</v>
      </c>
      <c r="AL261" s="2" t="s">
        <v>100</v>
      </c>
      <c r="AM261" s="2" t="s">
        <v>72</v>
      </c>
      <c r="AN261" s="2" t="s">
        <v>132</v>
      </c>
      <c r="AO261" s="2" t="s">
        <v>72</v>
      </c>
      <c r="AQ261" s="2" t="s">
        <v>102</v>
      </c>
      <c r="AR261" s="2" t="s">
        <v>76</v>
      </c>
      <c r="AS261" s="1">
        <v>3163.0</v>
      </c>
      <c r="AT261" s="1">
        <v>3163.0</v>
      </c>
      <c r="AU261" s="1">
        <v>1321.0</v>
      </c>
      <c r="AV261" s="1">
        <v>40.0</v>
      </c>
      <c r="AW261" s="1">
        <v>143.0</v>
      </c>
      <c r="AX261" s="1">
        <v>6146.0</v>
      </c>
      <c r="AY261" s="1">
        <v>476.0</v>
      </c>
      <c r="AZ261" s="1" t="s">
        <v>281</v>
      </c>
      <c r="BA261" s="1" t="s">
        <v>121</v>
      </c>
    </row>
    <row r="262">
      <c r="A262" s="1" t="s">
        <v>905</v>
      </c>
      <c r="B262" s="1" t="s">
        <v>53</v>
      </c>
      <c r="C262" s="1">
        <v>2009.0</v>
      </c>
      <c r="D262" s="1" t="s">
        <v>906</v>
      </c>
      <c r="E262" s="1" t="s">
        <v>907</v>
      </c>
      <c r="F262" s="1" t="s">
        <v>732</v>
      </c>
      <c r="G262" s="1" t="s">
        <v>908</v>
      </c>
      <c r="H262" s="1" t="s">
        <v>909</v>
      </c>
      <c r="I262" s="1">
        <v>42.0</v>
      </c>
      <c r="J262" s="1">
        <v>2.0</v>
      </c>
      <c r="K262" s="2" t="s">
        <v>910</v>
      </c>
      <c r="L262" s="2" t="s">
        <v>60</v>
      </c>
      <c r="M262" s="1" t="s">
        <v>1060</v>
      </c>
      <c r="N262" s="1" t="s">
        <v>62</v>
      </c>
      <c r="O262" s="1" t="s">
        <v>92</v>
      </c>
      <c r="P262" s="1" t="s">
        <v>912</v>
      </c>
      <c r="Q262" s="1">
        <v>20.274287</v>
      </c>
      <c r="R262" s="1">
        <v>-87.486249</v>
      </c>
      <c r="S262" s="1" t="s">
        <v>148</v>
      </c>
      <c r="T262" s="2" t="s">
        <v>275</v>
      </c>
      <c r="U262" s="1" t="s">
        <v>72</v>
      </c>
      <c r="V262" s="3" t="s">
        <v>277</v>
      </c>
      <c r="W262" s="1" t="s">
        <v>278</v>
      </c>
      <c r="X262" s="1" t="s">
        <v>279</v>
      </c>
      <c r="Y262" s="6" t="s">
        <v>76</v>
      </c>
      <c r="Z262" s="3" t="s">
        <v>76</v>
      </c>
      <c r="AI262" s="1" t="s">
        <v>915</v>
      </c>
      <c r="AJ262" s="1" t="s">
        <v>470</v>
      </c>
      <c r="AK262" s="1" t="s">
        <v>470</v>
      </c>
      <c r="AL262" s="2" t="s">
        <v>100</v>
      </c>
      <c r="AM262" s="2" t="s">
        <v>76</v>
      </c>
      <c r="AN262" s="1" t="s">
        <v>238</v>
      </c>
      <c r="AO262" s="2" t="s">
        <v>101</v>
      </c>
      <c r="AQ262" s="2" t="s">
        <v>75</v>
      </c>
      <c r="AR262" s="2" t="s">
        <v>76</v>
      </c>
      <c r="AS262" s="1">
        <v>1209.0</v>
      </c>
      <c r="AT262" s="1">
        <v>1209.0</v>
      </c>
      <c r="AU262" s="1">
        <v>495.0</v>
      </c>
      <c r="AV262" s="1">
        <v>39.0</v>
      </c>
      <c r="AW262" s="1">
        <v>132.0</v>
      </c>
      <c r="AX262" s="1">
        <v>5135.0</v>
      </c>
      <c r="AY262" s="1">
        <v>5.0</v>
      </c>
      <c r="AZ262" s="1" t="s">
        <v>239</v>
      </c>
      <c r="BA262" s="1" t="s">
        <v>121</v>
      </c>
    </row>
    <row r="263">
      <c r="A263" s="1" t="s">
        <v>1049</v>
      </c>
      <c r="B263" s="1" t="s">
        <v>53</v>
      </c>
      <c r="C263" s="1">
        <v>2020.0</v>
      </c>
      <c r="D263" s="1" t="s">
        <v>1050</v>
      </c>
      <c r="E263" s="1" t="s">
        <v>1051</v>
      </c>
      <c r="F263" s="1" t="s">
        <v>732</v>
      </c>
      <c r="G263" s="1" t="s">
        <v>1052</v>
      </c>
      <c r="H263" s="1" t="s">
        <v>1053</v>
      </c>
      <c r="I263" s="1">
        <v>64.0</v>
      </c>
      <c r="J263" s="1">
        <v>1.0</v>
      </c>
      <c r="K263" s="2" t="s">
        <v>1054</v>
      </c>
      <c r="L263" s="2" t="s">
        <v>60</v>
      </c>
      <c r="M263" s="1" t="s">
        <v>1061</v>
      </c>
      <c r="N263" s="1" t="s">
        <v>62</v>
      </c>
      <c r="O263" s="1" t="s">
        <v>112</v>
      </c>
      <c r="P263" s="1" t="s">
        <v>1056</v>
      </c>
      <c r="Q263" s="1">
        <v>9.1122</v>
      </c>
      <c r="R263" s="1">
        <v>-83.448</v>
      </c>
      <c r="S263" s="1" t="s">
        <v>148</v>
      </c>
      <c r="T263" s="2" t="s">
        <v>135</v>
      </c>
      <c r="U263" s="3" t="s">
        <v>1059</v>
      </c>
      <c r="V263" s="3" t="s">
        <v>68</v>
      </c>
      <c r="W263" s="1" t="s">
        <v>547</v>
      </c>
      <c r="X263" s="1" t="s">
        <v>70</v>
      </c>
      <c r="Y263" s="6" t="s">
        <v>76</v>
      </c>
      <c r="Z263" s="3" t="s">
        <v>173</v>
      </c>
      <c r="AA263" s="1">
        <v>1.0</v>
      </c>
      <c r="AB263" s="1">
        <v>4.0</v>
      </c>
      <c r="AI263" s="1" t="s">
        <v>1057</v>
      </c>
      <c r="AJ263" s="1">
        <v>1150.0</v>
      </c>
      <c r="AK263" s="1">
        <v>2014.0</v>
      </c>
      <c r="AL263" s="2" t="s">
        <v>100</v>
      </c>
      <c r="AM263" s="2" t="s">
        <v>72</v>
      </c>
      <c r="AN263" s="2" t="s">
        <v>132</v>
      </c>
      <c r="AO263" s="2" t="s">
        <v>72</v>
      </c>
      <c r="AQ263" s="2" t="s">
        <v>102</v>
      </c>
      <c r="AR263" s="2" t="s">
        <v>76</v>
      </c>
      <c r="AS263" s="1">
        <v>3163.0</v>
      </c>
      <c r="AT263" s="1">
        <v>3163.0</v>
      </c>
      <c r="AU263" s="1">
        <v>1321.0</v>
      </c>
      <c r="AV263" s="1">
        <v>40.0</v>
      </c>
      <c r="AW263" s="1">
        <v>143.0</v>
      </c>
      <c r="AX263" s="1">
        <v>6146.0</v>
      </c>
      <c r="AY263" s="1">
        <v>476.0</v>
      </c>
      <c r="AZ263" s="1" t="s">
        <v>281</v>
      </c>
      <c r="BA263" s="1" t="s">
        <v>121</v>
      </c>
    </row>
    <row r="264">
      <c r="A264" s="1" t="s">
        <v>1049</v>
      </c>
      <c r="B264" s="1" t="s">
        <v>53</v>
      </c>
      <c r="C264" s="1">
        <v>2020.0</v>
      </c>
      <c r="D264" s="1" t="s">
        <v>1050</v>
      </c>
      <c r="E264" s="1" t="s">
        <v>1051</v>
      </c>
      <c r="F264" s="1" t="s">
        <v>732</v>
      </c>
      <c r="G264" s="1" t="s">
        <v>1052</v>
      </c>
      <c r="H264" s="1" t="s">
        <v>1053</v>
      </c>
      <c r="I264" s="1">
        <v>64.0</v>
      </c>
      <c r="J264" s="1">
        <v>1.0</v>
      </c>
      <c r="K264" s="2" t="s">
        <v>1054</v>
      </c>
      <c r="L264" s="2" t="s">
        <v>60</v>
      </c>
      <c r="M264" s="1" t="s">
        <v>1062</v>
      </c>
      <c r="N264" s="1" t="s">
        <v>62</v>
      </c>
      <c r="O264" s="1" t="s">
        <v>112</v>
      </c>
      <c r="P264" s="1" t="s">
        <v>1063</v>
      </c>
      <c r="Q264" s="1">
        <v>9.0669</v>
      </c>
      <c r="R264" s="1">
        <v>-83.3472</v>
      </c>
      <c r="S264" s="1" t="s">
        <v>148</v>
      </c>
      <c r="T264" s="2" t="s">
        <v>321</v>
      </c>
      <c r="U264" s="3" t="s">
        <v>81</v>
      </c>
      <c r="V264" s="3" t="s">
        <v>788</v>
      </c>
      <c r="W264" s="1" t="s">
        <v>264</v>
      </c>
      <c r="X264" s="2" t="s">
        <v>355</v>
      </c>
      <c r="Y264" s="6" t="s">
        <v>76</v>
      </c>
      <c r="Z264" s="3" t="s">
        <v>84</v>
      </c>
      <c r="AA264" s="1">
        <v>1.0</v>
      </c>
      <c r="AB264" s="1">
        <v>5.0</v>
      </c>
      <c r="AI264" s="1" t="s">
        <v>1064</v>
      </c>
      <c r="AJ264" s="1">
        <v>1600.0</v>
      </c>
      <c r="AK264" s="1">
        <v>2014.0</v>
      </c>
      <c r="AL264" s="2" t="s">
        <v>73</v>
      </c>
      <c r="AM264" s="2" t="s">
        <v>72</v>
      </c>
      <c r="AN264" s="2" t="s">
        <v>132</v>
      </c>
      <c r="AO264" s="2" t="s">
        <v>72</v>
      </c>
      <c r="AQ264" s="2" t="s">
        <v>102</v>
      </c>
      <c r="AR264" s="2" t="s">
        <v>76</v>
      </c>
      <c r="AS264" s="1">
        <v>2845.0</v>
      </c>
      <c r="AT264" s="1">
        <v>2845.0</v>
      </c>
      <c r="AU264" s="1">
        <v>1222.0</v>
      </c>
      <c r="AV264" s="1">
        <v>15.0</v>
      </c>
      <c r="AW264" s="1">
        <v>108.0</v>
      </c>
      <c r="AX264" s="1">
        <v>6850.0</v>
      </c>
      <c r="AY264" s="1">
        <v>356.0</v>
      </c>
      <c r="AZ264" s="1" t="s">
        <v>281</v>
      </c>
      <c r="BA264" s="1" t="s">
        <v>121</v>
      </c>
    </row>
    <row r="265">
      <c r="A265" s="1" t="s">
        <v>1049</v>
      </c>
      <c r="B265" s="1" t="s">
        <v>53</v>
      </c>
      <c r="C265" s="1">
        <v>2020.0</v>
      </c>
      <c r="D265" s="1" t="s">
        <v>1050</v>
      </c>
      <c r="E265" s="1" t="s">
        <v>1051</v>
      </c>
      <c r="F265" s="1" t="s">
        <v>732</v>
      </c>
      <c r="G265" s="1" t="s">
        <v>1052</v>
      </c>
      <c r="H265" s="1" t="s">
        <v>1053</v>
      </c>
      <c r="I265" s="1">
        <v>64.0</v>
      </c>
      <c r="J265" s="1">
        <v>1.0</v>
      </c>
      <c r="K265" s="2" t="s">
        <v>1054</v>
      </c>
      <c r="L265" s="2" t="s">
        <v>60</v>
      </c>
      <c r="M265" s="1" t="s">
        <v>1065</v>
      </c>
      <c r="N265" s="1" t="s">
        <v>62</v>
      </c>
      <c r="O265" s="1" t="s">
        <v>112</v>
      </c>
      <c r="P265" s="1" t="s">
        <v>1063</v>
      </c>
      <c r="Q265" s="1">
        <v>9.0669</v>
      </c>
      <c r="R265" s="1">
        <v>-83.3472</v>
      </c>
      <c r="S265" s="1" t="s">
        <v>148</v>
      </c>
      <c r="T265" s="2" t="s">
        <v>388</v>
      </c>
      <c r="U265" s="3" t="s">
        <v>1059</v>
      </c>
      <c r="V265" s="3" t="s">
        <v>68</v>
      </c>
      <c r="W265" s="1" t="s">
        <v>547</v>
      </c>
      <c r="X265" s="1" t="s">
        <v>70</v>
      </c>
      <c r="Y265" s="6" t="s">
        <v>76</v>
      </c>
      <c r="Z265" s="3" t="s">
        <v>411</v>
      </c>
      <c r="AA265" s="1">
        <v>1.0</v>
      </c>
      <c r="AB265" s="1">
        <v>5.0</v>
      </c>
      <c r="AI265" s="1" t="s">
        <v>1064</v>
      </c>
      <c r="AJ265" s="1">
        <v>1600.0</v>
      </c>
      <c r="AK265" s="1">
        <v>2014.0</v>
      </c>
      <c r="AL265" s="2" t="s">
        <v>73</v>
      </c>
      <c r="AM265" s="2" t="s">
        <v>72</v>
      </c>
      <c r="AN265" s="2" t="s">
        <v>132</v>
      </c>
      <c r="AO265" s="2" t="s">
        <v>72</v>
      </c>
      <c r="AQ265" s="2" t="s">
        <v>102</v>
      </c>
      <c r="AR265" s="2" t="s">
        <v>76</v>
      </c>
      <c r="AS265" s="1">
        <v>2845.0</v>
      </c>
      <c r="AT265" s="1">
        <v>2845.0</v>
      </c>
      <c r="AU265" s="1">
        <v>1222.0</v>
      </c>
      <c r="AV265" s="1">
        <v>15.0</v>
      </c>
      <c r="AW265" s="1">
        <v>108.0</v>
      </c>
      <c r="AX265" s="1">
        <v>6850.0</v>
      </c>
      <c r="AY265" s="1">
        <v>356.0</v>
      </c>
      <c r="AZ265" s="1" t="s">
        <v>281</v>
      </c>
      <c r="BA265" s="1" t="s">
        <v>121</v>
      </c>
    </row>
    <row r="266">
      <c r="A266" s="1" t="s">
        <v>1049</v>
      </c>
      <c r="B266" s="1" t="s">
        <v>53</v>
      </c>
      <c r="C266" s="1">
        <v>2020.0</v>
      </c>
      <c r="D266" s="1" t="s">
        <v>1050</v>
      </c>
      <c r="E266" s="1" t="s">
        <v>1051</v>
      </c>
      <c r="F266" s="1" t="s">
        <v>732</v>
      </c>
      <c r="G266" s="1" t="s">
        <v>1052</v>
      </c>
      <c r="H266" s="1" t="s">
        <v>1053</v>
      </c>
      <c r="I266" s="1">
        <v>64.0</v>
      </c>
      <c r="J266" s="1">
        <v>1.0</v>
      </c>
      <c r="K266" s="2" t="s">
        <v>1054</v>
      </c>
      <c r="L266" s="2" t="s">
        <v>60</v>
      </c>
      <c r="M266" s="1" t="s">
        <v>1066</v>
      </c>
      <c r="N266" s="1" t="s">
        <v>62</v>
      </c>
      <c r="O266" s="1" t="s">
        <v>112</v>
      </c>
      <c r="P266" s="1" t="s">
        <v>1063</v>
      </c>
      <c r="Q266" s="1">
        <v>9.0669</v>
      </c>
      <c r="R266" s="1">
        <v>-83.3472</v>
      </c>
      <c r="S266" s="1" t="s">
        <v>148</v>
      </c>
      <c r="T266" s="2" t="s">
        <v>135</v>
      </c>
      <c r="U266" s="3" t="s">
        <v>1059</v>
      </c>
      <c r="V266" s="3" t="s">
        <v>68</v>
      </c>
      <c r="W266" s="1" t="s">
        <v>547</v>
      </c>
      <c r="X266" s="1" t="s">
        <v>70</v>
      </c>
      <c r="Y266" s="6" t="s">
        <v>76</v>
      </c>
      <c r="Z266" s="3" t="s">
        <v>173</v>
      </c>
      <c r="AA266" s="1">
        <v>1.0</v>
      </c>
      <c r="AB266" s="1">
        <v>5.0</v>
      </c>
      <c r="AI266" s="1" t="s">
        <v>1064</v>
      </c>
      <c r="AJ266" s="1">
        <v>1600.0</v>
      </c>
      <c r="AK266" s="1">
        <v>2014.0</v>
      </c>
      <c r="AL266" s="2" t="s">
        <v>73</v>
      </c>
      <c r="AM266" s="2" t="s">
        <v>72</v>
      </c>
      <c r="AN266" s="2" t="s">
        <v>132</v>
      </c>
      <c r="AO266" s="2" t="s">
        <v>72</v>
      </c>
      <c r="AQ266" s="2" t="s">
        <v>102</v>
      </c>
      <c r="AR266" s="2" t="s">
        <v>76</v>
      </c>
      <c r="AS266" s="1">
        <v>2845.0</v>
      </c>
      <c r="AT266" s="1">
        <v>2845.0</v>
      </c>
      <c r="AU266" s="1">
        <v>1222.0</v>
      </c>
      <c r="AV266" s="1">
        <v>15.0</v>
      </c>
      <c r="AW266" s="1">
        <v>108.0</v>
      </c>
      <c r="AX266" s="1">
        <v>6850.0</v>
      </c>
      <c r="AY266" s="1">
        <v>356.0</v>
      </c>
      <c r="AZ266" s="1" t="s">
        <v>281</v>
      </c>
      <c r="BA266" s="1" t="s">
        <v>121</v>
      </c>
    </row>
    <row r="267">
      <c r="A267" s="1" t="s">
        <v>1067</v>
      </c>
      <c r="B267" s="1" t="s">
        <v>53</v>
      </c>
      <c r="C267" s="1">
        <v>1992.0</v>
      </c>
      <c r="D267" s="1" t="s">
        <v>1068</v>
      </c>
      <c r="E267" s="1" t="s">
        <v>1069</v>
      </c>
      <c r="F267" s="1" t="s">
        <v>827</v>
      </c>
      <c r="H267" s="1" t="s">
        <v>1070</v>
      </c>
      <c r="I267" s="1">
        <v>7.0</v>
      </c>
      <c r="J267" s="1">
        <v>3.0</v>
      </c>
      <c r="K267" s="2" t="s">
        <v>1071</v>
      </c>
      <c r="L267" s="2" t="s">
        <v>76</v>
      </c>
      <c r="M267" s="1" t="s">
        <v>1067</v>
      </c>
      <c r="N267" s="1" t="s">
        <v>62</v>
      </c>
      <c r="O267" s="1" t="s">
        <v>112</v>
      </c>
      <c r="P267" s="1" t="s">
        <v>1072</v>
      </c>
      <c r="Q267" s="1">
        <v>9.683333</v>
      </c>
      <c r="R267" s="1">
        <v>-83.95</v>
      </c>
      <c r="S267" s="1" t="s">
        <v>114</v>
      </c>
      <c r="T267" s="2" t="s">
        <v>66</v>
      </c>
      <c r="U267" s="2" t="s">
        <v>1073</v>
      </c>
      <c r="V267" s="3" t="s">
        <v>97</v>
      </c>
      <c r="W267" s="1" t="s">
        <v>1074</v>
      </c>
      <c r="X267" s="1" t="s">
        <v>70</v>
      </c>
      <c r="Y267" s="6" t="s">
        <v>76</v>
      </c>
      <c r="Z267" s="3" t="s">
        <v>76</v>
      </c>
      <c r="AA267" s="1">
        <v>1.0</v>
      </c>
      <c r="AB267" s="1">
        <v>2.0</v>
      </c>
      <c r="AI267" s="2" t="s">
        <v>72</v>
      </c>
      <c r="AJ267" s="1">
        <v>-78050.0</v>
      </c>
      <c r="AK267" s="1">
        <v>560.0</v>
      </c>
      <c r="AL267" s="2" t="s">
        <v>100</v>
      </c>
      <c r="AM267" s="2" t="s">
        <v>72</v>
      </c>
      <c r="AN267" s="1" t="s">
        <v>1075</v>
      </c>
      <c r="AO267" s="2" t="s">
        <v>72</v>
      </c>
      <c r="AQ267" s="2" t="s">
        <v>75</v>
      </c>
      <c r="AR267" s="2" t="s">
        <v>76</v>
      </c>
      <c r="AS267" s="1">
        <v>2384.0</v>
      </c>
      <c r="AT267" s="1">
        <v>2384.0</v>
      </c>
      <c r="AU267" s="1">
        <v>1211.0</v>
      </c>
      <c r="AV267" s="1">
        <v>13.0</v>
      </c>
      <c r="AW267" s="1">
        <v>51.0</v>
      </c>
      <c r="AX267" s="1">
        <v>8299.0</v>
      </c>
      <c r="AY267" s="1">
        <v>2279.0</v>
      </c>
      <c r="AZ267" s="1" t="s">
        <v>627</v>
      </c>
      <c r="BA267" s="1" t="s">
        <v>121</v>
      </c>
    </row>
    <row r="268">
      <c r="A268" s="1" t="s">
        <v>824</v>
      </c>
      <c r="B268" s="1" t="s">
        <v>53</v>
      </c>
      <c r="C268" s="1">
        <v>2005.0</v>
      </c>
      <c r="D268" s="1" t="s">
        <v>825</v>
      </c>
      <c r="E268" s="1" t="s">
        <v>826</v>
      </c>
      <c r="F268" s="1" t="s">
        <v>827</v>
      </c>
      <c r="G268" s="1" t="s">
        <v>828</v>
      </c>
      <c r="H268" s="1" t="s">
        <v>829</v>
      </c>
      <c r="I268" s="1">
        <v>20.0</v>
      </c>
      <c r="J268" s="1">
        <v>4.0</v>
      </c>
      <c r="K268" s="2" t="s">
        <v>830</v>
      </c>
      <c r="L268" s="2" t="s">
        <v>60</v>
      </c>
      <c r="M268" s="1" t="s">
        <v>1076</v>
      </c>
      <c r="N268" s="1" t="s">
        <v>62</v>
      </c>
      <c r="O268" s="1" t="s">
        <v>167</v>
      </c>
      <c r="P268" s="1" t="s">
        <v>512</v>
      </c>
      <c r="Q268" s="1">
        <v>16.998</v>
      </c>
      <c r="R268" s="1">
        <v>-89.779</v>
      </c>
      <c r="S268" s="1" t="s">
        <v>148</v>
      </c>
      <c r="T268" s="2" t="s">
        <v>66</v>
      </c>
      <c r="U268" s="2" t="s">
        <v>1073</v>
      </c>
      <c r="V268" s="3" t="s">
        <v>788</v>
      </c>
      <c r="W268" s="1" t="s">
        <v>1077</v>
      </c>
      <c r="X268" s="1" t="s">
        <v>70</v>
      </c>
      <c r="Y268" s="6" t="s">
        <v>76</v>
      </c>
      <c r="Z268" s="3" t="s">
        <v>76</v>
      </c>
      <c r="AA268" s="1">
        <v>1.0</v>
      </c>
      <c r="AB268" s="1">
        <v>2.0</v>
      </c>
      <c r="AI268" s="1" t="s">
        <v>1078</v>
      </c>
      <c r="AJ268" s="1">
        <v>-9300.0</v>
      </c>
      <c r="AK268" s="1">
        <v>-3300.0</v>
      </c>
      <c r="AL268" s="2" t="s">
        <v>100</v>
      </c>
      <c r="AM268" s="2" t="s">
        <v>72</v>
      </c>
      <c r="AN268" s="1" t="s">
        <v>400</v>
      </c>
      <c r="AO268" s="2" t="s">
        <v>72</v>
      </c>
      <c r="AQ268" s="2" t="s">
        <v>102</v>
      </c>
      <c r="AR268" s="2" t="s">
        <v>76</v>
      </c>
      <c r="AS268" s="1">
        <v>1675.0</v>
      </c>
      <c r="AT268" s="1">
        <v>1675.0</v>
      </c>
      <c r="AU268" s="1">
        <v>675.0</v>
      </c>
      <c r="AV268" s="1">
        <v>36.0</v>
      </c>
      <c r="AW268" s="1">
        <v>133.0</v>
      </c>
      <c r="AX268" s="1">
        <v>5856.0</v>
      </c>
      <c r="AY268" s="1">
        <v>110.0</v>
      </c>
      <c r="AZ268" s="1" t="s">
        <v>133</v>
      </c>
      <c r="BA268" s="1" t="s">
        <v>121</v>
      </c>
    </row>
    <row r="269">
      <c r="A269" s="1" t="s">
        <v>824</v>
      </c>
      <c r="B269" s="1" t="s">
        <v>53</v>
      </c>
      <c r="C269" s="1">
        <v>2005.0</v>
      </c>
      <c r="D269" s="1" t="s">
        <v>825</v>
      </c>
      <c r="E269" s="1" t="s">
        <v>826</v>
      </c>
      <c r="F269" s="1" t="s">
        <v>827</v>
      </c>
      <c r="G269" s="1" t="s">
        <v>828</v>
      </c>
      <c r="H269" s="1" t="s">
        <v>829</v>
      </c>
      <c r="I269" s="1">
        <v>20.0</v>
      </c>
      <c r="J269" s="1">
        <v>4.0</v>
      </c>
      <c r="K269" s="2" t="s">
        <v>830</v>
      </c>
      <c r="L269" s="2" t="s">
        <v>60</v>
      </c>
      <c r="M269" s="1" t="s">
        <v>1079</v>
      </c>
      <c r="N269" s="1" t="s">
        <v>62</v>
      </c>
      <c r="O269" s="1" t="s">
        <v>167</v>
      </c>
      <c r="P269" s="1" t="s">
        <v>512</v>
      </c>
      <c r="Q269" s="1">
        <v>17.0</v>
      </c>
      <c r="R269" s="1">
        <v>-89.779</v>
      </c>
      <c r="S269" s="1" t="s">
        <v>148</v>
      </c>
      <c r="T269" s="2" t="s">
        <v>95</v>
      </c>
      <c r="U269" s="2" t="s">
        <v>615</v>
      </c>
      <c r="V269" s="3" t="s">
        <v>97</v>
      </c>
      <c r="W269" s="1" t="s">
        <v>264</v>
      </c>
      <c r="X269" s="1" t="s">
        <v>256</v>
      </c>
      <c r="Y269" s="6" t="s">
        <v>76</v>
      </c>
      <c r="Z269" s="3" t="s">
        <v>76</v>
      </c>
      <c r="AA269" s="1">
        <v>1.0</v>
      </c>
      <c r="AB269" s="1">
        <v>12.0</v>
      </c>
      <c r="AI269" s="1" t="s">
        <v>833</v>
      </c>
      <c r="AJ269" s="1">
        <v>-9050.0</v>
      </c>
      <c r="AK269" s="1">
        <v>1600.0</v>
      </c>
      <c r="AL269" s="2" t="s">
        <v>100</v>
      </c>
      <c r="AM269" s="2" t="s">
        <v>72</v>
      </c>
      <c r="AN269" s="1" t="s">
        <v>400</v>
      </c>
      <c r="AO269" s="2" t="s">
        <v>72</v>
      </c>
      <c r="AQ269" s="2" t="s">
        <v>102</v>
      </c>
      <c r="AR269" s="2" t="s">
        <v>76</v>
      </c>
      <c r="AS269" s="1">
        <v>1675.0</v>
      </c>
      <c r="AT269" s="1">
        <v>1675.0</v>
      </c>
      <c r="AU269" s="1">
        <v>675.0</v>
      </c>
      <c r="AV269" s="1">
        <v>36.0</v>
      </c>
      <c r="AW269" s="1">
        <v>133.0</v>
      </c>
      <c r="AX269" s="1">
        <v>5856.0</v>
      </c>
      <c r="AY269" s="1">
        <v>110.0</v>
      </c>
      <c r="AZ269" s="1" t="s">
        <v>133</v>
      </c>
      <c r="BA269" s="1" t="s">
        <v>121</v>
      </c>
    </row>
    <row r="270">
      <c r="A270" s="1" t="s">
        <v>824</v>
      </c>
      <c r="B270" s="1" t="s">
        <v>53</v>
      </c>
      <c r="C270" s="1">
        <v>2005.0</v>
      </c>
      <c r="D270" s="1" t="s">
        <v>825</v>
      </c>
      <c r="E270" s="1" t="s">
        <v>826</v>
      </c>
      <c r="F270" s="1" t="s">
        <v>827</v>
      </c>
      <c r="G270" s="1" t="s">
        <v>828</v>
      </c>
      <c r="H270" s="1" t="s">
        <v>829</v>
      </c>
      <c r="I270" s="1">
        <v>20.0</v>
      </c>
      <c r="J270" s="1">
        <v>4.0</v>
      </c>
      <c r="K270" s="2" t="s">
        <v>830</v>
      </c>
      <c r="L270" s="2" t="s">
        <v>60</v>
      </c>
      <c r="M270" s="1" t="s">
        <v>1080</v>
      </c>
      <c r="N270" s="1" t="s">
        <v>62</v>
      </c>
      <c r="O270" s="1" t="s">
        <v>167</v>
      </c>
      <c r="P270" s="1" t="s">
        <v>512</v>
      </c>
      <c r="Q270" s="1">
        <v>17.0</v>
      </c>
      <c r="R270" s="1">
        <v>-89.779</v>
      </c>
      <c r="S270" s="1" t="s">
        <v>148</v>
      </c>
      <c r="T270" s="2" t="s">
        <v>95</v>
      </c>
      <c r="U270" s="2" t="s">
        <v>615</v>
      </c>
      <c r="V270" s="3" t="s">
        <v>97</v>
      </c>
      <c r="W270" s="1" t="s">
        <v>264</v>
      </c>
      <c r="X270" s="1" t="s">
        <v>256</v>
      </c>
      <c r="Y270" s="6" t="s">
        <v>76</v>
      </c>
      <c r="Z270" s="3" t="s">
        <v>76</v>
      </c>
      <c r="AA270" s="1">
        <v>1.0</v>
      </c>
      <c r="AB270" s="1">
        <v>12.0</v>
      </c>
      <c r="AI270" s="1" t="s">
        <v>833</v>
      </c>
      <c r="AJ270" s="1">
        <v>-9050.0</v>
      </c>
      <c r="AK270" s="1">
        <v>1600.0</v>
      </c>
      <c r="AL270" s="2" t="s">
        <v>100</v>
      </c>
      <c r="AM270" s="2" t="s">
        <v>72</v>
      </c>
      <c r="AN270" s="1" t="s">
        <v>400</v>
      </c>
      <c r="AO270" s="2" t="s">
        <v>72</v>
      </c>
      <c r="AQ270" s="2" t="s">
        <v>102</v>
      </c>
      <c r="AR270" s="2" t="s">
        <v>76</v>
      </c>
      <c r="AS270" s="1">
        <v>1675.0</v>
      </c>
      <c r="AT270" s="1">
        <v>1675.0</v>
      </c>
      <c r="AU270" s="1">
        <v>675.0</v>
      </c>
      <c r="AV270" s="1">
        <v>36.0</v>
      </c>
      <c r="AW270" s="1">
        <v>133.0</v>
      </c>
      <c r="AX270" s="1">
        <v>5856.0</v>
      </c>
      <c r="AY270" s="1">
        <v>110.0</v>
      </c>
      <c r="AZ270" s="1" t="s">
        <v>133</v>
      </c>
      <c r="BA270" s="1" t="s">
        <v>121</v>
      </c>
    </row>
    <row r="271">
      <c r="A271" s="1" t="s">
        <v>1081</v>
      </c>
      <c r="B271" s="1" t="s">
        <v>53</v>
      </c>
      <c r="C271" s="1">
        <v>2017.0</v>
      </c>
      <c r="D271" s="1" t="s">
        <v>1082</v>
      </c>
      <c r="E271" s="1" t="s">
        <v>1083</v>
      </c>
      <c r="F271" s="1" t="s">
        <v>827</v>
      </c>
      <c r="G271" s="1" t="s">
        <v>1084</v>
      </c>
      <c r="H271" s="1" t="s">
        <v>1085</v>
      </c>
      <c r="I271" s="1">
        <v>32.0</v>
      </c>
      <c r="J271" s="1">
        <v>8.0</v>
      </c>
      <c r="K271" s="2" t="s">
        <v>1086</v>
      </c>
      <c r="L271" s="2" t="s">
        <v>60</v>
      </c>
      <c r="M271" s="1" t="s">
        <v>1087</v>
      </c>
      <c r="N271" s="1" t="s">
        <v>62</v>
      </c>
      <c r="O271" s="1" t="s">
        <v>92</v>
      </c>
      <c r="P271" s="1" t="s">
        <v>1088</v>
      </c>
      <c r="Q271" s="1">
        <v>20.38821</v>
      </c>
      <c r="R271" s="1">
        <v>-90.428587</v>
      </c>
      <c r="S271" s="3" t="s">
        <v>114</v>
      </c>
      <c r="T271" s="2" t="s">
        <v>194</v>
      </c>
      <c r="U271" s="2" t="s">
        <v>96</v>
      </c>
      <c r="V271" s="3" t="s">
        <v>97</v>
      </c>
      <c r="W271" s="1" t="s">
        <v>1089</v>
      </c>
      <c r="X271" s="1" t="s">
        <v>70</v>
      </c>
      <c r="Y271" s="5" t="s">
        <v>76</v>
      </c>
      <c r="Z271" s="3" t="s">
        <v>76</v>
      </c>
      <c r="AB271" s="1">
        <v>3.0</v>
      </c>
      <c r="AI271" s="2" t="s">
        <v>72</v>
      </c>
      <c r="AJ271" s="1">
        <v>-2000.0</v>
      </c>
      <c r="AK271" s="1">
        <v>1950.0</v>
      </c>
      <c r="AL271" s="2" t="s">
        <v>73</v>
      </c>
      <c r="AM271" s="2" t="s">
        <v>72</v>
      </c>
      <c r="AN271" s="2" t="s">
        <v>132</v>
      </c>
      <c r="AO271" s="2" t="s">
        <v>72</v>
      </c>
      <c r="AQ271" s="2" t="s">
        <v>576</v>
      </c>
      <c r="AR271" s="2" t="s">
        <v>76</v>
      </c>
      <c r="AS271" s="1">
        <v>926.0</v>
      </c>
      <c r="AT271" s="1">
        <v>926.0</v>
      </c>
      <c r="AU271" s="1">
        <v>479.0</v>
      </c>
      <c r="AV271" s="1">
        <v>12.0</v>
      </c>
      <c r="AW271" s="1">
        <v>42.0</v>
      </c>
      <c r="AX271" s="1">
        <v>8239.0</v>
      </c>
      <c r="AY271" s="1">
        <v>4.0</v>
      </c>
      <c r="AZ271" s="1" t="s">
        <v>658</v>
      </c>
      <c r="BA271" s="1" t="s">
        <v>659</v>
      </c>
    </row>
    <row r="272">
      <c r="A272" s="1" t="s">
        <v>1081</v>
      </c>
      <c r="B272" s="1" t="s">
        <v>53</v>
      </c>
      <c r="C272" s="1">
        <v>2017.0</v>
      </c>
      <c r="D272" s="1" t="s">
        <v>1082</v>
      </c>
      <c r="E272" s="1" t="s">
        <v>1083</v>
      </c>
      <c r="F272" s="1" t="s">
        <v>827</v>
      </c>
      <c r="G272" s="1" t="s">
        <v>1084</v>
      </c>
      <c r="H272" s="1" t="s">
        <v>1085</v>
      </c>
      <c r="I272" s="1">
        <v>32.0</v>
      </c>
      <c r="J272" s="1">
        <v>8.0</v>
      </c>
      <c r="K272" s="2" t="s">
        <v>1086</v>
      </c>
      <c r="L272" s="2" t="s">
        <v>60</v>
      </c>
      <c r="M272" s="1" t="s">
        <v>1090</v>
      </c>
      <c r="N272" s="1" t="s">
        <v>62</v>
      </c>
      <c r="O272" s="1" t="s">
        <v>92</v>
      </c>
      <c r="P272" s="1" t="s">
        <v>1088</v>
      </c>
      <c r="Q272" s="1">
        <v>20.38821</v>
      </c>
      <c r="R272" s="1">
        <v>-90.428587</v>
      </c>
      <c r="S272" s="3" t="s">
        <v>114</v>
      </c>
      <c r="T272" s="2" t="s">
        <v>189</v>
      </c>
      <c r="U272" s="2" t="s">
        <v>96</v>
      </c>
      <c r="V272" s="3" t="s">
        <v>97</v>
      </c>
      <c r="W272" s="1" t="s">
        <v>1089</v>
      </c>
      <c r="X272" s="1" t="s">
        <v>70</v>
      </c>
      <c r="Y272" s="5" t="s">
        <v>76</v>
      </c>
      <c r="Z272" s="3" t="s">
        <v>76</v>
      </c>
      <c r="AB272" s="1">
        <v>3.0</v>
      </c>
      <c r="AI272" s="2" t="s">
        <v>72</v>
      </c>
      <c r="AJ272" s="1">
        <v>-2000.0</v>
      </c>
      <c r="AK272" s="1">
        <v>1950.0</v>
      </c>
      <c r="AL272" s="2" t="s">
        <v>73</v>
      </c>
      <c r="AM272" s="2" t="s">
        <v>72</v>
      </c>
      <c r="AN272" s="2" t="s">
        <v>132</v>
      </c>
      <c r="AO272" s="2" t="s">
        <v>72</v>
      </c>
      <c r="AQ272" s="2" t="s">
        <v>576</v>
      </c>
      <c r="AR272" s="2" t="s">
        <v>76</v>
      </c>
      <c r="AS272" s="1">
        <v>926.0</v>
      </c>
      <c r="AT272" s="1">
        <v>926.0</v>
      </c>
      <c r="AU272" s="1">
        <v>479.0</v>
      </c>
      <c r="AV272" s="1">
        <v>12.0</v>
      </c>
      <c r="AW272" s="1">
        <v>42.0</v>
      </c>
      <c r="AX272" s="1">
        <v>8239.0</v>
      </c>
      <c r="AY272" s="1">
        <v>4.0</v>
      </c>
      <c r="AZ272" s="1" t="s">
        <v>658</v>
      </c>
      <c r="BA272" s="1" t="s">
        <v>659</v>
      </c>
    </row>
    <row r="273">
      <c r="A273" s="1" t="s">
        <v>1081</v>
      </c>
      <c r="B273" s="1" t="s">
        <v>53</v>
      </c>
      <c r="C273" s="1">
        <v>2017.0</v>
      </c>
      <c r="D273" s="1" t="s">
        <v>1082</v>
      </c>
      <c r="E273" s="1" t="s">
        <v>1083</v>
      </c>
      <c r="F273" s="1" t="s">
        <v>827</v>
      </c>
      <c r="G273" s="1" t="s">
        <v>1084</v>
      </c>
      <c r="H273" s="1" t="s">
        <v>1085</v>
      </c>
      <c r="I273" s="1">
        <v>32.0</v>
      </c>
      <c r="J273" s="1">
        <v>8.0</v>
      </c>
      <c r="K273" s="2" t="s">
        <v>1086</v>
      </c>
      <c r="L273" s="2" t="s">
        <v>60</v>
      </c>
      <c r="M273" s="1" t="s">
        <v>1091</v>
      </c>
      <c r="N273" s="1" t="s">
        <v>62</v>
      </c>
      <c r="O273" s="1" t="s">
        <v>92</v>
      </c>
      <c r="P273" s="1" t="s">
        <v>1088</v>
      </c>
      <c r="Q273" s="1">
        <v>20.38821</v>
      </c>
      <c r="R273" s="1">
        <v>-90.428587</v>
      </c>
      <c r="S273" s="3" t="s">
        <v>114</v>
      </c>
      <c r="T273" s="2" t="s">
        <v>169</v>
      </c>
      <c r="U273" s="2" t="s">
        <v>96</v>
      </c>
      <c r="V273" s="3" t="s">
        <v>97</v>
      </c>
      <c r="W273" s="1" t="s">
        <v>1044</v>
      </c>
      <c r="X273" s="1" t="s">
        <v>70</v>
      </c>
      <c r="Y273" s="5" t="s">
        <v>76</v>
      </c>
      <c r="Z273" s="3" t="s">
        <v>76</v>
      </c>
      <c r="AB273" s="1">
        <v>3.0</v>
      </c>
      <c r="AI273" s="2" t="s">
        <v>72</v>
      </c>
      <c r="AJ273" s="1">
        <v>-2000.0</v>
      </c>
      <c r="AK273" s="1">
        <v>1950.0</v>
      </c>
      <c r="AL273" s="2" t="s">
        <v>73</v>
      </c>
      <c r="AM273" s="2" t="s">
        <v>72</v>
      </c>
      <c r="AN273" s="2" t="s">
        <v>132</v>
      </c>
      <c r="AO273" s="2" t="s">
        <v>72</v>
      </c>
      <c r="AQ273" s="2" t="s">
        <v>576</v>
      </c>
      <c r="AR273" s="2" t="s">
        <v>76</v>
      </c>
      <c r="AS273" s="1">
        <v>926.0</v>
      </c>
      <c r="AT273" s="1">
        <v>926.0</v>
      </c>
      <c r="AU273" s="1">
        <v>479.0</v>
      </c>
      <c r="AV273" s="1">
        <v>12.0</v>
      </c>
      <c r="AW273" s="1">
        <v>42.0</v>
      </c>
      <c r="AX273" s="1">
        <v>8239.0</v>
      </c>
      <c r="AY273" s="1">
        <v>4.0</v>
      </c>
      <c r="AZ273" s="1" t="s">
        <v>658</v>
      </c>
      <c r="BA273" s="1" t="s">
        <v>659</v>
      </c>
    </row>
    <row r="274">
      <c r="A274" s="1" t="s">
        <v>1092</v>
      </c>
      <c r="B274" s="1" t="s">
        <v>53</v>
      </c>
      <c r="C274" s="1">
        <v>2018.0</v>
      </c>
      <c r="D274" s="1" t="s">
        <v>1093</v>
      </c>
      <c r="E274" s="1" t="s">
        <v>1094</v>
      </c>
      <c r="F274" s="1" t="s">
        <v>827</v>
      </c>
      <c r="G274" s="1" t="s">
        <v>1095</v>
      </c>
      <c r="H274" s="1" t="s">
        <v>1096</v>
      </c>
      <c r="I274" s="1">
        <v>33.0</v>
      </c>
      <c r="J274" s="1">
        <v>2.0</v>
      </c>
      <c r="K274" s="2" t="s">
        <v>1097</v>
      </c>
      <c r="L274" s="2" t="s">
        <v>60</v>
      </c>
      <c r="M274" s="1" t="s">
        <v>1098</v>
      </c>
      <c r="N274" s="1" t="s">
        <v>62</v>
      </c>
      <c r="O274" s="1" t="s">
        <v>167</v>
      </c>
      <c r="P274" s="1" t="s">
        <v>512</v>
      </c>
      <c r="Q274" s="1">
        <v>16.916667</v>
      </c>
      <c r="R274" s="1">
        <v>-89.833333</v>
      </c>
      <c r="S274" s="1" t="s">
        <v>148</v>
      </c>
      <c r="T274" s="2" t="s">
        <v>169</v>
      </c>
      <c r="U274" s="2" t="s">
        <v>1099</v>
      </c>
      <c r="V274" s="3" t="s">
        <v>171</v>
      </c>
      <c r="W274" s="1" t="s">
        <v>1100</v>
      </c>
      <c r="X274" s="1" t="s">
        <v>575</v>
      </c>
      <c r="Y274" s="6" t="s">
        <v>76</v>
      </c>
      <c r="Z274" s="3" t="s">
        <v>173</v>
      </c>
      <c r="AB274" s="1">
        <v>5.0</v>
      </c>
      <c r="AI274" s="2" t="s">
        <v>72</v>
      </c>
      <c r="AJ274" s="1">
        <v>-3550.0</v>
      </c>
      <c r="AK274" s="1">
        <v>1950.0</v>
      </c>
      <c r="AL274" s="2" t="s">
        <v>100</v>
      </c>
      <c r="AM274" s="2" t="s">
        <v>72</v>
      </c>
      <c r="AN274" s="2" t="s">
        <v>72</v>
      </c>
      <c r="AO274" s="2" t="s">
        <v>72</v>
      </c>
      <c r="AQ274" s="2" t="s">
        <v>102</v>
      </c>
      <c r="AR274" s="2" t="s">
        <v>76</v>
      </c>
      <c r="AS274" s="1">
        <v>1738.0</v>
      </c>
      <c r="AT274" s="1">
        <v>1738.0</v>
      </c>
      <c r="AU274" s="1">
        <v>690.0</v>
      </c>
      <c r="AV274" s="1">
        <v>36.0</v>
      </c>
      <c r="AW274" s="1">
        <v>144.0</v>
      </c>
      <c r="AX274" s="1">
        <v>5677.0</v>
      </c>
      <c r="AY274" s="1">
        <v>131.0</v>
      </c>
      <c r="AZ274" s="1" t="s">
        <v>133</v>
      </c>
      <c r="BA274" s="1" t="s">
        <v>121</v>
      </c>
    </row>
    <row r="275">
      <c r="A275" s="1" t="s">
        <v>1101</v>
      </c>
      <c r="B275" s="1" t="s">
        <v>268</v>
      </c>
      <c r="C275" s="1">
        <v>2009.0</v>
      </c>
      <c r="D275" s="1" t="s">
        <v>1102</v>
      </c>
      <c r="E275" s="1" t="s">
        <v>1103</v>
      </c>
      <c r="H275" s="1" t="s">
        <v>1104</v>
      </c>
      <c r="I275" s="1">
        <v>24.0</v>
      </c>
      <c r="K275" s="2" t="s">
        <v>1105</v>
      </c>
      <c r="L275" s="2" t="s">
        <v>60</v>
      </c>
      <c r="M275" s="1" t="s">
        <v>1106</v>
      </c>
      <c r="N275" s="1" t="s">
        <v>62</v>
      </c>
      <c r="O275" s="1" t="s">
        <v>187</v>
      </c>
      <c r="P275" s="1" t="s">
        <v>1107</v>
      </c>
      <c r="Q275" s="1">
        <v>17.763331</v>
      </c>
      <c r="R275" s="1">
        <v>-88.651927</v>
      </c>
      <c r="S275" s="1" t="s">
        <v>1108</v>
      </c>
      <c r="T275" s="2" t="s">
        <v>275</v>
      </c>
      <c r="U275" s="3" t="s">
        <v>72</v>
      </c>
      <c r="V275" s="3" t="s">
        <v>277</v>
      </c>
      <c r="W275" s="1" t="s">
        <v>278</v>
      </c>
      <c r="X275" s="1" t="s">
        <v>279</v>
      </c>
      <c r="Y275" s="6" t="s">
        <v>76</v>
      </c>
      <c r="Z275" s="3" t="s">
        <v>76</v>
      </c>
      <c r="AB275" s="1">
        <v>6.0</v>
      </c>
      <c r="AI275" s="1" t="s">
        <v>1109</v>
      </c>
      <c r="AJ275" s="1">
        <v>-1650.0</v>
      </c>
      <c r="AK275" s="1">
        <v>1950.0</v>
      </c>
      <c r="AL275" s="2" t="s">
        <v>100</v>
      </c>
      <c r="AM275" s="2" t="s">
        <v>76</v>
      </c>
      <c r="AN275" s="1" t="s">
        <v>74</v>
      </c>
      <c r="AO275" s="2" t="s">
        <v>60</v>
      </c>
      <c r="AQ275" s="2" t="s">
        <v>75</v>
      </c>
      <c r="AR275" s="2" t="s">
        <v>76</v>
      </c>
      <c r="AS275" s="1">
        <v>1685.0</v>
      </c>
      <c r="AT275" s="1">
        <v>1685.0</v>
      </c>
      <c r="AU275" s="1">
        <v>661.0</v>
      </c>
      <c r="AV275" s="1">
        <v>44.0</v>
      </c>
      <c r="AW275" s="1">
        <v>146.0</v>
      </c>
      <c r="AX275" s="1">
        <v>5318.0</v>
      </c>
      <c r="AY275" s="1">
        <v>42.0</v>
      </c>
      <c r="AZ275" s="1" t="s">
        <v>445</v>
      </c>
      <c r="BA275" s="1" t="s">
        <v>446</v>
      </c>
    </row>
    <row r="276">
      <c r="A276" s="1" t="s">
        <v>1101</v>
      </c>
      <c r="B276" s="1" t="s">
        <v>268</v>
      </c>
      <c r="C276" s="1">
        <v>2009.0</v>
      </c>
      <c r="D276" s="1" t="s">
        <v>1102</v>
      </c>
      <c r="E276" s="1" t="s">
        <v>1103</v>
      </c>
      <c r="H276" s="1" t="s">
        <v>1104</v>
      </c>
      <c r="I276" s="1">
        <v>24.0</v>
      </c>
      <c r="K276" s="2" t="s">
        <v>1105</v>
      </c>
      <c r="L276" s="2" t="s">
        <v>60</v>
      </c>
      <c r="M276" s="1" t="s">
        <v>1110</v>
      </c>
      <c r="N276" s="1" t="s">
        <v>62</v>
      </c>
      <c r="O276" s="1" t="s">
        <v>187</v>
      </c>
      <c r="P276" s="1" t="s">
        <v>1111</v>
      </c>
      <c r="Q276" s="1">
        <v>17.751954</v>
      </c>
      <c r="R276" s="1">
        <v>-88.653037</v>
      </c>
      <c r="S276" s="1" t="s">
        <v>1108</v>
      </c>
      <c r="T276" s="2" t="s">
        <v>275</v>
      </c>
      <c r="U276" s="3" t="s">
        <v>72</v>
      </c>
      <c r="V276" s="3" t="s">
        <v>277</v>
      </c>
      <c r="W276" s="1" t="s">
        <v>278</v>
      </c>
      <c r="X276" s="1" t="s">
        <v>279</v>
      </c>
      <c r="Y276" s="6" t="s">
        <v>76</v>
      </c>
      <c r="Z276" s="3" t="s">
        <v>76</v>
      </c>
      <c r="AB276" s="1">
        <v>1.0</v>
      </c>
      <c r="AI276" s="1" t="s">
        <v>675</v>
      </c>
      <c r="AJ276" s="2" t="s">
        <v>72</v>
      </c>
      <c r="AK276" s="1">
        <v>1950.0</v>
      </c>
      <c r="AL276" s="2" t="s">
        <v>100</v>
      </c>
      <c r="AM276" s="2" t="s">
        <v>76</v>
      </c>
      <c r="AN276" s="1" t="s">
        <v>74</v>
      </c>
      <c r="AO276" s="2" t="s">
        <v>60</v>
      </c>
      <c r="AQ276" s="2" t="s">
        <v>75</v>
      </c>
      <c r="AR276" s="2" t="s">
        <v>76</v>
      </c>
      <c r="AS276" s="1">
        <v>1691.0</v>
      </c>
      <c r="AT276" s="1">
        <v>1691.0</v>
      </c>
      <c r="AU276" s="1">
        <v>664.0</v>
      </c>
      <c r="AV276" s="1">
        <v>45.0</v>
      </c>
      <c r="AW276" s="1">
        <v>148.0</v>
      </c>
      <c r="AX276" s="1">
        <v>5316.0</v>
      </c>
      <c r="AY276" s="1">
        <v>41.0</v>
      </c>
      <c r="AZ276" s="1" t="s">
        <v>445</v>
      </c>
      <c r="BA276" s="1" t="s">
        <v>446</v>
      </c>
    </row>
    <row r="277">
      <c r="A277" s="1" t="s">
        <v>1101</v>
      </c>
      <c r="B277" s="1" t="s">
        <v>268</v>
      </c>
      <c r="C277" s="1">
        <v>2009.0</v>
      </c>
      <c r="D277" s="1" t="s">
        <v>1102</v>
      </c>
      <c r="E277" s="1" t="s">
        <v>1103</v>
      </c>
      <c r="H277" s="1" t="s">
        <v>1104</v>
      </c>
      <c r="I277" s="1">
        <v>24.0</v>
      </c>
      <c r="K277" s="2" t="s">
        <v>1105</v>
      </c>
      <c r="L277" s="2" t="s">
        <v>60</v>
      </c>
      <c r="M277" s="1" t="s">
        <v>1112</v>
      </c>
      <c r="N277" s="1" t="s">
        <v>62</v>
      </c>
      <c r="O277" s="1" t="s">
        <v>187</v>
      </c>
      <c r="P277" s="1" t="s">
        <v>1113</v>
      </c>
      <c r="Q277" s="1">
        <v>17.599365</v>
      </c>
      <c r="R277" s="1">
        <v>-88.69915</v>
      </c>
      <c r="S277" s="1" t="s">
        <v>1108</v>
      </c>
      <c r="T277" s="2" t="s">
        <v>275</v>
      </c>
      <c r="U277" s="3" t="s">
        <v>72</v>
      </c>
      <c r="V277" s="3" t="s">
        <v>277</v>
      </c>
      <c r="W277" s="1" t="s">
        <v>278</v>
      </c>
      <c r="X277" s="1" t="s">
        <v>279</v>
      </c>
      <c r="Y277" s="6" t="s">
        <v>76</v>
      </c>
      <c r="Z277" s="3" t="s">
        <v>76</v>
      </c>
      <c r="AB277" s="1">
        <v>7.0</v>
      </c>
      <c r="AI277" s="1" t="s">
        <v>1114</v>
      </c>
      <c r="AJ277" s="1">
        <v>-10050.0</v>
      </c>
      <c r="AK277" s="1">
        <v>1950.0</v>
      </c>
      <c r="AL277" s="2" t="s">
        <v>100</v>
      </c>
      <c r="AM277" s="2" t="s">
        <v>76</v>
      </c>
      <c r="AN277" s="1" t="s">
        <v>74</v>
      </c>
      <c r="AO277" s="2" t="s">
        <v>60</v>
      </c>
      <c r="AQ277" s="2" t="s">
        <v>75</v>
      </c>
      <c r="AR277" s="2" t="s">
        <v>76</v>
      </c>
      <c r="AS277" s="1">
        <v>1778.0</v>
      </c>
      <c r="AT277" s="1">
        <v>1778.0</v>
      </c>
      <c r="AU277" s="1">
        <v>697.0</v>
      </c>
      <c r="AV277" s="1">
        <v>45.0</v>
      </c>
      <c r="AW277" s="1">
        <v>158.0</v>
      </c>
      <c r="AX277" s="1">
        <v>5215.0</v>
      </c>
      <c r="AY277" s="1">
        <v>41.0</v>
      </c>
      <c r="AZ277" s="1" t="s">
        <v>133</v>
      </c>
      <c r="BA277" s="1" t="s">
        <v>121</v>
      </c>
    </row>
    <row r="278">
      <c r="A278" s="1" t="s">
        <v>1092</v>
      </c>
      <c r="B278" s="1" t="s">
        <v>53</v>
      </c>
      <c r="C278" s="1">
        <v>2018.0</v>
      </c>
      <c r="D278" s="1" t="s">
        <v>1093</v>
      </c>
      <c r="E278" s="1" t="s">
        <v>1094</v>
      </c>
      <c r="F278" s="1" t="s">
        <v>827</v>
      </c>
      <c r="G278" s="1" t="s">
        <v>1095</v>
      </c>
      <c r="H278" s="1" t="s">
        <v>1096</v>
      </c>
      <c r="I278" s="1">
        <v>33.0</v>
      </c>
      <c r="J278" s="1">
        <v>2.0</v>
      </c>
      <c r="K278" s="2" t="s">
        <v>1097</v>
      </c>
      <c r="L278" s="2" t="s">
        <v>60</v>
      </c>
      <c r="M278" s="1" t="s">
        <v>1115</v>
      </c>
      <c r="N278" s="1" t="s">
        <v>62</v>
      </c>
      <c r="O278" s="1" t="s">
        <v>167</v>
      </c>
      <c r="P278" s="1" t="s">
        <v>512</v>
      </c>
      <c r="Q278" s="1">
        <v>16.916667</v>
      </c>
      <c r="R278" s="1">
        <v>-89.833333</v>
      </c>
      <c r="S278" s="1" t="s">
        <v>148</v>
      </c>
      <c r="T278" s="2" t="s">
        <v>189</v>
      </c>
      <c r="U278" s="2" t="s">
        <v>1099</v>
      </c>
      <c r="V278" s="3" t="s">
        <v>171</v>
      </c>
      <c r="W278" s="1" t="s">
        <v>1116</v>
      </c>
      <c r="X278" s="1" t="s">
        <v>70</v>
      </c>
      <c r="Y278" s="6" t="s">
        <v>76</v>
      </c>
      <c r="Z278" s="3" t="s">
        <v>173</v>
      </c>
      <c r="AB278" s="1">
        <v>5.0</v>
      </c>
      <c r="AI278" s="2" t="s">
        <v>72</v>
      </c>
      <c r="AJ278" s="1">
        <v>-3550.0</v>
      </c>
      <c r="AK278" s="1">
        <v>1950.0</v>
      </c>
      <c r="AL278" s="2" t="s">
        <v>100</v>
      </c>
      <c r="AM278" s="2" t="s">
        <v>72</v>
      </c>
      <c r="AN278" s="2" t="s">
        <v>72</v>
      </c>
      <c r="AO278" s="2" t="s">
        <v>72</v>
      </c>
      <c r="AQ278" s="2" t="s">
        <v>102</v>
      </c>
      <c r="AR278" s="2" t="s">
        <v>76</v>
      </c>
      <c r="AS278" s="1">
        <v>1738.0</v>
      </c>
      <c r="AT278" s="1">
        <v>1738.0</v>
      </c>
      <c r="AU278" s="1">
        <v>690.0</v>
      </c>
      <c r="AV278" s="1">
        <v>36.0</v>
      </c>
      <c r="AW278" s="1">
        <v>144.0</v>
      </c>
      <c r="AX278" s="1">
        <v>5677.0</v>
      </c>
      <c r="AY278" s="1">
        <v>131.0</v>
      </c>
      <c r="AZ278" s="1" t="s">
        <v>133</v>
      </c>
      <c r="BA278" s="1" t="s">
        <v>121</v>
      </c>
    </row>
    <row r="279">
      <c r="A279" s="1" t="s">
        <v>1092</v>
      </c>
      <c r="B279" s="1" t="s">
        <v>53</v>
      </c>
      <c r="C279" s="1">
        <v>2018.0</v>
      </c>
      <c r="D279" s="1" t="s">
        <v>1093</v>
      </c>
      <c r="E279" s="1" t="s">
        <v>1094</v>
      </c>
      <c r="F279" s="1" t="s">
        <v>827</v>
      </c>
      <c r="G279" s="1" t="s">
        <v>1095</v>
      </c>
      <c r="H279" s="1" t="s">
        <v>1096</v>
      </c>
      <c r="I279" s="1">
        <v>33.0</v>
      </c>
      <c r="J279" s="1">
        <v>2.0</v>
      </c>
      <c r="K279" s="2" t="s">
        <v>1097</v>
      </c>
      <c r="L279" s="2" t="s">
        <v>60</v>
      </c>
      <c r="M279" s="1" t="s">
        <v>1117</v>
      </c>
      <c r="N279" s="1" t="s">
        <v>62</v>
      </c>
      <c r="O279" s="1" t="s">
        <v>167</v>
      </c>
      <c r="P279" s="1" t="s">
        <v>512</v>
      </c>
      <c r="Q279" s="1">
        <v>16.916667</v>
      </c>
      <c r="R279" s="1">
        <v>-89.833333</v>
      </c>
      <c r="S279" s="1" t="s">
        <v>148</v>
      </c>
      <c r="T279" s="2" t="s">
        <v>194</v>
      </c>
      <c r="U279" s="2" t="s">
        <v>1099</v>
      </c>
      <c r="V279" s="3" t="s">
        <v>171</v>
      </c>
      <c r="W279" s="1" t="s">
        <v>1116</v>
      </c>
      <c r="X279" s="1" t="s">
        <v>70</v>
      </c>
      <c r="Y279" s="6" t="s">
        <v>76</v>
      </c>
      <c r="Z279" s="3" t="s">
        <v>173</v>
      </c>
      <c r="AB279" s="1">
        <v>5.0</v>
      </c>
      <c r="AI279" s="2" t="s">
        <v>72</v>
      </c>
      <c r="AJ279" s="1">
        <v>-3550.0</v>
      </c>
      <c r="AK279" s="1">
        <v>1950.0</v>
      </c>
      <c r="AL279" s="2" t="s">
        <v>100</v>
      </c>
      <c r="AM279" s="2" t="s">
        <v>72</v>
      </c>
      <c r="AN279" s="2" t="s">
        <v>72</v>
      </c>
      <c r="AO279" s="2" t="s">
        <v>72</v>
      </c>
      <c r="AQ279" s="2" t="s">
        <v>102</v>
      </c>
      <c r="AR279" s="2" t="s">
        <v>76</v>
      </c>
      <c r="AS279" s="1">
        <v>1738.0</v>
      </c>
      <c r="AT279" s="1">
        <v>1738.0</v>
      </c>
      <c r="AU279" s="1">
        <v>690.0</v>
      </c>
      <c r="AV279" s="1">
        <v>36.0</v>
      </c>
      <c r="AW279" s="1">
        <v>144.0</v>
      </c>
      <c r="AX279" s="1">
        <v>5677.0</v>
      </c>
      <c r="AY279" s="1">
        <v>131.0</v>
      </c>
      <c r="AZ279" s="1" t="s">
        <v>133</v>
      </c>
      <c r="BA279" s="1" t="s">
        <v>121</v>
      </c>
    </row>
    <row r="280">
      <c r="A280" s="1" t="s">
        <v>1118</v>
      </c>
      <c r="B280" s="1" t="s">
        <v>53</v>
      </c>
      <c r="C280" s="1">
        <v>2000.0</v>
      </c>
      <c r="D280" s="1" t="s">
        <v>1119</v>
      </c>
      <c r="E280" s="1" t="s">
        <v>1120</v>
      </c>
      <c r="F280" s="1" t="s">
        <v>1121</v>
      </c>
      <c r="H280" s="1" t="s">
        <v>1122</v>
      </c>
      <c r="I280" s="1">
        <v>16.0</v>
      </c>
      <c r="K280" s="2" t="s">
        <v>1123</v>
      </c>
      <c r="L280" s="2" t="s">
        <v>76</v>
      </c>
      <c r="M280" s="1" t="s">
        <v>1118</v>
      </c>
      <c r="N280" s="1" t="s">
        <v>62</v>
      </c>
      <c r="O280" s="1" t="s">
        <v>112</v>
      </c>
      <c r="P280" s="1" t="s">
        <v>308</v>
      </c>
      <c r="Q280" s="1">
        <v>9.494794</v>
      </c>
      <c r="R280" s="1">
        <v>-83.486688</v>
      </c>
      <c r="S280" s="1" t="s">
        <v>148</v>
      </c>
      <c r="T280" s="2" t="s">
        <v>321</v>
      </c>
      <c r="U280" s="1" t="s">
        <v>156</v>
      </c>
      <c r="V280" s="3" t="s">
        <v>138</v>
      </c>
      <c r="W280" s="1" t="s">
        <v>1124</v>
      </c>
      <c r="X280" s="2" t="s">
        <v>355</v>
      </c>
      <c r="Y280" s="6" t="s">
        <v>76</v>
      </c>
      <c r="Z280" s="3" t="s">
        <v>76</v>
      </c>
      <c r="AB280" s="1">
        <v>6.0</v>
      </c>
      <c r="AI280" s="1" t="s">
        <v>1125</v>
      </c>
      <c r="AJ280" s="1">
        <v>-8050.0</v>
      </c>
      <c r="AK280" s="1">
        <v>1950.0</v>
      </c>
      <c r="AL280" s="2" t="s">
        <v>73</v>
      </c>
      <c r="AM280" s="2" t="s">
        <v>60</v>
      </c>
      <c r="AN280" s="2" t="s">
        <v>72</v>
      </c>
      <c r="AO280" s="2" t="s">
        <v>72</v>
      </c>
      <c r="AP280" s="1" t="s">
        <v>280</v>
      </c>
      <c r="AQ280" s="2" t="s">
        <v>576</v>
      </c>
      <c r="AR280" s="2" t="s">
        <v>76</v>
      </c>
      <c r="AS280" s="1">
        <v>2202.0</v>
      </c>
      <c r="AT280" s="1">
        <v>2202.0</v>
      </c>
      <c r="AU280" s="1">
        <v>957.0</v>
      </c>
      <c r="AV280" s="1">
        <v>11.0</v>
      </c>
      <c r="AW280" s="1">
        <v>65.0</v>
      </c>
      <c r="AX280" s="1">
        <v>7181.0</v>
      </c>
      <c r="AY280" s="1">
        <v>3509.0</v>
      </c>
      <c r="AZ280" s="1" t="s">
        <v>154</v>
      </c>
      <c r="BA280" s="1" t="s">
        <v>121</v>
      </c>
    </row>
    <row r="281">
      <c r="A281" s="1" t="s">
        <v>1126</v>
      </c>
      <c r="B281" s="1" t="s">
        <v>53</v>
      </c>
      <c r="C281" s="1">
        <v>2001.0</v>
      </c>
      <c r="D281" s="1" t="s">
        <v>1127</v>
      </c>
      <c r="E281" s="1" t="s">
        <v>1128</v>
      </c>
      <c r="F281" s="1" t="s">
        <v>1121</v>
      </c>
      <c r="H281" s="1" t="s">
        <v>1129</v>
      </c>
      <c r="I281" s="1">
        <v>17.0</v>
      </c>
      <c r="K281" s="2" t="s">
        <v>1130</v>
      </c>
      <c r="L281" s="2" t="s">
        <v>76</v>
      </c>
      <c r="M281" s="1" t="s">
        <v>1126</v>
      </c>
      <c r="N281" s="1" t="s">
        <v>62</v>
      </c>
      <c r="O281" s="1" t="s">
        <v>112</v>
      </c>
      <c r="P281" s="1" t="s">
        <v>1131</v>
      </c>
      <c r="Q281" s="1">
        <v>10.75</v>
      </c>
      <c r="R281" s="1">
        <v>-85.5</v>
      </c>
      <c r="S281" s="1" t="s">
        <v>225</v>
      </c>
      <c r="T281" s="2" t="s">
        <v>225</v>
      </c>
      <c r="U281" s="2" t="s">
        <v>1132</v>
      </c>
      <c r="V281" s="3" t="s">
        <v>97</v>
      </c>
      <c r="W281" s="1" t="s">
        <v>1133</v>
      </c>
      <c r="X281" s="2" t="s">
        <v>83</v>
      </c>
      <c r="Y281" s="6" t="s">
        <v>76</v>
      </c>
      <c r="Z281" s="3" t="s">
        <v>76</v>
      </c>
      <c r="AG281" s="1">
        <v>1.0</v>
      </c>
      <c r="AJ281" s="1">
        <v>1912.0</v>
      </c>
      <c r="AK281" s="1">
        <v>1997.0</v>
      </c>
      <c r="AL281" s="2" t="s">
        <v>153</v>
      </c>
      <c r="AM281" s="2" t="s">
        <v>60</v>
      </c>
      <c r="AN281" s="2" t="s">
        <v>76</v>
      </c>
      <c r="AO281" s="2" t="s">
        <v>101</v>
      </c>
      <c r="AQ281" s="2" t="s">
        <v>102</v>
      </c>
      <c r="AR281" s="2" t="s">
        <v>76</v>
      </c>
      <c r="AS281" s="1">
        <v>1713.0</v>
      </c>
      <c r="AT281" s="1">
        <v>1713.0</v>
      </c>
      <c r="AU281" s="1">
        <v>864.0</v>
      </c>
      <c r="AV281" s="1">
        <v>2.0</v>
      </c>
      <c r="AW281" s="1">
        <v>9.0</v>
      </c>
      <c r="AX281" s="1">
        <v>9030.0</v>
      </c>
      <c r="AY281" s="1">
        <v>100.0</v>
      </c>
      <c r="AZ281" s="1" t="s">
        <v>525</v>
      </c>
      <c r="BA281" s="1" t="s">
        <v>104</v>
      </c>
    </row>
    <row r="282">
      <c r="A282" s="1" t="s">
        <v>1134</v>
      </c>
      <c r="B282" s="1" t="s">
        <v>53</v>
      </c>
      <c r="C282" s="1">
        <v>1996.0</v>
      </c>
      <c r="D282" s="1" t="s">
        <v>1135</v>
      </c>
      <c r="E282" s="1" t="s">
        <v>1136</v>
      </c>
      <c r="F282" s="1" t="s">
        <v>631</v>
      </c>
      <c r="I282" s="1">
        <v>7.0</v>
      </c>
      <c r="J282" s="1">
        <v>4.0</v>
      </c>
      <c r="K282" s="2" t="s">
        <v>1137</v>
      </c>
      <c r="L282" s="2" t="s">
        <v>60</v>
      </c>
      <c r="M282" s="1" t="s">
        <v>1138</v>
      </c>
      <c r="N282" s="1" t="s">
        <v>62</v>
      </c>
      <c r="O282" s="1" t="s">
        <v>187</v>
      </c>
      <c r="P282" s="1" t="s">
        <v>188</v>
      </c>
      <c r="Q282" s="1">
        <v>18.419475</v>
      </c>
      <c r="R282" s="1">
        <v>-88.516108</v>
      </c>
      <c r="S282" s="1" t="s">
        <v>114</v>
      </c>
      <c r="T282" s="2" t="s">
        <v>80</v>
      </c>
      <c r="U282" s="3" t="s">
        <v>81</v>
      </c>
      <c r="V282" s="3" t="s">
        <v>116</v>
      </c>
      <c r="W282" s="2" t="s">
        <v>72</v>
      </c>
      <c r="X282" s="2" t="s">
        <v>83</v>
      </c>
      <c r="Y282" s="6" t="s">
        <v>76</v>
      </c>
      <c r="Z282" s="3" t="s">
        <v>84</v>
      </c>
      <c r="AB282" s="1">
        <v>2.0</v>
      </c>
      <c r="AI282" s="2" t="s">
        <v>72</v>
      </c>
      <c r="AJ282" s="1">
        <v>-5300.0</v>
      </c>
      <c r="AK282" s="1">
        <v>-1650.0</v>
      </c>
      <c r="AL282" s="3" t="s">
        <v>73</v>
      </c>
      <c r="AM282" s="2" t="s">
        <v>72</v>
      </c>
      <c r="AN282" s="2" t="s">
        <v>72</v>
      </c>
      <c r="AO282" s="2" t="s">
        <v>72</v>
      </c>
      <c r="AQ282" s="2" t="s">
        <v>75</v>
      </c>
      <c r="AR282" s="2" t="s">
        <v>76</v>
      </c>
      <c r="AS282" s="1">
        <v>1225.0</v>
      </c>
      <c r="AT282" s="1">
        <v>1225.0</v>
      </c>
      <c r="AU282" s="1">
        <v>506.0</v>
      </c>
      <c r="AV282" s="1">
        <v>24.0</v>
      </c>
      <c r="AW282" s="1">
        <v>85.0</v>
      </c>
      <c r="AX282" s="1">
        <v>6237.0</v>
      </c>
      <c r="AY282" s="1">
        <v>11.0</v>
      </c>
      <c r="AZ282" s="1" t="s">
        <v>133</v>
      </c>
      <c r="BA282" s="1" t="s">
        <v>121</v>
      </c>
    </row>
    <row r="283">
      <c r="A283" s="1" t="s">
        <v>1134</v>
      </c>
      <c r="B283" s="1" t="s">
        <v>53</v>
      </c>
      <c r="C283" s="1">
        <v>1996.0</v>
      </c>
      <c r="D283" s="1" t="s">
        <v>1135</v>
      </c>
      <c r="E283" s="1" t="s">
        <v>1136</v>
      </c>
      <c r="F283" s="1" t="s">
        <v>631</v>
      </c>
      <c r="I283" s="1">
        <v>7.0</v>
      </c>
      <c r="J283" s="1">
        <v>4.0</v>
      </c>
      <c r="K283" s="2" t="s">
        <v>1137</v>
      </c>
      <c r="L283" s="2" t="s">
        <v>60</v>
      </c>
      <c r="M283" s="1" t="s">
        <v>1139</v>
      </c>
      <c r="N283" s="1" t="s">
        <v>62</v>
      </c>
      <c r="O283" s="1" t="s">
        <v>187</v>
      </c>
      <c r="P283" s="1" t="s">
        <v>188</v>
      </c>
      <c r="Q283" s="1">
        <v>17.937719</v>
      </c>
      <c r="R283" s="1">
        <v>-88.366374</v>
      </c>
      <c r="S283" s="1" t="s">
        <v>114</v>
      </c>
      <c r="T283" s="2" t="s">
        <v>66</v>
      </c>
      <c r="U283" s="3" t="s">
        <v>67</v>
      </c>
      <c r="V283" s="3" t="s">
        <v>116</v>
      </c>
      <c r="W283" s="2" t="s">
        <v>72</v>
      </c>
      <c r="X283" s="1" t="s">
        <v>70</v>
      </c>
      <c r="Y283" s="5" t="s">
        <v>76</v>
      </c>
      <c r="Z283" s="3" t="s">
        <v>71</v>
      </c>
      <c r="AA283" s="1">
        <v>1.0</v>
      </c>
      <c r="AB283" s="1">
        <v>2.0</v>
      </c>
      <c r="AI283" s="1" t="s">
        <v>1140</v>
      </c>
      <c r="AJ283" s="1">
        <v>-5500.0</v>
      </c>
      <c r="AK283" s="1">
        <v>-1630.0</v>
      </c>
      <c r="AL283" s="3" t="s">
        <v>73</v>
      </c>
      <c r="AM283" s="2" t="s">
        <v>72</v>
      </c>
      <c r="AN283" s="1" t="s">
        <v>1141</v>
      </c>
      <c r="AO283" s="2" t="s">
        <v>72</v>
      </c>
      <c r="AQ283" s="2" t="s">
        <v>75</v>
      </c>
      <c r="AR283" s="2" t="s">
        <v>76</v>
      </c>
      <c r="AS283" s="1">
        <v>1641.0</v>
      </c>
      <c r="AT283" s="1">
        <v>1641.0</v>
      </c>
      <c r="AU283" s="1">
        <v>627.0</v>
      </c>
      <c r="AV283" s="1">
        <v>42.0</v>
      </c>
      <c r="AW283" s="1">
        <v>136.0</v>
      </c>
      <c r="AX283" s="1">
        <v>5337.0</v>
      </c>
      <c r="AY283" s="1">
        <v>15.0</v>
      </c>
      <c r="AZ283" s="1" t="s">
        <v>133</v>
      </c>
      <c r="BA283" s="1" t="s">
        <v>121</v>
      </c>
    </row>
    <row r="284">
      <c r="A284" s="1" t="s">
        <v>628</v>
      </c>
      <c r="B284" s="1" t="s">
        <v>53</v>
      </c>
      <c r="C284" s="1">
        <v>2001.0</v>
      </c>
      <c r="D284" s="1" t="s">
        <v>629</v>
      </c>
      <c r="E284" s="1" t="s">
        <v>630</v>
      </c>
      <c r="F284" s="1" t="s">
        <v>631</v>
      </c>
      <c r="G284" s="1" t="s">
        <v>632</v>
      </c>
      <c r="H284" s="1" t="s">
        <v>633</v>
      </c>
      <c r="I284" s="1">
        <v>12.0</v>
      </c>
      <c r="J284" s="1">
        <v>2.0</v>
      </c>
      <c r="K284" s="2" t="s">
        <v>634</v>
      </c>
      <c r="L284" s="2" t="s">
        <v>60</v>
      </c>
      <c r="M284" s="1" t="s">
        <v>1142</v>
      </c>
      <c r="N284" s="1" t="s">
        <v>62</v>
      </c>
      <c r="O284" s="1" t="s">
        <v>167</v>
      </c>
      <c r="P284" s="1" t="s">
        <v>636</v>
      </c>
      <c r="Q284" s="1">
        <v>16.2</v>
      </c>
      <c r="R284" s="1">
        <v>-90.1</v>
      </c>
      <c r="S284" s="1" t="s">
        <v>148</v>
      </c>
      <c r="T284" s="2" t="s">
        <v>66</v>
      </c>
      <c r="U284" s="3" t="s">
        <v>67</v>
      </c>
      <c r="V284" s="3" t="s">
        <v>68</v>
      </c>
      <c r="W284" s="1" t="s">
        <v>1143</v>
      </c>
      <c r="X284" s="2" t="s">
        <v>70</v>
      </c>
      <c r="Y284" s="5" t="s">
        <v>60</v>
      </c>
      <c r="Z284" s="3" t="s">
        <v>71</v>
      </c>
      <c r="AB284" s="1">
        <v>4.0</v>
      </c>
      <c r="AI284" s="1" t="s">
        <v>638</v>
      </c>
      <c r="AJ284" s="1">
        <v>-2080.0</v>
      </c>
      <c r="AK284" s="1">
        <v>1950.0</v>
      </c>
      <c r="AL284" s="3" t="s">
        <v>73</v>
      </c>
      <c r="AM284" s="2" t="s">
        <v>60</v>
      </c>
      <c r="AN284" s="2" t="s">
        <v>72</v>
      </c>
      <c r="AO284" s="2" t="s">
        <v>60</v>
      </c>
      <c r="AQ284" s="2" t="s">
        <v>75</v>
      </c>
      <c r="AR284" s="2" t="s">
        <v>76</v>
      </c>
      <c r="AS284" s="1">
        <v>3418.0</v>
      </c>
      <c r="AT284" s="1">
        <v>3418.0</v>
      </c>
      <c r="AU284" s="1">
        <v>1440.0</v>
      </c>
      <c r="AV284" s="1">
        <v>86.0</v>
      </c>
      <c r="AW284" s="1">
        <v>311.0</v>
      </c>
      <c r="AX284" s="1">
        <v>5582.0</v>
      </c>
      <c r="AY284" s="1">
        <v>136.0</v>
      </c>
      <c r="AZ284" s="1" t="s">
        <v>133</v>
      </c>
      <c r="BA284" s="1" t="s">
        <v>121</v>
      </c>
    </row>
    <row r="285">
      <c r="A285" s="1" t="s">
        <v>628</v>
      </c>
      <c r="B285" s="1" t="s">
        <v>53</v>
      </c>
      <c r="C285" s="1">
        <v>2001.0</v>
      </c>
      <c r="D285" s="1" t="s">
        <v>629</v>
      </c>
      <c r="E285" s="1" t="s">
        <v>630</v>
      </c>
      <c r="F285" s="1" t="s">
        <v>631</v>
      </c>
      <c r="G285" s="1" t="s">
        <v>632</v>
      </c>
      <c r="H285" s="1" t="s">
        <v>633</v>
      </c>
      <c r="I285" s="1">
        <v>12.0</v>
      </c>
      <c r="J285" s="1">
        <v>2.0</v>
      </c>
      <c r="K285" s="2" t="s">
        <v>634</v>
      </c>
      <c r="L285" s="2" t="s">
        <v>60</v>
      </c>
      <c r="M285" s="1" t="s">
        <v>1144</v>
      </c>
      <c r="N285" s="1" t="s">
        <v>62</v>
      </c>
      <c r="O285" s="1" t="s">
        <v>167</v>
      </c>
      <c r="P285" s="1" t="s">
        <v>636</v>
      </c>
      <c r="Q285" s="1">
        <v>16.2</v>
      </c>
      <c r="R285" s="1">
        <v>-90.1</v>
      </c>
      <c r="S285" s="1" t="s">
        <v>148</v>
      </c>
      <c r="T285" s="2" t="s">
        <v>382</v>
      </c>
      <c r="U285" s="3" t="s">
        <v>976</v>
      </c>
      <c r="V285" s="3" t="s">
        <v>116</v>
      </c>
      <c r="W285" s="1" t="s">
        <v>1145</v>
      </c>
      <c r="X285" s="1" t="s">
        <v>544</v>
      </c>
      <c r="Y285" s="6" t="s">
        <v>76</v>
      </c>
      <c r="Z285" s="3" t="s">
        <v>173</v>
      </c>
      <c r="AB285" s="1">
        <v>4.0</v>
      </c>
      <c r="AI285" s="1" t="s">
        <v>638</v>
      </c>
      <c r="AJ285" s="1">
        <v>-2080.0</v>
      </c>
      <c r="AK285" s="1">
        <v>1950.0</v>
      </c>
      <c r="AL285" s="3" t="s">
        <v>73</v>
      </c>
      <c r="AM285" s="2" t="s">
        <v>60</v>
      </c>
      <c r="AN285" s="2" t="s">
        <v>72</v>
      </c>
      <c r="AO285" s="2" t="s">
        <v>60</v>
      </c>
      <c r="AQ285" s="2" t="s">
        <v>75</v>
      </c>
      <c r="AR285" s="2" t="s">
        <v>76</v>
      </c>
      <c r="AS285" s="1">
        <v>3418.0</v>
      </c>
      <c r="AT285" s="1">
        <v>3418.0</v>
      </c>
      <c r="AU285" s="1">
        <v>1440.0</v>
      </c>
      <c r="AV285" s="1">
        <v>86.0</v>
      </c>
      <c r="AW285" s="1">
        <v>311.0</v>
      </c>
      <c r="AX285" s="1">
        <v>5582.0</v>
      </c>
      <c r="AY285" s="1">
        <v>136.0</v>
      </c>
      <c r="AZ285" s="1" t="s">
        <v>133</v>
      </c>
      <c r="BA285" s="1" t="s">
        <v>121</v>
      </c>
    </row>
    <row r="286">
      <c r="A286" s="1" t="s">
        <v>628</v>
      </c>
      <c r="B286" s="1" t="s">
        <v>53</v>
      </c>
      <c r="C286" s="1">
        <v>2001.0</v>
      </c>
      <c r="D286" s="1" t="s">
        <v>629</v>
      </c>
      <c r="E286" s="1" t="s">
        <v>630</v>
      </c>
      <c r="F286" s="1" t="s">
        <v>631</v>
      </c>
      <c r="G286" s="1" t="s">
        <v>632</v>
      </c>
      <c r="H286" s="1" t="s">
        <v>633</v>
      </c>
      <c r="I286" s="1">
        <v>12.0</v>
      </c>
      <c r="J286" s="1">
        <v>2.0</v>
      </c>
      <c r="K286" s="2" t="s">
        <v>634</v>
      </c>
      <c r="L286" s="2" t="s">
        <v>60</v>
      </c>
      <c r="M286" s="1" t="s">
        <v>1146</v>
      </c>
      <c r="N286" s="1" t="s">
        <v>62</v>
      </c>
      <c r="O286" s="1" t="s">
        <v>167</v>
      </c>
      <c r="P286" s="1" t="s">
        <v>636</v>
      </c>
      <c r="Q286" s="1">
        <v>16.2</v>
      </c>
      <c r="R286" s="1">
        <v>-90.1</v>
      </c>
      <c r="S286" s="1" t="s">
        <v>148</v>
      </c>
      <c r="T286" s="2" t="s">
        <v>169</v>
      </c>
      <c r="U286" s="3" t="s">
        <v>976</v>
      </c>
      <c r="V286" s="3" t="s">
        <v>116</v>
      </c>
      <c r="W286" s="1" t="s">
        <v>1147</v>
      </c>
      <c r="X286" s="2" t="s">
        <v>575</v>
      </c>
      <c r="Y286" s="6" t="s">
        <v>76</v>
      </c>
      <c r="Z286" s="3" t="s">
        <v>173</v>
      </c>
      <c r="AB286" s="1">
        <v>4.0</v>
      </c>
      <c r="AI286" s="1" t="s">
        <v>638</v>
      </c>
      <c r="AJ286" s="1">
        <v>-2080.0</v>
      </c>
      <c r="AK286" s="1">
        <v>1950.0</v>
      </c>
      <c r="AL286" s="3" t="s">
        <v>73</v>
      </c>
      <c r="AM286" s="2" t="s">
        <v>60</v>
      </c>
      <c r="AN286" s="2" t="s">
        <v>72</v>
      </c>
      <c r="AO286" s="2" t="s">
        <v>60</v>
      </c>
      <c r="AQ286" s="2" t="s">
        <v>75</v>
      </c>
      <c r="AR286" s="2" t="s">
        <v>76</v>
      </c>
      <c r="AS286" s="1">
        <v>3418.0</v>
      </c>
      <c r="AT286" s="1">
        <v>3418.0</v>
      </c>
      <c r="AU286" s="1">
        <v>1440.0</v>
      </c>
      <c r="AV286" s="1">
        <v>86.0</v>
      </c>
      <c r="AW286" s="1">
        <v>311.0</v>
      </c>
      <c r="AX286" s="1">
        <v>5582.0</v>
      </c>
      <c r="AY286" s="1">
        <v>136.0</v>
      </c>
      <c r="AZ286" s="1" t="s">
        <v>133</v>
      </c>
      <c r="BA286" s="1" t="s">
        <v>121</v>
      </c>
    </row>
    <row r="287">
      <c r="A287" s="1" t="s">
        <v>628</v>
      </c>
      <c r="B287" s="1" t="s">
        <v>53</v>
      </c>
      <c r="C287" s="1">
        <v>2001.0</v>
      </c>
      <c r="D287" s="1" t="s">
        <v>629</v>
      </c>
      <c r="E287" s="1" t="s">
        <v>630</v>
      </c>
      <c r="F287" s="1" t="s">
        <v>631</v>
      </c>
      <c r="G287" s="1" t="s">
        <v>632</v>
      </c>
      <c r="H287" s="1" t="s">
        <v>633</v>
      </c>
      <c r="I287" s="1">
        <v>12.0</v>
      </c>
      <c r="J287" s="1">
        <v>2.0</v>
      </c>
      <c r="K287" s="2" t="s">
        <v>634</v>
      </c>
      <c r="L287" s="2" t="s">
        <v>60</v>
      </c>
      <c r="M287" s="1" t="s">
        <v>1148</v>
      </c>
      <c r="N287" s="1" t="s">
        <v>62</v>
      </c>
      <c r="O287" s="1" t="s">
        <v>167</v>
      </c>
      <c r="P287" s="1" t="s">
        <v>636</v>
      </c>
      <c r="Q287" s="1">
        <v>16.2</v>
      </c>
      <c r="R287" s="1">
        <v>-90.1</v>
      </c>
      <c r="S287" s="1" t="s">
        <v>148</v>
      </c>
      <c r="T287" s="2" t="s">
        <v>194</v>
      </c>
      <c r="U287" s="1" t="s">
        <v>173</v>
      </c>
      <c r="V287" s="3" t="s">
        <v>116</v>
      </c>
      <c r="W287" s="1" t="s">
        <v>637</v>
      </c>
      <c r="X287" s="1" t="s">
        <v>70</v>
      </c>
      <c r="Y287" s="6" t="s">
        <v>76</v>
      </c>
      <c r="Z287" s="3" t="s">
        <v>173</v>
      </c>
      <c r="AB287" s="1">
        <v>4.0</v>
      </c>
      <c r="AI287" s="1" t="s">
        <v>638</v>
      </c>
      <c r="AJ287" s="1">
        <v>-2080.0</v>
      </c>
      <c r="AK287" s="1">
        <v>1950.0</v>
      </c>
      <c r="AL287" s="3" t="s">
        <v>73</v>
      </c>
      <c r="AM287" s="2" t="s">
        <v>60</v>
      </c>
      <c r="AN287" s="2" t="s">
        <v>72</v>
      </c>
      <c r="AO287" s="2" t="s">
        <v>60</v>
      </c>
      <c r="AQ287" s="2" t="s">
        <v>75</v>
      </c>
      <c r="AR287" s="2" t="s">
        <v>76</v>
      </c>
      <c r="AS287" s="1">
        <v>3418.0</v>
      </c>
      <c r="AT287" s="1">
        <v>3418.0</v>
      </c>
      <c r="AU287" s="1">
        <v>1440.0</v>
      </c>
      <c r="AV287" s="1">
        <v>86.0</v>
      </c>
      <c r="AW287" s="1">
        <v>311.0</v>
      </c>
      <c r="AX287" s="1">
        <v>5582.0</v>
      </c>
      <c r="AY287" s="1">
        <v>136.0</v>
      </c>
      <c r="AZ287" s="1" t="s">
        <v>133</v>
      </c>
      <c r="BA287" s="1" t="s">
        <v>121</v>
      </c>
    </row>
    <row r="288">
      <c r="A288" s="1" t="s">
        <v>628</v>
      </c>
      <c r="B288" s="1" t="s">
        <v>53</v>
      </c>
      <c r="C288" s="1">
        <v>2001.0</v>
      </c>
      <c r="D288" s="1" t="s">
        <v>629</v>
      </c>
      <c r="E288" s="1" t="s">
        <v>630</v>
      </c>
      <c r="F288" s="1" t="s">
        <v>631</v>
      </c>
      <c r="G288" s="1" t="s">
        <v>632</v>
      </c>
      <c r="H288" s="1" t="s">
        <v>633</v>
      </c>
      <c r="I288" s="1">
        <v>12.0</v>
      </c>
      <c r="J288" s="1">
        <v>2.0</v>
      </c>
      <c r="K288" s="2" t="s">
        <v>634</v>
      </c>
      <c r="L288" s="2" t="s">
        <v>60</v>
      </c>
      <c r="M288" s="1" t="s">
        <v>1149</v>
      </c>
      <c r="N288" s="1" t="s">
        <v>62</v>
      </c>
      <c r="O288" s="1" t="s">
        <v>167</v>
      </c>
      <c r="P288" s="1" t="s">
        <v>636</v>
      </c>
      <c r="Q288" s="1">
        <v>16.2</v>
      </c>
      <c r="R288" s="1">
        <v>-90.1</v>
      </c>
      <c r="S288" s="1" t="s">
        <v>148</v>
      </c>
      <c r="T288" s="3" t="s">
        <v>1150</v>
      </c>
      <c r="U288" s="3" t="s">
        <v>81</v>
      </c>
      <c r="V288" s="3" t="s">
        <v>68</v>
      </c>
      <c r="W288" s="2" t="s">
        <v>72</v>
      </c>
      <c r="X288" s="2" t="s">
        <v>1151</v>
      </c>
      <c r="Y288" s="6" t="s">
        <v>76</v>
      </c>
      <c r="Z288" s="3" t="s">
        <v>84</v>
      </c>
      <c r="AB288" s="1">
        <v>4.0</v>
      </c>
      <c r="AI288" s="1" t="s">
        <v>638</v>
      </c>
      <c r="AJ288" s="1">
        <v>-2080.0</v>
      </c>
      <c r="AK288" s="1">
        <v>1950.0</v>
      </c>
      <c r="AL288" s="3" t="s">
        <v>73</v>
      </c>
      <c r="AM288" s="2" t="s">
        <v>60</v>
      </c>
      <c r="AN288" s="2" t="s">
        <v>72</v>
      </c>
      <c r="AO288" s="2" t="s">
        <v>60</v>
      </c>
      <c r="AQ288" s="2" t="s">
        <v>75</v>
      </c>
      <c r="AR288" s="2" t="s">
        <v>76</v>
      </c>
      <c r="AS288" s="1">
        <v>3418.0</v>
      </c>
      <c r="AT288" s="1">
        <v>3418.0</v>
      </c>
      <c r="AU288" s="1">
        <v>1440.0</v>
      </c>
      <c r="AV288" s="1">
        <v>86.0</v>
      </c>
      <c r="AW288" s="1">
        <v>311.0</v>
      </c>
      <c r="AX288" s="1">
        <v>5582.0</v>
      </c>
      <c r="AY288" s="1">
        <v>136.0</v>
      </c>
      <c r="AZ288" s="1" t="s">
        <v>133</v>
      </c>
      <c r="BA288" s="1" t="s">
        <v>121</v>
      </c>
    </row>
    <row r="289">
      <c r="A289" s="1" t="s">
        <v>628</v>
      </c>
      <c r="B289" s="1" t="s">
        <v>53</v>
      </c>
      <c r="C289" s="1">
        <v>2001.0</v>
      </c>
      <c r="D289" s="1" t="s">
        <v>629</v>
      </c>
      <c r="E289" s="1" t="s">
        <v>630</v>
      </c>
      <c r="F289" s="1" t="s">
        <v>631</v>
      </c>
      <c r="G289" s="1" t="s">
        <v>632</v>
      </c>
      <c r="H289" s="1" t="s">
        <v>633</v>
      </c>
      <c r="I289" s="1">
        <v>12.0</v>
      </c>
      <c r="J289" s="1">
        <v>2.0</v>
      </c>
      <c r="K289" s="2" t="s">
        <v>634</v>
      </c>
      <c r="L289" s="2" t="s">
        <v>60</v>
      </c>
      <c r="M289" s="1" t="s">
        <v>1152</v>
      </c>
      <c r="N289" s="1" t="s">
        <v>62</v>
      </c>
      <c r="O289" s="1" t="s">
        <v>167</v>
      </c>
      <c r="P289" s="1" t="s">
        <v>636</v>
      </c>
      <c r="Q289" s="1">
        <v>16.2</v>
      </c>
      <c r="R289" s="1">
        <v>-90.1</v>
      </c>
      <c r="S289" s="1" t="s">
        <v>148</v>
      </c>
      <c r="T289" s="2" t="s">
        <v>80</v>
      </c>
      <c r="U289" s="3" t="s">
        <v>81</v>
      </c>
      <c r="V289" s="3" t="s">
        <v>68</v>
      </c>
      <c r="W289" s="2" t="s">
        <v>72</v>
      </c>
      <c r="X289" s="2" t="s">
        <v>1151</v>
      </c>
      <c r="Y289" s="6" t="s">
        <v>76</v>
      </c>
      <c r="Z289" s="3" t="s">
        <v>84</v>
      </c>
      <c r="AB289" s="1">
        <v>4.0</v>
      </c>
      <c r="AI289" s="1" t="s">
        <v>638</v>
      </c>
      <c r="AJ289" s="1">
        <v>-2080.0</v>
      </c>
      <c r="AK289" s="1">
        <v>1950.0</v>
      </c>
      <c r="AL289" s="3" t="s">
        <v>73</v>
      </c>
      <c r="AM289" s="2" t="s">
        <v>60</v>
      </c>
      <c r="AN289" s="2" t="s">
        <v>72</v>
      </c>
      <c r="AO289" s="2" t="s">
        <v>60</v>
      </c>
      <c r="AQ289" s="2" t="s">
        <v>75</v>
      </c>
      <c r="AR289" s="2" t="s">
        <v>76</v>
      </c>
      <c r="AS289" s="1">
        <v>3418.0</v>
      </c>
      <c r="AT289" s="1">
        <v>3418.0</v>
      </c>
      <c r="AU289" s="1">
        <v>1440.0</v>
      </c>
      <c r="AV289" s="1">
        <v>86.0</v>
      </c>
      <c r="AW289" s="1">
        <v>311.0</v>
      </c>
      <c r="AX289" s="1">
        <v>5582.0</v>
      </c>
      <c r="AY289" s="1">
        <v>136.0</v>
      </c>
      <c r="AZ289" s="1" t="s">
        <v>133</v>
      </c>
      <c r="BA289" s="1" t="s">
        <v>121</v>
      </c>
    </row>
    <row r="290">
      <c r="A290" s="1" t="s">
        <v>1153</v>
      </c>
      <c r="B290" s="1" t="s">
        <v>53</v>
      </c>
      <c r="C290" s="1">
        <v>2006.0</v>
      </c>
      <c r="D290" s="1" t="s">
        <v>1154</v>
      </c>
      <c r="E290" s="1" t="s">
        <v>1155</v>
      </c>
      <c r="F290" s="1" t="s">
        <v>631</v>
      </c>
      <c r="H290" s="1" t="s">
        <v>1156</v>
      </c>
      <c r="I290" s="1">
        <v>17.0</v>
      </c>
      <c r="J290" s="1">
        <v>3.0</v>
      </c>
      <c r="K290" s="2" t="s">
        <v>1157</v>
      </c>
      <c r="L290" s="2" t="s">
        <v>60</v>
      </c>
      <c r="M290" s="1" t="s">
        <v>1158</v>
      </c>
      <c r="N290" s="1" t="s">
        <v>62</v>
      </c>
      <c r="O290" s="1" t="s">
        <v>167</v>
      </c>
      <c r="P290" s="1" t="s">
        <v>1159</v>
      </c>
      <c r="Q290" s="1">
        <v>13.941022</v>
      </c>
      <c r="R290" s="1">
        <v>-90.629732</v>
      </c>
      <c r="S290" s="1" t="s">
        <v>1160</v>
      </c>
      <c r="T290" s="2" t="s">
        <v>599</v>
      </c>
      <c r="U290" s="3" t="s">
        <v>81</v>
      </c>
      <c r="V290" s="3" t="s">
        <v>68</v>
      </c>
      <c r="W290" s="2" t="s">
        <v>72</v>
      </c>
      <c r="X290" s="1" t="s">
        <v>1161</v>
      </c>
      <c r="Y290" s="6" t="s">
        <v>76</v>
      </c>
      <c r="Z290" s="3" t="s">
        <v>84</v>
      </c>
      <c r="AB290" s="1">
        <v>6.0</v>
      </c>
      <c r="AI290" s="2" t="s">
        <v>72</v>
      </c>
      <c r="AJ290" s="1">
        <v>-3600.0</v>
      </c>
      <c r="AK290" s="1">
        <v>1805.0</v>
      </c>
      <c r="AL290" s="2" t="s">
        <v>73</v>
      </c>
      <c r="AM290" s="2" t="s">
        <v>72</v>
      </c>
      <c r="AN290" s="1" t="s">
        <v>74</v>
      </c>
      <c r="AO290" s="2" t="s">
        <v>72</v>
      </c>
      <c r="AQ290" s="2" t="s">
        <v>75</v>
      </c>
      <c r="AR290" s="2" t="s">
        <v>76</v>
      </c>
      <c r="AS290" s="1">
        <v>1707.0</v>
      </c>
      <c r="AT290" s="1">
        <v>1707.0</v>
      </c>
      <c r="AU290" s="1">
        <v>819.0</v>
      </c>
      <c r="AV290" s="1">
        <v>2.0</v>
      </c>
      <c r="AW290" s="1">
        <v>12.0</v>
      </c>
      <c r="AX290" s="1">
        <v>9271.0</v>
      </c>
      <c r="AY290" s="1">
        <v>7.0</v>
      </c>
      <c r="AZ290" s="1" t="s">
        <v>1162</v>
      </c>
      <c r="BA290" s="1" t="s">
        <v>659</v>
      </c>
    </row>
    <row r="291">
      <c r="A291" s="1" t="s">
        <v>1153</v>
      </c>
      <c r="B291" s="1" t="s">
        <v>53</v>
      </c>
      <c r="C291" s="1">
        <v>2006.0</v>
      </c>
      <c r="D291" s="1" t="s">
        <v>1154</v>
      </c>
      <c r="E291" s="1" t="s">
        <v>1155</v>
      </c>
      <c r="F291" s="1" t="s">
        <v>631</v>
      </c>
      <c r="H291" s="1" t="s">
        <v>1156</v>
      </c>
      <c r="I291" s="1">
        <v>17.0</v>
      </c>
      <c r="J291" s="1">
        <v>3.0</v>
      </c>
      <c r="K291" s="2" t="s">
        <v>1157</v>
      </c>
      <c r="L291" s="2" t="s">
        <v>60</v>
      </c>
      <c r="M291" s="1" t="s">
        <v>1163</v>
      </c>
      <c r="N291" s="1" t="s">
        <v>62</v>
      </c>
      <c r="O291" s="1" t="s">
        <v>167</v>
      </c>
      <c r="P291" s="1" t="s">
        <v>1159</v>
      </c>
      <c r="Q291" s="1">
        <v>13.941022</v>
      </c>
      <c r="R291" s="1">
        <v>-90.629732</v>
      </c>
      <c r="S291" s="1" t="s">
        <v>1160</v>
      </c>
      <c r="T291" s="2" t="s">
        <v>599</v>
      </c>
      <c r="U291" s="3" t="s">
        <v>81</v>
      </c>
      <c r="V291" s="3" t="s">
        <v>68</v>
      </c>
      <c r="W291" s="2" t="s">
        <v>72</v>
      </c>
      <c r="X291" s="1" t="s">
        <v>1161</v>
      </c>
      <c r="Y291" s="6" t="s">
        <v>76</v>
      </c>
      <c r="Z291" s="3" t="s">
        <v>84</v>
      </c>
      <c r="AB291" s="1">
        <v>8.0</v>
      </c>
      <c r="AI291" s="2" t="s">
        <v>72</v>
      </c>
      <c r="AJ291" s="1">
        <v>-3800.0</v>
      </c>
      <c r="AK291" s="1">
        <v>-2000.0</v>
      </c>
      <c r="AL291" s="2" t="s">
        <v>73</v>
      </c>
      <c r="AM291" s="2" t="s">
        <v>72</v>
      </c>
      <c r="AN291" s="1" t="s">
        <v>74</v>
      </c>
      <c r="AO291" s="2" t="s">
        <v>72</v>
      </c>
      <c r="AQ291" s="2" t="s">
        <v>75</v>
      </c>
      <c r="AR291" s="2" t="s">
        <v>76</v>
      </c>
      <c r="AS291" s="1">
        <v>1707.0</v>
      </c>
      <c r="AT291" s="1">
        <v>1707.0</v>
      </c>
      <c r="AU291" s="1">
        <v>819.0</v>
      </c>
      <c r="AV291" s="1">
        <v>2.0</v>
      </c>
      <c r="AW291" s="1">
        <v>12.0</v>
      </c>
      <c r="AX291" s="1">
        <v>9271.0</v>
      </c>
      <c r="AY291" s="1">
        <v>7.0</v>
      </c>
      <c r="AZ291" s="1" t="s">
        <v>1162</v>
      </c>
      <c r="BA291" s="1" t="s">
        <v>659</v>
      </c>
    </row>
    <row r="292">
      <c r="A292" s="1" t="s">
        <v>1153</v>
      </c>
      <c r="B292" s="1" t="s">
        <v>53</v>
      </c>
      <c r="C292" s="1">
        <v>2006.0</v>
      </c>
      <c r="D292" s="1" t="s">
        <v>1154</v>
      </c>
      <c r="E292" s="1" t="s">
        <v>1155</v>
      </c>
      <c r="F292" s="1" t="s">
        <v>631</v>
      </c>
      <c r="H292" s="1" t="s">
        <v>1156</v>
      </c>
      <c r="I292" s="1">
        <v>17.0</v>
      </c>
      <c r="J292" s="1">
        <v>3.0</v>
      </c>
      <c r="K292" s="2" t="s">
        <v>1157</v>
      </c>
      <c r="L292" s="2" t="s">
        <v>60</v>
      </c>
      <c r="M292" s="1" t="s">
        <v>1164</v>
      </c>
      <c r="N292" s="1" t="s">
        <v>62</v>
      </c>
      <c r="O292" s="1" t="s">
        <v>167</v>
      </c>
      <c r="P292" s="1" t="s">
        <v>1159</v>
      </c>
      <c r="Q292" s="1">
        <v>13.941022</v>
      </c>
      <c r="R292" s="1">
        <v>-90.629732</v>
      </c>
      <c r="S292" s="1" t="s">
        <v>1160</v>
      </c>
      <c r="T292" s="2" t="s">
        <v>599</v>
      </c>
      <c r="U292" s="3" t="s">
        <v>81</v>
      </c>
      <c r="V292" s="3" t="s">
        <v>68</v>
      </c>
      <c r="W292" s="2" t="s">
        <v>72</v>
      </c>
      <c r="X292" s="1" t="s">
        <v>1161</v>
      </c>
      <c r="Y292" s="6" t="s">
        <v>76</v>
      </c>
      <c r="Z292" s="3" t="s">
        <v>84</v>
      </c>
      <c r="AB292" s="1">
        <v>5.0</v>
      </c>
      <c r="AI292" s="2" t="s">
        <v>72</v>
      </c>
      <c r="AJ292" s="1">
        <v>-1998.0</v>
      </c>
      <c r="AK292" s="1">
        <v>-1000.0</v>
      </c>
      <c r="AL292" s="2" t="s">
        <v>73</v>
      </c>
      <c r="AM292" s="2" t="s">
        <v>72</v>
      </c>
      <c r="AN292" s="1" t="s">
        <v>74</v>
      </c>
      <c r="AO292" s="2" t="s">
        <v>72</v>
      </c>
      <c r="AQ292" s="2" t="s">
        <v>75</v>
      </c>
      <c r="AR292" s="2" t="s">
        <v>76</v>
      </c>
      <c r="AS292" s="1">
        <v>1707.0</v>
      </c>
      <c r="AT292" s="1">
        <v>1707.0</v>
      </c>
      <c r="AU292" s="1">
        <v>819.0</v>
      </c>
      <c r="AV292" s="1">
        <v>2.0</v>
      </c>
      <c r="AW292" s="1">
        <v>12.0</v>
      </c>
      <c r="AX292" s="1">
        <v>9271.0</v>
      </c>
      <c r="AY292" s="1">
        <v>7.0</v>
      </c>
      <c r="AZ292" s="1" t="s">
        <v>1162</v>
      </c>
      <c r="BA292" s="1" t="s">
        <v>659</v>
      </c>
    </row>
    <row r="293">
      <c r="A293" s="1" t="s">
        <v>1153</v>
      </c>
      <c r="B293" s="1" t="s">
        <v>53</v>
      </c>
      <c r="C293" s="1">
        <v>2006.0</v>
      </c>
      <c r="D293" s="1" t="s">
        <v>1154</v>
      </c>
      <c r="E293" s="1" t="s">
        <v>1155</v>
      </c>
      <c r="F293" s="1" t="s">
        <v>631</v>
      </c>
      <c r="H293" s="1" t="s">
        <v>1156</v>
      </c>
      <c r="I293" s="1">
        <v>17.0</v>
      </c>
      <c r="J293" s="1">
        <v>3.0</v>
      </c>
      <c r="K293" s="2" t="s">
        <v>1157</v>
      </c>
      <c r="L293" s="2" t="s">
        <v>60</v>
      </c>
      <c r="M293" s="1" t="s">
        <v>1165</v>
      </c>
      <c r="N293" s="1" t="s">
        <v>62</v>
      </c>
      <c r="O293" s="1" t="s">
        <v>167</v>
      </c>
      <c r="P293" s="1" t="s">
        <v>1166</v>
      </c>
      <c r="Q293" s="1">
        <v>14.538711</v>
      </c>
      <c r="R293" s="1">
        <v>-92.202276</v>
      </c>
      <c r="S293" s="1" t="s">
        <v>1160</v>
      </c>
      <c r="T293" s="2" t="s">
        <v>599</v>
      </c>
      <c r="U293" s="3" t="s">
        <v>81</v>
      </c>
      <c r="V293" s="3" t="s">
        <v>68</v>
      </c>
      <c r="W293" s="2" t="s">
        <v>72</v>
      </c>
      <c r="X293" s="1" t="s">
        <v>1161</v>
      </c>
      <c r="Y293" s="6" t="s">
        <v>76</v>
      </c>
      <c r="Z293" s="3" t="s">
        <v>84</v>
      </c>
      <c r="AB293" s="1">
        <v>6.0</v>
      </c>
      <c r="AI293" s="2" t="s">
        <v>72</v>
      </c>
      <c r="AJ293" s="1">
        <v>-1030.0</v>
      </c>
      <c r="AK293" s="1">
        <v>1950.0</v>
      </c>
      <c r="AL293" s="2" t="s">
        <v>73</v>
      </c>
      <c r="AM293" s="2" t="s">
        <v>72</v>
      </c>
      <c r="AN293" s="1" t="s">
        <v>74</v>
      </c>
      <c r="AO293" s="2" t="s">
        <v>72</v>
      </c>
      <c r="AQ293" s="2" t="s">
        <v>75</v>
      </c>
      <c r="AR293" s="2" t="s">
        <v>76</v>
      </c>
      <c r="AS293" s="1">
        <v>1385.0</v>
      </c>
      <c r="AT293" s="1">
        <v>1385.0</v>
      </c>
      <c r="AU293" s="1">
        <v>680.0</v>
      </c>
      <c r="AV293" s="1">
        <v>2.0</v>
      </c>
      <c r="AW293" s="1">
        <v>11.0</v>
      </c>
      <c r="AX293" s="1">
        <v>9489.0</v>
      </c>
      <c r="AY293" s="1">
        <v>2.0</v>
      </c>
      <c r="AZ293" s="1" t="s">
        <v>1162</v>
      </c>
      <c r="BA293" s="1" t="s">
        <v>659</v>
      </c>
    </row>
    <row r="294">
      <c r="A294" s="1" t="s">
        <v>1153</v>
      </c>
      <c r="B294" s="1" t="s">
        <v>53</v>
      </c>
      <c r="C294" s="1">
        <v>2006.0</v>
      </c>
      <c r="D294" s="1" t="s">
        <v>1154</v>
      </c>
      <c r="E294" s="1" t="s">
        <v>1155</v>
      </c>
      <c r="F294" s="1" t="s">
        <v>631</v>
      </c>
      <c r="H294" s="1" t="s">
        <v>1156</v>
      </c>
      <c r="I294" s="1">
        <v>17.0</v>
      </c>
      <c r="J294" s="1">
        <v>3.0</v>
      </c>
      <c r="K294" s="2" t="s">
        <v>1157</v>
      </c>
      <c r="L294" s="2" t="s">
        <v>60</v>
      </c>
      <c r="M294" s="1" t="s">
        <v>1167</v>
      </c>
      <c r="N294" s="1" t="s">
        <v>62</v>
      </c>
      <c r="O294" s="1" t="s">
        <v>167</v>
      </c>
      <c r="P294" s="1" t="s">
        <v>1166</v>
      </c>
      <c r="Q294" s="1">
        <v>14.540503</v>
      </c>
      <c r="R294" s="1">
        <v>-92.188883</v>
      </c>
      <c r="S294" s="1" t="s">
        <v>1160</v>
      </c>
      <c r="T294" s="2" t="s">
        <v>599</v>
      </c>
      <c r="U294" s="3" t="s">
        <v>81</v>
      </c>
      <c r="V294" s="3" t="s">
        <v>68</v>
      </c>
      <c r="W294" s="2" t="s">
        <v>72</v>
      </c>
      <c r="X294" s="1" t="s">
        <v>1161</v>
      </c>
      <c r="Y294" s="6" t="s">
        <v>76</v>
      </c>
      <c r="Z294" s="3" t="s">
        <v>84</v>
      </c>
      <c r="AB294" s="1">
        <v>7.0</v>
      </c>
      <c r="AI294" s="2" t="s">
        <v>72</v>
      </c>
      <c r="AJ294" s="1">
        <v>-3367.0</v>
      </c>
      <c r="AK294" s="1">
        <v>1950.0</v>
      </c>
      <c r="AL294" s="2" t="s">
        <v>73</v>
      </c>
      <c r="AM294" s="2" t="s">
        <v>72</v>
      </c>
      <c r="AN294" s="1" t="s">
        <v>74</v>
      </c>
      <c r="AO294" s="2" t="s">
        <v>72</v>
      </c>
      <c r="AQ294" s="2" t="s">
        <v>75</v>
      </c>
      <c r="AR294" s="2" t="s">
        <v>76</v>
      </c>
      <c r="AS294" s="1">
        <v>1381.0</v>
      </c>
      <c r="AT294" s="1">
        <v>1381.0</v>
      </c>
      <c r="AU294" s="1">
        <v>693.0</v>
      </c>
      <c r="AV294" s="1">
        <v>1.0</v>
      </c>
      <c r="AW294" s="1">
        <v>10.0</v>
      </c>
      <c r="AX294" s="1">
        <v>9500.0</v>
      </c>
      <c r="AY294" s="1">
        <v>4.0</v>
      </c>
      <c r="AZ294" s="1" t="s">
        <v>525</v>
      </c>
      <c r="BA294" s="1" t="s">
        <v>104</v>
      </c>
    </row>
    <row r="295">
      <c r="A295" s="1" t="s">
        <v>1168</v>
      </c>
      <c r="B295" s="1" t="s">
        <v>268</v>
      </c>
      <c r="C295" s="1">
        <v>2009.0</v>
      </c>
      <c r="D295" s="1" t="s">
        <v>1169</v>
      </c>
      <c r="E295" s="1" t="s">
        <v>1170</v>
      </c>
      <c r="H295" s="1" t="s">
        <v>1171</v>
      </c>
      <c r="I295" s="1">
        <v>71.0</v>
      </c>
      <c r="K295" s="2" t="s">
        <v>1172</v>
      </c>
      <c r="L295" s="2" t="s">
        <v>60</v>
      </c>
      <c r="M295" s="1" t="s">
        <v>1173</v>
      </c>
      <c r="N295" s="1" t="s">
        <v>62</v>
      </c>
      <c r="O295" s="1" t="s">
        <v>167</v>
      </c>
      <c r="P295" s="1" t="s">
        <v>512</v>
      </c>
      <c r="Q295" s="1">
        <v>17.0</v>
      </c>
      <c r="R295" s="1">
        <v>-89.916667</v>
      </c>
      <c r="S295" s="1" t="s">
        <v>148</v>
      </c>
      <c r="T295" s="2" t="s">
        <v>275</v>
      </c>
      <c r="U295" s="1" t="s">
        <v>72</v>
      </c>
      <c r="V295" s="3" t="s">
        <v>277</v>
      </c>
      <c r="W295" s="1" t="s">
        <v>278</v>
      </c>
      <c r="X295" s="1" t="s">
        <v>279</v>
      </c>
      <c r="Y295" s="6" t="s">
        <v>76</v>
      </c>
      <c r="Z295" s="3" t="s">
        <v>76</v>
      </c>
      <c r="AB295" s="1">
        <v>6.0</v>
      </c>
      <c r="AI295" s="1" t="s">
        <v>1174</v>
      </c>
      <c r="AJ295" s="1">
        <v>-9080.0</v>
      </c>
      <c r="AK295" s="1">
        <v>1950.0</v>
      </c>
      <c r="AL295" s="2" t="s">
        <v>73</v>
      </c>
      <c r="AM295" s="2" t="s">
        <v>72</v>
      </c>
      <c r="AN295" s="2" t="s">
        <v>72</v>
      </c>
      <c r="AO295" s="2" t="s">
        <v>72</v>
      </c>
      <c r="AQ295" s="2" t="s">
        <v>75</v>
      </c>
      <c r="AR295" s="2" t="s">
        <v>76</v>
      </c>
      <c r="AS295" s="1">
        <v>1741.0</v>
      </c>
      <c r="AT295" s="1">
        <v>1741.0</v>
      </c>
      <c r="AU295" s="1">
        <v>702.0</v>
      </c>
      <c r="AV295" s="1">
        <v>39.0</v>
      </c>
      <c r="AW295" s="1">
        <v>141.0</v>
      </c>
      <c r="AX295" s="1">
        <v>5771.0</v>
      </c>
      <c r="AY295" s="1">
        <v>197.0</v>
      </c>
      <c r="AZ295" s="1" t="s">
        <v>133</v>
      </c>
      <c r="BA295" s="1" t="s">
        <v>121</v>
      </c>
    </row>
    <row r="296">
      <c r="A296" s="1" t="s">
        <v>1168</v>
      </c>
      <c r="B296" s="1" t="s">
        <v>268</v>
      </c>
      <c r="C296" s="1">
        <v>2009.0</v>
      </c>
      <c r="D296" s="1" t="s">
        <v>1169</v>
      </c>
      <c r="E296" s="1" t="s">
        <v>1170</v>
      </c>
      <c r="H296" s="1" t="s">
        <v>1171</v>
      </c>
      <c r="I296" s="1">
        <v>71.0</v>
      </c>
      <c r="K296" s="2" t="s">
        <v>1172</v>
      </c>
      <c r="L296" s="2" t="s">
        <v>60</v>
      </c>
      <c r="M296" s="1" t="s">
        <v>1175</v>
      </c>
      <c r="N296" s="1" t="s">
        <v>62</v>
      </c>
      <c r="O296" s="1" t="s">
        <v>167</v>
      </c>
      <c r="P296" s="1" t="s">
        <v>512</v>
      </c>
      <c r="Q296" s="1">
        <v>17.0</v>
      </c>
      <c r="R296" s="1">
        <v>-89.916667</v>
      </c>
      <c r="S296" s="1" t="s">
        <v>148</v>
      </c>
      <c r="T296" s="2" t="s">
        <v>275</v>
      </c>
      <c r="U296" s="1" t="s">
        <v>72</v>
      </c>
      <c r="V296" s="3" t="s">
        <v>277</v>
      </c>
      <c r="W296" s="1" t="s">
        <v>278</v>
      </c>
      <c r="X296" s="1" t="s">
        <v>279</v>
      </c>
      <c r="Y296" s="6" t="s">
        <v>76</v>
      </c>
      <c r="Z296" s="3" t="s">
        <v>76</v>
      </c>
      <c r="AB296" s="1">
        <v>2.0</v>
      </c>
      <c r="AI296" s="1" t="s">
        <v>1174</v>
      </c>
      <c r="AJ296" s="1">
        <v>-8870.0</v>
      </c>
      <c r="AK296" s="1">
        <v>1950.0</v>
      </c>
      <c r="AL296" s="2" t="s">
        <v>73</v>
      </c>
      <c r="AM296" s="2" t="s">
        <v>72</v>
      </c>
      <c r="AN296" s="2" t="s">
        <v>72</v>
      </c>
      <c r="AO296" s="2" t="s">
        <v>72</v>
      </c>
      <c r="AQ296" s="2" t="s">
        <v>75</v>
      </c>
      <c r="AR296" s="2" t="s">
        <v>76</v>
      </c>
      <c r="AS296" s="1">
        <v>1741.0</v>
      </c>
      <c r="AT296" s="1">
        <v>1741.0</v>
      </c>
      <c r="AU296" s="1">
        <v>702.0</v>
      </c>
      <c r="AV296" s="1">
        <v>39.0</v>
      </c>
      <c r="AW296" s="1">
        <v>141.0</v>
      </c>
      <c r="AX296" s="1">
        <v>5771.0</v>
      </c>
      <c r="AY296" s="1">
        <v>197.0</v>
      </c>
      <c r="AZ296" s="1" t="s">
        <v>133</v>
      </c>
      <c r="BA296" s="1" t="s">
        <v>121</v>
      </c>
    </row>
    <row r="297">
      <c r="A297" s="1" t="s">
        <v>1168</v>
      </c>
      <c r="B297" s="1" t="s">
        <v>268</v>
      </c>
      <c r="C297" s="1">
        <v>2009.0</v>
      </c>
      <c r="D297" s="1" t="s">
        <v>1169</v>
      </c>
      <c r="E297" s="1" t="s">
        <v>1170</v>
      </c>
      <c r="H297" s="1" t="s">
        <v>1171</v>
      </c>
      <c r="I297" s="1">
        <v>71.0</v>
      </c>
      <c r="K297" s="2" t="s">
        <v>1172</v>
      </c>
      <c r="L297" s="2" t="s">
        <v>60</v>
      </c>
      <c r="M297" s="1" t="s">
        <v>1176</v>
      </c>
      <c r="N297" s="1" t="s">
        <v>62</v>
      </c>
      <c r="O297" s="1" t="s">
        <v>167</v>
      </c>
      <c r="P297" s="1" t="s">
        <v>512</v>
      </c>
      <c r="Q297" s="1">
        <v>17.0</v>
      </c>
      <c r="R297" s="1">
        <v>-89.916667</v>
      </c>
      <c r="S297" s="1" t="s">
        <v>148</v>
      </c>
      <c r="T297" s="2" t="s">
        <v>275</v>
      </c>
      <c r="U297" s="1" t="s">
        <v>72</v>
      </c>
      <c r="V297" s="3" t="s">
        <v>277</v>
      </c>
      <c r="W297" s="1" t="s">
        <v>278</v>
      </c>
      <c r="X297" s="1" t="s">
        <v>279</v>
      </c>
      <c r="Y297" s="6" t="s">
        <v>76</v>
      </c>
      <c r="Z297" s="3" t="s">
        <v>76</v>
      </c>
      <c r="AB297" s="1">
        <v>12.0</v>
      </c>
      <c r="AI297" s="1" t="s">
        <v>1177</v>
      </c>
      <c r="AJ297" s="1">
        <v>-8965.0</v>
      </c>
      <c r="AK297" s="1">
        <v>1950.0</v>
      </c>
      <c r="AL297" s="2" t="s">
        <v>73</v>
      </c>
      <c r="AM297" s="2" t="s">
        <v>72</v>
      </c>
      <c r="AN297" s="2" t="s">
        <v>72</v>
      </c>
      <c r="AO297" s="2" t="s">
        <v>72</v>
      </c>
      <c r="AQ297" s="2" t="s">
        <v>75</v>
      </c>
      <c r="AR297" s="2" t="s">
        <v>76</v>
      </c>
      <c r="AS297" s="1">
        <v>1741.0</v>
      </c>
      <c r="AT297" s="1">
        <v>1741.0</v>
      </c>
      <c r="AU297" s="1">
        <v>702.0</v>
      </c>
      <c r="AV297" s="1">
        <v>39.0</v>
      </c>
      <c r="AW297" s="1">
        <v>141.0</v>
      </c>
      <c r="AX297" s="1">
        <v>5771.0</v>
      </c>
      <c r="AY297" s="1">
        <v>197.0</v>
      </c>
      <c r="AZ297" s="1" t="s">
        <v>133</v>
      </c>
      <c r="BA297" s="1" t="s">
        <v>121</v>
      </c>
    </row>
    <row r="298">
      <c r="A298" s="1" t="s">
        <v>1153</v>
      </c>
      <c r="B298" s="1" t="s">
        <v>53</v>
      </c>
      <c r="C298" s="1">
        <v>2006.0</v>
      </c>
      <c r="D298" s="1" t="s">
        <v>1154</v>
      </c>
      <c r="E298" s="1" t="s">
        <v>1155</v>
      </c>
      <c r="F298" s="1" t="s">
        <v>631</v>
      </c>
      <c r="H298" s="1" t="s">
        <v>1156</v>
      </c>
      <c r="I298" s="1">
        <v>17.0</v>
      </c>
      <c r="J298" s="1">
        <v>3.0</v>
      </c>
      <c r="K298" s="2" t="s">
        <v>1157</v>
      </c>
      <c r="L298" s="2" t="s">
        <v>60</v>
      </c>
      <c r="M298" s="1" t="s">
        <v>1178</v>
      </c>
      <c r="N298" s="1" t="s">
        <v>62</v>
      </c>
      <c r="O298" s="1" t="s">
        <v>167</v>
      </c>
      <c r="P298" s="1" t="s">
        <v>1179</v>
      </c>
      <c r="Q298" s="1">
        <v>14.517108</v>
      </c>
      <c r="R298" s="1">
        <v>-92.118835</v>
      </c>
      <c r="S298" s="1" t="s">
        <v>1160</v>
      </c>
      <c r="T298" s="2" t="s">
        <v>599</v>
      </c>
      <c r="U298" s="3" t="s">
        <v>81</v>
      </c>
      <c r="V298" s="3" t="s">
        <v>68</v>
      </c>
      <c r="W298" s="2" t="s">
        <v>72</v>
      </c>
      <c r="X298" s="1" t="s">
        <v>1161</v>
      </c>
      <c r="Y298" s="6" t="s">
        <v>76</v>
      </c>
      <c r="Z298" s="3" t="s">
        <v>84</v>
      </c>
      <c r="AB298" s="1">
        <v>4.0</v>
      </c>
      <c r="AI298" s="2" t="s">
        <v>72</v>
      </c>
      <c r="AJ298" s="1">
        <v>-4800.0</v>
      </c>
      <c r="AK298" s="1">
        <v>1950.0</v>
      </c>
      <c r="AL298" s="2" t="s">
        <v>73</v>
      </c>
      <c r="AM298" s="2" t="s">
        <v>72</v>
      </c>
      <c r="AN298" s="1" t="s">
        <v>74</v>
      </c>
      <c r="AO298" s="2" t="s">
        <v>72</v>
      </c>
      <c r="AQ298" s="2" t="s">
        <v>75</v>
      </c>
      <c r="AR298" s="2" t="s">
        <v>76</v>
      </c>
      <c r="AS298" s="1">
        <v>1385.0</v>
      </c>
      <c r="AT298" s="1">
        <v>1385.0</v>
      </c>
      <c r="AU298" s="1">
        <v>691.0</v>
      </c>
      <c r="AV298" s="1">
        <v>1.0</v>
      </c>
      <c r="AW298" s="1">
        <v>11.0</v>
      </c>
      <c r="AX298" s="1">
        <v>9569.0</v>
      </c>
      <c r="AY298" s="1">
        <v>9.0</v>
      </c>
      <c r="AZ298" s="1" t="s">
        <v>1162</v>
      </c>
      <c r="BA298" s="1" t="s">
        <v>659</v>
      </c>
    </row>
    <row r="299">
      <c r="A299" s="1" t="s">
        <v>1153</v>
      </c>
      <c r="B299" s="1" t="s">
        <v>53</v>
      </c>
      <c r="C299" s="1">
        <v>2006.0</v>
      </c>
      <c r="D299" s="1" t="s">
        <v>1154</v>
      </c>
      <c r="E299" s="1" t="s">
        <v>1155</v>
      </c>
      <c r="F299" s="1" t="s">
        <v>631</v>
      </c>
      <c r="H299" s="1" t="s">
        <v>1156</v>
      </c>
      <c r="I299" s="1">
        <v>17.0</v>
      </c>
      <c r="J299" s="1">
        <v>3.0</v>
      </c>
      <c r="K299" s="2" t="s">
        <v>1157</v>
      </c>
      <c r="L299" s="2" t="s">
        <v>60</v>
      </c>
      <c r="M299" s="1" t="s">
        <v>1180</v>
      </c>
      <c r="N299" s="1" t="s">
        <v>62</v>
      </c>
      <c r="O299" s="1" t="s">
        <v>167</v>
      </c>
      <c r="P299" s="1" t="s">
        <v>1179</v>
      </c>
      <c r="Q299" s="1">
        <v>14.517108</v>
      </c>
      <c r="R299" s="1">
        <v>-92.118835</v>
      </c>
      <c r="S299" s="1" t="s">
        <v>1160</v>
      </c>
      <c r="T299" s="2" t="s">
        <v>66</v>
      </c>
      <c r="U299" s="3" t="s">
        <v>314</v>
      </c>
      <c r="V299" s="3" t="s">
        <v>171</v>
      </c>
      <c r="W299" s="2" t="s">
        <v>72</v>
      </c>
      <c r="X299" s="1" t="s">
        <v>70</v>
      </c>
      <c r="Y299" s="6" t="s">
        <v>60</v>
      </c>
      <c r="Z299" s="3" t="s">
        <v>345</v>
      </c>
      <c r="AB299" s="1">
        <v>4.0</v>
      </c>
      <c r="AI299" s="2" t="s">
        <v>72</v>
      </c>
      <c r="AJ299" s="1">
        <v>-4800.0</v>
      </c>
      <c r="AK299" s="1">
        <v>1950.0</v>
      </c>
      <c r="AL299" s="2" t="s">
        <v>73</v>
      </c>
      <c r="AM299" s="2" t="s">
        <v>72</v>
      </c>
      <c r="AN299" s="1" t="s">
        <v>74</v>
      </c>
      <c r="AO299" s="2" t="s">
        <v>72</v>
      </c>
      <c r="AQ299" s="2" t="s">
        <v>75</v>
      </c>
      <c r="AR299" s="2" t="s">
        <v>76</v>
      </c>
      <c r="AS299" s="1">
        <v>1385.0</v>
      </c>
      <c r="AT299" s="1">
        <v>1385.0</v>
      </c>
      <c r="AU299" s="1">
        <v>691.0</v>
      </c>
      <c r="AV299" s="1">
        <v>1.0</v>
      </c>
      <c r="AW299" s="1">
        <v>11.0</v>
      </c>
      <c r="AX299" s="1">
        <v>9569.0</v>
      </c>
      <c r="AY299" s="1">
        <v>9.0</v>
      </c>
      <c r="AZ299" s="1" t="s">
        <v>1162</v>
      </c>
      <c r="BA299" s="1" t="s">
        <v>659</v>
      </c>
    </row>
    <row r="300">
      <c r="A300" s="1" t="s">
        <v>1153</v>
      </c>
      <c r="B300" s="1" t="s">
        <v>53</v>
      </c>
      <c r="C300" s="1">
        <v>2006.0</v>
      </c>
      <c r="D300" s="1" t="s">
        <v>1154</v>
      </c>
      <c r="E300" s="1" t="s">
        <v>1155</v>
      </c>
      <c r="F300" s="1" t="s">
        <v>631</v>
      </c>
      <c r="H300" s="1" t="s">
        <v>1156</v>
      </c>
      <c r="I300" s="1">
        <v>17.0</v>
      </c>
      <c r="J300" s="1">
        <v>3.0</v>
      </c>
      <c r="K300" s="2" t="s">
        <v>1157</v>
      </c>
      <c r="L300" s="2" t="s">
        <v>60</v>
      </c>
      <c r="M300" s="1" t="s">
        <v>1181</v>
      </c>
      <c r="N300" s="1" t="s">
        <v>62</v>
      </c>
      <c r="O300" s="1" t="s">
        <v>167</v>
      </c>
      <c r="P300" s="1" t="s">
        <v>1166</v>
      </c>
      <c r="Q300" s="1">
        <v>14.540503</v>
      </c>
      <c r="R300" s="1">
        <v>-92.188883</v>
      </c>
      <c r="S300" s="1" t="s">
        <v>1160</v>
      </c>
      <c r="T300" s="2" t="s">
        <v>66</v>
      </c>
      <c r="U300" s="3" t="s">
        <v>314</v>
      </c>
      <c r="V300" s="3" t="s">
        <v>171</v>
      </c>
      <c r="W300" s="2" t="s">
        <v>72</v>
      </c>
      <c r="X300" s="1" t="s">
        <v>70</v>
      </c>
      <c r="Y300" s="6" t="s">
        <v>60</v>
      </c>
      <c r="Z300" s="3" t="s">
        <v>345</v>
      </c>
      <c r="AB300" s="1">
        <v>7.0</v>
      </c>
      <c r="AI300" s="2" t="s">
        <v>72</v>
      </c>
      <c r="AJ300" s="1">
        <v>-3367.0</v>
      </c>
      <c r="AK300" s="1">
        <v>1950.0</v>
      </c>
      <c r="AL300" s="2" t="s">
        <v>73</v>
      </c>
      <c r="AM300" s="2" t="s">
        <v>72</v>
      </c>
      <c r="AN300" s="1" t="s">
        <v>74</v>
      </c>
      <c r="AO300" s="2" t="s">
        <v>72</v>
      </c>
      <c r="AQ300" s="2" t="s">
        <v>75</v>
      </c>
      <c r="AR300" s="2" t="s">
        <v>76</v>
      </c>
      <c r="AS300" s="1">
        <v>1381.0</v>
      </c>
      <c r="AT300" s="1">
        <v>1381.0</v>
      </c>
      <c r="AU300" s="1">
        <v>693.0</v>
      </c>
      <c r="AV300" s="1">
        <v>1.0</v>
      </c>
      <c r="AW300" s="1">
        <v>10.0</v>
      </c>
      <c r="AX300" s="1">
        <v>9500.0</v>
      </c>
      <c r="AY300" s="1">
        <v>4.0</v>
      </c>
      <c r="AZ300" s="1" t="s">
        <v>525</v>
      </c>
      <c r="BA300" s="1" t="s">
        <v>104</v>
      </c>
    </row>
    <row r="301">
      <c r="A301" s="1" t="s">
        <v>1153</v>
      </c>
      <c r="B301" s="1" t="s">
        <v>53</v>
      </c>
      <c r="C301" s="1">
        <v>2006.0</v>
      </c>
      <c r="D301" s="1" t="s">
        <v>1154</v>
      </c>
      <c r="E301" s="1" t="s">
        <v>1155</v>
      </c>
      <c r="F301" s="1" t="s">
        <v>631</v>
      </c>
      <c r="H301" s="1" t="s">
        <v>1156</v>
      </c>
      <c r="I301" s="1">
        <v>17.0</v>
      </c>
      <c r="J301" s="1">
        <v>3.0</v>
      </c>
      <c r="K301" s="2" t="s">
        <v>1157</v>
      </c>
      <c r="L301" s="2" t="s">
        <v>60</v>
      </c>
      <c r="M301" s="1" t="s">
        <v>1182</v>
      </c>
      <c r="N301" s="1" t="s">
        <v>62</v>
      </c>
      <c r="O301" s="1" t="s">
        <v>167</v>
      </c>
      <c r="P301" s="1" t="s">
        <v>1166</v>
      </c>
      <c r="Q301" s="1">
        <v>14.538711</v>
      </c>
      <c r="R301" s="1">
        <v>-92.202276</v>
      </c>
      <c r="S301" s="1" t="s">
        <v>1160</v>
      </c>
      <c r="T301" s="2" t="s">
        <v>66</v>
      </c>
      <c r="U301" s="3" t="s">
        <v>314</v>
      </c>
      <c r="V301" s="3" t="s">
        <v>171</v>
      </c>
      <c r="W301" s="2" t="s">
        <v>72</v>
      </c>
      <c r="X301" s="1" t="s">
        <v>70</v>
      </c>
      <c r="Y301" s="6" t="s">
        <v>60</v>
      </c>
      <c r="Z301" s="3" t="s">
        <v>345</v>
      </c>
      <c r="AB301" s="1">
        <v>6.0</v>
      </c>
      <c r="AI301" s="2" t="s">
        <v>72</v>
      </c>
      <c r="AJ301" s="1">
        <v>-1030.0</v>
      </c>
      <c r="AK301" s="1">
        <v>1950.0</v>
      </c>
      <c r="AL301" s="2" t="s">
        <v>73</v>
      </c>
      <c r="AM301" s="2" t="s">
        <v>72</v>
      </c>
      <c r="AN301" s="1" t="s">
        <v>74</v>
      </c>
      <c r="AO301" s="2" t="s">
        <v>72</v>
      </c>
      <c r="AQ301" s="2" t="s">
        <v>75</v>
      </c>
      <c r="AR301" s="2" t="s">
        <v>76</v>
      </c>
      <c r="AS301" s="1">
        <v>1385.0</v>
      </c>
      <c r="AT301" s="1">
        <v>1385.0</v>
      </c>
      <c r="AU301" s="1">
        <v>680.0</v>
      </c>
      <c r="AV301" s="1">
        <v>2.0</v>
      </c>
      <c r="AW301" s="1">
        <v>11.0</v>
      </c>
      <c r="AX301" s="1">
        <v>9489.0</v>
      </c>
      <c r="AY301" s="1">
        <v>2.0</v>
      </c>
      <c r="AZ301" s="1" t="s">
        <v>1162</v>
      </c>
      <c r="BA301" s="1" t="s">
        <v>659</v>
      </c>
    </row>
    <row r="302">
      <c r="A302" s="1" t="s">
        <v>1183</v>
      </c>
      <c r="B302" s="1" t="s">
        <v>53</v>
      </c>
      <c r="C302" s="1">
        <v>2009.0</v>
      </c>
      <c r="D302" s="1" t="s">
        <v>1184</v>
      </c>
      <c r="E302" s="1" t="s">
        <v>1185</v>
      </c>
      <c r="F302" s="1" t="s">
        <v>1186</v>
      </c>
      <c r="G302" s="1" t="s">
        <v>1187</v>
      </c>
      <c r="H302" s="1" t="s">
        <v>1188</v>
      </c>
      <c r="I302" s="1">
        <v>195.0</v>
      </c>
      <c r="J302" s="1">
        <v>43862.0</v>
      </c>
      <c r="K302" s="2" t="s">
        <v>1189</v>
      </c>
      <c r="L302" s="2" t="s">
        <v>60</v>
      </c>
      <c r="M302" s="1" t="s">
        <v>1190</v>
      </c>
      <c r="N302" s="1" t="s">
        <v>62</v>
      </c>
      <c r="O302" s="1" t="s">
        <v>521</v>
      </c>
      <c r="P302" s="1" t="s">
        <v>1191</v>
      </c>
      <c r="Q302" s="1">
        <v>12.045139</v>
      </c>
      <c r="R302" s="1">
        <v>-83.927561</v>
      </c>
      <c r="S302" s="1" t="s">
        <v>148</v>
      </c>
      <c r="T302" s="2" t="s">
        <v>194</v>
      </c>
      <c r="U302" s="1" t="s">
        <v>72</v>
      </c>
      <c r="V302" s="3" t="s">
        <v>277</v>
      </c>
      <c r="W302" s="1" t="s">
        <v>286</v>
      </c>
      <c r="X302" s="1" t="s">
        <v>70</v>
      </c>
      <c r="Y302" s="6" t="s">
        <v>76</v>
      </c>
      <c r="Z302" s="3" t="s">
        <v>76</v>
      </c>
      <c r="AB302" s="1">
        <v>5.0</v>
      </c>
      <c r="AI302" s="1" t="s">
        <v>1192</v>
      </c>
      <c r="AJ302" s="1">
        <v>-6070.0</v>
      </c>
      <c r="AK302" s="1">
        <v>-870.0</v>
      </c>
      <c r="AL302" s="2" t="s">
        <v>153</v>
      </c>
      <c r="AM302" s="2" t="s">
        <v>72</v>
      </c>
      <c r="AN302" s="2" t="s">
        <v>400</v>
      </c>
      <c r="AO302" s="2" t="s">
        <v>72</v>
      </c>
      <c r="AQ302" s="2" t="s">
        <v>75</v>
      </c>
      <c r="AR302" s="2" t="s">
        <v>76</v>
      </c>
      <c r="AS302" s="1">
        <v>3416.0</v>
      </c>
      <c r="AT302" s="1">
        <v>3416.0</v>
      </c>
      <c r="AU302" s="1">
        <v>1440.0</v>
      </c>
      <c r="AV302" s="1">
        <v>70.0</v>
      </c>
      <c r="AW302" s="1">
        <v>259.0</v>
      </c>
      <c r="AX302" s="1">
        <v>5332.0</v>
      </c>
      <c r="AY302" s="1">
        <v>8.0</v>
      </c>
      <c r="AZ302" s="1" t="s">
        <v>120</v>
      </c>
      <c r="BA302" s="1" t="s">
        <v>121</v>
      </c>
    </row>
    <row r="303">
      <c r="A303" s="1" t="s">
        <v>1153</v>
      </c>
      <c r="B303" s="1" t="s">
        <v>53</v>
      </c>
      <c r="C303" s="1">
        <v>2006.0</v>
      </c>
      <c r="D303" s="1" t="s">
        <v>1154</v>
      </c>
      <c r="E303" s="1" t="s">
        <v>1155</v>
      </c>
      <c r="F303" s="1" t="s">
        <v>631</v>
      </c>
      <c r="H303" s="1" t="s">
        <v>1156</v>
      </c>
      <c r="I303" s="1">
        <v>17.0</v>
      </c>
      <c r="J303" s="1">
        <v>3.0</v>
      </c>
      <c r="K303" s="2" t="s">
        <v>1157</v>
      </c>
      <c r="L303" s="2" t="s">
        <v>60</v>
      </c>
      <c r="M303" s="1" t="s">
        <v>1193</v>
      </c>
      <c r="N303" s="1" t="s">
        <v>62</v>
      </c>
      <c r="O303" s="1" t="s">
        <v>167</v>
      </c>
      <c r="P303" s="1" t="s">
        <v>1159</v>
      </c>
      <c r="Q303" s="1">
        <v>13.941022</v>
      </c>
      <c r="R303" s="1">
        <v>-90.629732</v>
      </c>
      <c r="S303" s="1" t="s">
        <v>1160</v>
      </c>
      <c r="T303" s="2" t="s">
        <v>66</v>
      </c>
      <c r="U303" s="3" t="s">
        <v>314</v>
      </c>
      <c r="V303" s="3" t="s">
        <v>171</v>
      </c>
      <c r="W303" s="2" t="s">
        <v>72</v>
      </c>
      <c r="X303" s="1" t="s">
        <v>70</v>
      </c>
      <c r="Y303" s="6" t="s">
        <v>60</v>
      </c>
      <c r="Z303" s="3" t="s">
        <v>345</v>
      </c>
      <c r="AB303" s="1">
        <v>8.0</v>
      </c>
      <c r="AI303" s="2" t="s">
        <v>72</v>
      </c>
      <c r="AJ303" s="1">
        <v>-3800.0</v>
      </c>
      <c r="AK303" s="1">
        <v>-2000.0</v>
      </c>
      <c r="AL303" s="2" t="s">
        <v>73</v>
      </c>
      <c r="AM303" s="2" t="s">
        <v>72</v>
      </c>
      <c r="AN303" s="1" t="s">
        <v>74</v>
      </c>
      <c r="AO303" s="2" t="s">
        <v>72</v>
      </c>
      <c r="AQ303" s="2" t="s">
        <v>75</v>
      </c>
      <c r="AR303" s="2" t="s">
        <v>76</v>
      </c>
      <c r="AS303" s="1">
        <v>1707.0</v>
      </c>
      <c r="AT303" s="1">
        <v>1707.0</v>
      </c>
      <c r="AU303" s="1">
        <v>819.0</v>
      </c>
      <c r="AV303" s="1">
        <v>2.0</v>
      </c>
      <c r="AW303" s="1">
        <v>12.0</v>
      </c>
      <c r="AX303" s="1">
        <v>9271.0</v>
      </c>
      <c r="AY303" s="1">
        <v>7.0</v>
      </c>
      <c r="AZ303" s="1" t="s">
        <v>1162</v>
      </c>
      <c r="BA303" s="1" t="s">
        <v>659</v>
      </c>
    </row>
    <row r="304">
      <c r="A304" s="1" t="s">
        <v>1153</v>
      </c>
      <c r="B304" s="1" t="s">
        <v>53</v>
      </c>
      <c r="C304" s="1">
        <v>2006.0</v>
      </c>
      <c r="D304" s="1" t="s">
        <v>1154</v>
      </c>
      <c r="E304" s="1" t="s">
        <v>1155</v>
      </c>
      <c r="F304" s="1" t="s">
        <v>631</v>
      </c>
      <c r="H304" s="1" t="s">
        <v>1156</v>
      </c>
      <c r="I304" s="1">
        <v>17.0</v>
      </c>
      <c r="J304" s="1">
        <v>3.0</v>
      </c>
      <c r="K304" s="2" t="s">
        <v>1157</v>
      </c>
      <c r="L304" s="2" t="s">
        <v>60</v>
      </c>
      <c r="M304" s="1" t="s">
        <v>1194</v>
      </c>
      <c r="N304" s="1" t="s">
        <v>62</v>
      </c>
      <c r="O304" s="1" t="s">
        <v>167</v>
      </c>
      <c r="P304" s="1" t="s">
        <v>1159</v>
      </c>
      <c r="Q304" s="1">
        <v>13.941022</v>
      </c>
      <c r="R304" s="1">
        <v>-90.629732</v>
      </c>
      <c r="S304" s="1" t="s">
        <v>1160</v>
      </c>
      <c r="T304" s="2" t="s">
        <v>66</v>
      </c>
      <c r="U304" s="3" t="s">
        <v>314</v>
      </c>
      <c r="V304" s="3" t="s">
        <v>171</v>
      </c>
      <c r="W304" s="2" t="s">
        <v>72</v>
      </c>
      <c r="X304" s="1" t="s">
        <v>70</v>
      </c>
      <c r="Y304" s="6" t="s">
        <v>60</v>
      </c>
      <c r="Z304" s="3" t="s">
        <v>345</v>
      </c>
      <c r="AB304" s="1">
        <v>6.0</v>
      </c>
      <c r="AI304" s="2" t="s">
        <v>72</v>
      </c>
      <c r="AJ304" s="1">
        <v>-3600.0</v>
      </c>
      <c r="AK304" s="1">
        <v>1805.0</v>
      </c>
      <c r="AL304" s="2" t="s">
        <v>73</v>
      </c>
      <c r="AM304" s="2" t="s">
        <v>72</v>
      </c>
      <c r="AN304" s="1" t="s">
        <v>74</v>
      </c>
      <c r="AO304" s="2" t="s">
        <v>72</v>
      </c>
      <c r="AQ304" s="2" t="s">
        <v>75</v>
      </c>
      <c r="AR304" s="2" t="s">
        <v>76</v>
      </c>
      <c r="AS304" s="1">
        <v>1707.0</v>
      </c>
      <c r="AT304" s="1">
        <v>1707.0</v>
      </c>
      <c r="AU304" s="1">
        <v>819.0</v>
      </c>
      <c r="AV304" s="1">
        <v>2.0</v>
      </c>
      <c r="AW304" s="1">
        <v>12.0</v>
      </c>
      <c r="AX304" s="1">
        <v>9271.0</v>
      </c>
      <c r="AY304" s="1">
        <v>7.0</v>
      </c>
      <c r="AZ304" s="1" t="s">
        <v>1162</v>
      </c>
      <c r="BA304" s="1" t="s">
        <v>659</v>
      </c>
    </row>
    <row r="305">
      <c r="A305" s="1" t="s">
        <v>1153</v>
      </c>
      <c r="B305" s="1" t="s">
        <v>53</v>
      </c>
      <c r="C305" s="1">
        <v>2006.0</v>
      </c>
      <c r="D305" s="1" t="s">
        <v>1154</v>
      </c>
      <c r="E305" s="1" t="s">
        <v>1155</v>
      </c>
      <c r="F305" s="1" t="s">
        <v>631</v>
      </c>
      <c r="H305" s="1" t="s">
        <v>1156</v>
      </c>
      <c r="I305" s="1">
        <v>17.0</v>
      </c>
      <c r="J305" s="1">
        <v>3.0</v>
      </c>
      <c r="K305" s="2" t="s">
        <v>1157</v>
      </c>
      <c r="L305" s="2" t="s">
        <v>60</v>
      </c>
      <c r="M305" s="1" t="s">
        <v>1195</v>
      </c>
      <c r="N305" s="1" t="s">
        <v>62</v>
      </c>
      <c r="O305" s="1" t="s">
        <v>167</v>
      </c>
      <c r="P305" s="1" t="s">
        <v>1159</v>
      </c>
      <c r="Q305" s="1">
        <v>13.941022</v>
      </c>
      <c r="R305" s="1">
        <v>-90.629732</v>
      </c>
      <c r="S305" s="1" t="s">
        <v>1160</v>
      </c>
      <c r="T305" s="2" t="s">
        <v>66</v>
      </c>
      <c r="U305" s="3" t="s">
        <v>314</v>
      </c>
      <c r="V305" s="3" t="s">
        <v>171</v>
      </c>
      <c r="W305" s="2" t="s">
        <v>72</v>
      </c>
      <c r="X305" s="1" t="s">
        <v>70</v>
      </c>
      <c r="Y305" s="6" t="s">
        <v>60</v>
      </c>
      <c r="Z305" s="3" t="s">
        <v>345</v>
      </c>
      <c r="AB305" s="1">
        <v>5.0</v>
      </c>
      <c r="AI305" s="2" t="s">
        <v>72</v>
      </c>
      <c r="AJ305" s="1">
        <v>-1998.0</v>
      </c>
      <c r="AK305" s="1">
        <v>-1000.0</v>
      </c>
      <c r="AL305" s="2" t="s">
        <v>73</v>
      </c>
      <c r="AM305" s="2" t="s">
        <v>72</v>
      </c>
      <c r="AN305" s="1" t="s">
        <v>74</v>
      </c>
      <c r="AO305" s="2" t="s">
        <v>72</v>
      </c>
      <c r="AQ305" s="2" t="s">
        <v>75</v>
      </c>
      <c r="AR305" s="2" t="s">
        <v>76</v>
      </c>
      <c r="AS305" s="1">
        <v>1707.0</v>
      </c>
      <c r="AT305" s="1">
        <v>1707.0</v>
      </c>
      <c r="AU305" s="1">
        <v>819.0</v>
      </c>
      <c r="AV305" s="1">
        <v>2.0</v>
      </c>
      <c r="AW305" s="1">
        <v>12.0</v>
      </c>
      <c r="AX305" s="1">
        <v>9271.0</v>
      </c>
      <c r="AY305" s="1">
        <v>7.0</v>
      </c>
      <c r="AZ305" s="1" t="s">
        <v>1162</v>
      </c>
      <c r="BA305" s="1" t="s">
        <v>659</v>
      </c>
    </row>
    <row r="306">
      <c r="A306" s="1" t="s">
        <v>1153</v>
      </c>
      <c r="B306" s="1" t="s">
        <v>53</v>
      </c>
      <c r="C306" s="1">
        <v>2006.0</v>
      </c>
      <c r="D306" s="1" t="s">
        <v>1154</v>
      </c>
      <c r="E306" s="1" t="s">
        <v>1155</v>
      </c>
      <c r="F306" s="1" t="s">
        <v>631</v>
      </c>
      <c r="H306" s="1" t="s">
        <v>1156</v>
      </c>
      <c r="I306" s="1">
        <v>17.0</v>
      </c>
      <c r="J306" s="1">
        <v>3.0</v>
      </c>
      <c r="K306" s="2" t="s">
        <v>1157</v>
      </c>
      <c r="L306" s="2" t="s">
        <v>60</v>
      </c>
      <c r="M306" s="1" t="s">
        <v>1196</v>
      </c>
      <c r="N306" s="1" t="s">
        <v>62</v>
      </c>
      <c r="O306" s="1" t="s">
        <v>167</v>
      </c>
      <c r="P306" s="1" t="s">
        <v>1179</v>
      </c>
      <c r="Q306" s="1">
        <v>14.517108</v>
      </c>
      <c r="R306" s="1">
        <v>-92.118835</v>
      </c>
      <c r="S306" s="1" t="s">
        <v>1160</v>
      </c>
      <c r="T306" s="2" t="s">
        <v>293</v>
      </c>
      <c r="U306" s="3" t="s">
        <v>314</v>
      </c>
      <c r="V306" s="3" t="s">
        <v>171</v>
      </c>
      <c r="W306" s="2" t="s">
        <v>72</v>
      </c>
      <c r="X306" s="1" t="s">
        <v>70</v>
      </c>
      <c r="Y306" s="6" t="s">
        <v>76</v>
      </c>
      <c r="Z306" s="3" t="s">
        <v>625</v>
      </c>
      <c r="AB306" s="1">
        <v>4.0</v>
      </c>
      <c r="AI306" s="2" t="s">
        <v>72</v>
      </c>
      <c r="AJ306" s="1">
        <v>-4800.0</v>
      </c>
      <c r="AK306" s="1">
        <v>1950.0</v>
      </c>
      <c r="AL306" s="2" t="s">
        <v>73</v>
      </c>
      <c r="AM306" s="2" t="s">
        <v>72</v>
      </c>
      <c r="AN306" s="1" t="s">
        <v>74</v>
      </c>
      <c r="AO306" s="2" t="s">
        <v>72</v>
      </c>
      <c r="AQ306" s="2" t="s">
        <v>75</v>
      </c>
      <c r="AR306" s="2" t="s">
        <v>76</v>
      </c>
      <c r="AS306" s="1">
        <v>1385.0</v>
      </c>
      <c r="AT306" s="1">
        <v>1385.0</v>
      </c>
      <c r="AU306" s="1">
        <v>691.0</v>
      </c>
      <c r="AV306" s="1">
        <v>1.0</v>
      </c>
      <c r="AW306" s="1">
        <v>11.0</v>
      </c>
      <c r="AX306" s="1">
        <v>9569.0</v>
      </c>
      <c r="AY306" s="1">
        <v>9.0</v>
      </c>
      <c r="AZ306" s="1" t="s">
        <v>1162</v>
      </c>
      <c r="BA306" s="1" t="s">
        <v>659</v>
      </c>
    </row>
    <row r="307">
      <c r="A307" s="1" t="s">
        <v>1153</v>
      </c>
      <c r="B307" s="1" t="s">
        <v>53</v>
      </c>
      <c r="C307" s="1">
        <v>2006.0</v>
      </c>
      <c r="D307" s="1" t="s">
        <v>1154</v>
      </c>
      <c r="E307" s="1" t="s">
        <v>1155</v>
      </c>
      <c r="F307" s="1" t="s">
        <v>631</v>
      </c>
      <c r="H307" s="1" t="s">
        <v>1156</v>
      </c>
      <c r="I307" s="1">
        <v>17.0</v>
      </c>
      <c r="J307" s="1">
        <v>3.0</v>
      </c>
      <c r="K307" s="2" t="s">
        <v>1157</v>
      </c>
      <c r="L307" s="2" t="s">
        <v>60</v>
      </c>
      <c r="M307" s="1" t="s">
        <v>1197</v>
      </c>
      <c r="N307" s="1" t="s">
        <v>62</v>
      </c>
      <c r="O307" s="1" t="s">
        <v>167</v>
      </c>
      <c r="P307" s="1" t="s">
        <v>1166</v>
      </c>
      <c r="Q307" s="1">
        <v>14.540503</v>
      </c>
      <c r="R307" s="1">
        <v>-92.188883</v>
      </c>
      <c r="S307" s="1" t="s">
        <v>1160</v>
      </c>
      <c r="T307" s="2" t="s">
        <v>293</v>
      </c>
      <c r="U307" s="3" t="s">
        <v>314</v>
      </c>
      <c r="V307" s="3" t="s">
        <v>171</v>
      </c>
      <c r="W307" s="2" t="s">
        <v>72</v>
      </c>
      <c r="X307" s="1" t="s">
        <v>70</v>
      </c>
      <c r="Y307" s="6" t="s">
        <v>76</v>
      </c>
      <c r="Z307" s="3" t="s">
        <v>625</v>
      </c>
      <c r="AB307" s="1">
        <v>7.0</v>
      </c>
      <c r="AI307" s="2" t="s">
        <v>72</v>
      </c>
      <c r="AJ307" s="1">
        <v>-3367.0</v>
      </c>
      <c r="AK307" s="1">
        <v>1950.0</v>
      </c>
      <c r="AL307" s="2" t="s">
        <v>73</v>
      </c>
      <c r="AM307" s="2" t="s">
        <v>72</v>
      </c>
      <c r="AN307" s="1" t="s">
        <v>74</v>
      </c>
      <c r="AO307" s="2" t="s">
        <v>72</v>
      </c>
      <c r="AQ307" s="2" t="s">
        <v>75</v>
      </c>
      <c r="AR307" s="2" t="s">
        <v>76</v>
      </c>
      <c r="AS307" s="1">
        <v>1381.0</v>
      </c>
      <c r="AT307" s="1">
        <v>1381.0</v>
      </c>
      <c r="AU307" s="1">
        <v>693.0</v>
      </c>
      <c r="AV307" s="1">
        <v>1.0</v>
      </c>
      <c r="AW307" s="1">
        <v>10.0</v>
      </c>
      <c r="AX307" s="1">
        <v>9500.0</v>
      </c>
      <c r="AY307" s="1">
        <v>4.0</v>
      </c>
      <c r="AZ307" s="1" t="s">
        <v>525</v>
      </c>
      <c r="BA307" s="1" t="s">
        <v>104</v>
      </c>
    </row>
    <row r="308">
      <c r="A308" s="1" t="s">
        <v>505</v>
      </c>
      <c r="B308" s="1" t="s">
        <v>53</v>
      </c>
      <c r="C308" s="1">
        <v>2010.0</v>
      </c>
      <c r="D308" s="1" t="s">
        <v>506</v>
      </c>
      <c r="E308" s="1" t="s">
        <v>507</v>
      </c>
      <c r="F308" s="1" t="s">
        <v>488</v>
      </c>
      <c r="G308" s="1" t="s">
        <v>508</v>
      </c>
      <c r="H308" s="1" t="s">
        <v>509</v>
      </c>
      <c r="I308" s="1">
        <v>38.0</v>
      </c>
      <c r="J308" s="1">
        <v>6.0</v>
      </c>
      <c r="K308" s="2" t="s">
        <v>510</v>
      </c>
      <c r="L308" s="2" t="s">
        <v>60</v>
      </c>
      <c r="M308" s="1" t="s">
        <v>1198</v>
      </c>
      <c r="N308" s="1" t="s">
        <v>62</v>
      </c>
      <c r="O308" s="1" t="s">
        <v>167</v>
      </c>
      <c r="P308" s="1" t="s">
        <v>512</v>
      </c>
      <c r="Q308" s="1">
        <v>16.916667</v>
      </c>
      <c r="R308" s="1">
        <v>-89.833333</v>
      </c>
      <c r="S308" s="1" t="s">
        <v>148</v>
      </c>
      <c r="T308" s="2" t="s">
        <v>189</v>
      </c>
      <c r="U308" s="1" t="s">
        <v>72</v>
      </c>
      <c r="V308" s="3" t="s">
        <v>277</v>
      </c>
      <c r="W308" s="1" t="s">
        <v>191</v>
      </c>
      <c r="X308" s="1" t="s">
        <v>70</v>
      </c>
      <c r="Y308" s="6" t="s">
        <v>76</v>
      </c>
      <c r="Z308" s="3" t="s">
        <v>76</v>
      </c>
      <c r="AB308" s="1">
        <v>4.0</v>
      </c>
      <c r="AI308" s="1" t="s">
        <v>514</v>
      </c>
      <c r="AJ308" s="1">
        <v>880.0</v>
      </c>
      <c r="AK308" s="1">
        <v>1999.0</v>
      </c>
      <c r="AL308" s="2" t="s">
        <v>100</v>
      </c>
      <c r="AM308" s="2" t="s">
        <v>72</v>
      </c>
      <c r="AN308" s="2" t="s">
        <v>72</v>
      </c>
      <c r="AO308" s="2" t="s">
        <v>76</v>
      </c>
      <c r="AQ308" s="2" t="s">
        <v>75</v>
      </c>
      <c r="AR308" s="2" t="s">
        <v>76</v>
      </c>
      <c r="AS308" s="1">
        <v>1738.0</v>
      </c>
      <c r="AT308" s="1">
        <v>1738.0</v>
      </c>
      <c r="AU308" s="1">
        <v>690.0</v>
      </c>
      <c r="AV308" s="1">
        <v>36.0</v>
      </c>
      <c r="AW308" s="1">
        <v>144.0</v>
      </c>
      <c r="AX308" s="1">
        <v>5677.0</v>
      </c>
      <c r="AY308" s="1">
        <v>131.0</v>
      </c>
      <c r="AZ308" s="1" t="s">
        <v>133</v>
      </c>
      <c r="BA308" s="1" t="s">
        <v>121</v>
      </c>
    </row>
    <row r="309">
      <c r="A309" s="1" t="s">
        <v>1153</v>
      </c>
      <c r="B309" s="1" t="s">
        <v>53</v>
      </c>
      <c r="C309" s="1">
        <v>2006.0</v>
      </c>
      <c r="D309" s="1" t="s">
        <v>1154</v>
      </c>
      <c r="E309" s="1" t="s">
        <v>1155</v>
      </c>
      <c r="F309" s="1" t="s">
        <v>631</v>
      </c>
      <c r="H309" s="1" t="s">
        <v>1156</v>
      </c>
      <c r="I309" s="1">
        <v>17.0</v>
      </c>
      <c r="J309" s="1">
        <v>3.0</v>
      </c>
      <c r="K309" s="2" t="s">
        <v>1157</v>
      </c>
      <c r="L309" s="2" t="s">
        <v>60</v>
      </c>
      <c r="M309" s="1" t="s">
        <v>1199</v>
      </c>
      <c r="N309" s="1" t="s">
        <v>62</v>
      </c>
      <c r="O309" s="1" t="s">
        <v>167</v>
      </c>
      <c r="P309" s="1" t="s">
        <v>1166</v>
      </c>
      <c r="Q309" s="1">
        <v>14.538711</v>
      </c>
      <c r="R309" s="1">
        <v>-92.202276</v>
      </c>
      <c r="S309" s="1" t="s">
        <v>1160</v>
      </c>
      <c r="T309" s="2" t="s">
        <v>293</v>
      </c>
      <c r="U309" s="3" t="s">
        <v>314</v>
      </c>
      <c r="V309" s="3" t="s">
        <v>171</v>
      </c>
      <c r="W309" s="2" t="s">
        <v>72</v>
      </c>
      <c r="X309" s="1" t="s">
        <v>70</v>
      </c>
      <c r="Y309" s="6" t="s">
        <v>76</v>
      </c>
      <c r="Z309" s="3" t="s">
        <v>625</v>
      </c>
      <c r="AB309" s="1">
        <v>6.0</v>
      </c>
      <c r="AI309" s="2" t="s">
        <v>72</v>
      </c>
      <c r="AJ309" s="1">
        <v>-1030.0</v>
      </c>
      <c r="AK309" s="1">
        <v>1950.0</v>
      </c>
      <c r="AL309" s="2" t="s">
        <v>73</v>
      </c>
      <c r="AM309" s="2" t="s">
        <v>72</v>
      </c>
      <c r="AN309" s="1" t="s">
        <v>74</v>
      </c>
      <c r="AO309" s="2" t="s">
        <v>72</v>
      </c>
      <c r="AQ309" s="2" t="s">
        <v>75</v>
      </c>
      <c r="AR309" s="2" t="s">
        <v>76</v>
      </c>
      <c r="AS309" s="1">
        <v>1385.0</v>
      </c>
      <c r="AT309" s="1">
        <v>1385.0</v>
      </c>
      <c r="AU309" s="1">
        <v>680.0</v>
      </c>
      <c r="AV309" s="1">
        <v>2.0</v>
      </c>
      <c r="AW309" s="1">
        <v>11.0</v>
      </c>
      <c r="AX309" s="1">
        <v>9489.0</v>
      </c>
      <c r="AY309" s="1">
        <v>2.0</v>
      </c>
      <c r="AZ309" s="1" t="s">
        <v>1162</v>
      </c>
      <c r="BA309" s="1" t="s">
        <v>659</v>
      </c>
    </row>
    <row r="310">
      <c r="A310" s="1" t="s">
        <v>505</v>
      </c>
      <c r="B310" s="1" t="s">
        <v>53</v>
      </c>
      <c r="C310" s="1">
        <v>2010.0</v>
      </c>
      <c r="D310" s="1" t="s">
        <v>506</v>
      </c>
      <c r="E310" s="1" t="s">
        <v>507</v>
      </c>
      <c r="F310" s="1" t="s">
        <v>488</v>
      </c>
      <c r="G310" s="1" t="s">
        <v>508</v>
      </c>
      <c r="H310" s="1" t="s">
        <v>509</v>
      </c>
      <c r="I310" s="1">
        <v>38.0</v>
      </c>
      <c r="J310" s="1">
        <v>6.0</v>
      </c>
      <c r="K310" s="2" t="s">
        <v>510</v>
      </c>
      <c r="L310" s="2" t="s">
        <v>60</v>
      </c>
      <c r="M310" s="1" t="s">
        <v>1200</v>
      </c>
      <c r="N310" s="1" t="s">
        <v>62</v>
      </c>
      <c r="O310" s="1" t="s">
        <v>167</v>
      </c>
      <c r="P310" s="1" t="s">
        <v>512</v>
      </c>
      <c r="Q310" s="1">
        <v>16.916667</v>
      </c>
      <c r="R310" s="1">
        <v>-89.833333</v>
      </c>
      <c r="S310" s="1" t="s">
        <v>148</v>
      </c>
      <c r="T310" s="2" t="s">
        <v>382</v>
      </c>
      <c r="U310" s="1" t="s">
        <v>72</v>
      </c>
      <c r="V310" s="3" t="s">
        <v>277</v>
      </c>
      <c r="W310" s="2" t="s">
        <v>72</v>
      </c>
      <c r="X310" s="1" t="s">
        <v>544</v>
      </c>
      <c r="Y310" s="6" t="s">
        <v>76</v>
      </c>
      <c r="Z310" s="3" t="s">
        <v>76</v>
      </c>
      <c r="AB310" s="1">
        <v>4.0</v>
      </c>
      <c r="AI310" s="1" t="s">
        <v>514</v>
      </c>
      <c r="AJ310" s="1">
        <v>880.0</v>
      </c>
      <c r="AK310" s="1">
        <v>1999.0</v>
      </c>
      <c r="AL310" s="2" t="s">
        <v>100</v>
      </c>
      <c r="AM310" s="2" t="s">
        <v>72</v>
      </c>
      <c r="AN310" s="2" t="s">
        <v>72</v>
      </c>
      <c r="AO310" s="2" t="s">
        <v>76</v>
      </c>
      <c r="AQ310" s="2" t="s">
        <v>75</v>
      </c>
      <c r="AR310" s="2" t="s">
        <v>76</v>
      </c>
      <c r="AS310" s="1">
        <v>1738.0</v>
      </c>
      <c r="AT310" s="1">
        <v>1738.0</v>
      </c>
      <c r="AU310" s="1">
        <v>690.0</v>
      </c>
      <c r="AV310" s="1">
        <v>36.0</v>
      </c>
      <c r="AW310" s="1">
        <v>144.0</v>
      </c>
      <c r="AX310" s="1">
        <v>5677.0</v>
      </c>
      <c r="AY310" s="1">
        <v>131.0</v>
      </c>
      <c r="AZ310" s="1" t="s">
        <v>133</v>
      </c>
      <c r="BA310" s="1" t="s">
        <v>121</v>
      </c>
    </row>
    <row r="311">
      <c r="A311" s="1" t="s">
        <v>505</v>
      </c>
      <c r="B311" s="1" t="s">
        <v>53</v>
      </c>
      <c r="C311" s="1">
        <v>2010.0</v>
      </c>
      <c r="D311" s="1" t="s">
        <v>506</v>
      </c>
      <c r="E311" s="1" t="s">
        <v>507</v>
      </c>
      <c r="F311" s="1" t="s">
        <v>488</v>
      </c>
      <c r="G311" s="1" t="s">
        <v>508</v>
      </c>
      <c r="H311" s="1" t="s">
        <v>509</v>
      </c>
      <c r="I311" s="1">
        <v>38.0</v>
      </c>
      <c r="J311" s="1">
        <v>6.0</v>
      </c>
      <c r="K311" s="2" t="s">
        <v>510</v>
      </c>
      <c r="L311" s="2" t="s">
        <v>60</v>
      </c>
      <c r="M311" s="1" t="s">
        <v>1201</v>
      </c>
      <c r="N311" s="1" t="s">
        <v>62</v>
      </c>
      <c r="O311" s="1" t="s">
        <v>167</v>
      </c>
      <c r="P311" s="1" t="s">
        <v>512</v>
      </c>
      <c r="Q311" s="1">
        <v>16.916667</v>
      </c>
      <c r="R311" s="1">
        <v>-89.833333</v>
      </c>
      <c r="S311" s="1" t="s">
        <v>148</v>
      </c>
      <c r="T311" s="2" t="s">
        <v>275</v>
      </c>
      <c r="U311" s="3" t="s">
        <v>72</v>
      </c>
      <c r="V311" s="3" t="s">
        <v>277</v>
      </c>
      <c r="W311" s="2" t="s">
        <v>72</v>
      </c>
      <c r="X311" s="1" t="s">
        <v>279</v>
      </c>
      <c r="Y311" s="6" t="s">
        <v>76</v>
      </c>
      <c r="Z311" s="3" t="s">
        <v>76</v>
      </c>
      <c r="AB311" s="1">
        <v>4.0</v>
      </c>
      <c r="AI311" s="1" t="s">
        <v>514</v>
      </c>
      <c r="AJ311" s="1">
        <v>880.0</v>
      </c>
      <c r="AK311" s="1">
        <v>1999.0</v>
      </c>
      <c r="AL311" s="2" t="s">
        <v>100</v>
      </c>
      <c r="AM311" s="2" t="s">
        <v>72</v>
      </c>
      <c r="AN311" s="2" t="s">
        <v>72</v>
      </c>
      <c r="AO311" s="2" t="s">
        <v>76</v>
      </c>
      <c r="AQ311" s="2" t="s">
        <v>75</v>
      </c>
      <c r="AR311" s="2" t="s">
        <v>76</v>
      </c>
      <c r="AS311" s="1">
        <v>1738.0</v>
      </c>
      <c r="AT311" s="1">
        <v>1738.0</v>
      </c>
      <c r="AU311" s="1">
        <v>690.0</v>
      </c>
      <c r="AV311" s="1">
        <v>36.0</v>
      </c>
      <c r="AW311" s="1">
        <v>144.0</v>
      </c>
      <c r="AX311" s="1">
        <v>5677.0</v>
      </c>
      <c r="AY311" s="1">
        <v>131.0</v>
      </c>
      <c r="AZ311" s="1" t="s">
        <v>133</v>
      </c>
      <c r="BA311" s="1" t="s">
        <v>121</v>
      </c>
    </row>
    <row r="312">
      <c r="A312" s="1" t="s">
        <v>505</v>
      </c>
      <c r="B312" s="1" t="s">
        <v>53</v>
      </c>
      <c r="C312" s="1">
        <v>2010.0</v>
      </c>
      <c r="D312" s="1" t="s">
        <v>506</v>
      </c>
      <c r="E312" s="1" t="s">
        <v>507</v>
      </c>
      <c r="F312" s="1" t="s">
        <v>488</v>
      </c>
      <c r="G312" s="1" t="s">
        <v>508</v>
      </c>
      <c r="H312" s="1" t="s">
        <v>509</v>
      </c>
      <c r="I312" s="1">
        <v>38.0</v>
      </c>
      <c r="J312" s="1">
        <v>6.0</v>
      </c>
      <c r="K312" s="2" t="s">
        <v>510</v>
      </c>
      <c r="L312" s="2" t="s">
        <v>60</v>
      </c>
      <c r="M312" s="1" t="s">
        <v>1202</v>
      </c>
      <c r="N312" s="1" t="s">
        <v>62</v>
      </c>
      <c r="O312" s="1" t="s">
        <v>167</v>
      </c>
      <c r="P312" s="1" t="s">
        <v>512</v>
      </c>
      <c r="Q312" s="1">
        <v>16.916667</v>
      </c>
      <c r="R312" s="1">
        <v>-89.833333</v>
      </c>
      <c r="S312" s="1" t="s">
        <v>148</v>
      </c>
      <c r="T312" s="2" t="s">
        <v>194</v>
      </c>
      <c r="U312" s="1" t="s">
        <v>72</v>
      </c>
      <c r="V312" s="3" t="s">
        <v>277</v>
      </c>
      <c r="W312" s="1" t="s">
        <v>191</v>
      </c>
      <c r="X312" s="1" t="s">
        <v>70</v>
      </c>
      <c r="Y312" s="6" t="s">
        <v>76</v>
      </c>
      <c r="Z312" s="3" t="s">
        <v>76</v>
      </c>
      <c r="AB312" s="1">
        <v>4.0</v>
      </c>
      <c r="AI312" s="1" t="s">
        <v>514</v>
      </c>
      <c r="AJ312" s="1">
        <v>880.0</v>
      </c>
      <c r="AK312" s="1">
        <v>1999.0</v>
      </c>
      <c r="AL312" s="2" t="s">
        <v>100</v>
      </c>
      <c r="AM312" s="2" t="s">
        <v>72</v>
      </c>
      <c r="AN312" s="2" t="s">
        <v>72</v>
      </c>
      <c r="AO312" s="2" t="s">
        <v>76</v>
      </c>
      <c r="AQ312" s="2" t="s">
        <v>75</v>
      </c>
      <c r="AR312" s="2" t="s">
        <v>76</v>
      </c>
      <c r="AS312" s="1">
        <v>1738.0</v>
      </c>
      <c r="AT312" s="1">
        <v>1738.0</v>
      </c>
      <c r="AU312" s="1">
        <v>690.0</v>
      </c>
      <c r="AV312" s="1">
        <v>36.0</v>
      </c>
      <c r="AW312" s="1">
        <v>144.0</v>
      </c>
      <c r="AX312" s="1">
        <v>5677.0</v>
      </c>
      <c r="AY312" s="1">
        <v>131.0</v>
      </c>
      <c r="AZ312" s="1" t="s">
        <v>133</v>
      </c>
      <c r="BA312" s="1" t="s">
        <v>121</v>
      </c>
    </row>
    <row r="313">
      <c r="A313" s="1" t="s">
        <v>1203</v>
      </c>
      <c r="B313" s="1" t="s">
        <v>53</v>
      </c>
      <c r="C313" s="1">
        <v>2010.0</v>
      </c>
      <c r="D313" s="1" t="s">
        <v>1204</v>
      </c>
      <c r="E313" s="1" t="s">
        <v>1205</v>
      </c>
      <c r="F313" s="1" t="s">
        <v>1206</v>
      </c>
      <c r="H313" s="1" t="s">
        <v>1207</v>
      </c>
      <c r="I313" s="1">
        <v>27.0</v>
      </c>
      <c r="J313" s="1">
        <v>3.0</v>
      </c>
      <c r="K313" s="2" t="s">
        <v>1208</v>
      </c>
      <c r="L313" s="2" t="s">
        <v>60</v>
      </c>
      <c r="M313" s="1" t="s">
        <v>1209</v>
      </c>
      <c r="N313" s="1" t="s">
        <v>62</v>
      </c>
      <c r="O313" s="1" t="s">
        <v>167</v>
      </c>
      <c r="P313" s="1" t="s">
        <v>512</v>
      </c>
      <c r="Q313" s="1">
        <v>17.0</v>
      </c>
      <c r="R313" s="1">
        <v>-89.85</v>
      </c>
      <c r="S313" s="1" t="s">
        <v>148</v>
      </c>
      <c r="T313" s="2" t="s">
        <v>275</v>
      </c>
      <c r="U313" s="1" t="s">
        <v>72</v>
      </c>
      <c r="V313" s="3" t="s">
        <v>277</v>
      </c>
      <c r="W313" s="1" t="s">
        <v>278</v>
      </c>
      <c r="X313" s="1" t="s">
        <v>279</v>
      </c>
      <c r="Y313" s="6" t="s">
        <v>76</v>
      </c>
      <c r="Z313" s="3" t="s">
        <v>76</v>
      </c>
      <c r="AA313" s="1">
        <v>1.0</v>
      </c>
      <c r="AI313" s="2" t="s">
        <v>72</v>
      </c>
      <c r="AJ313" s="1">
        <v>1480.0</v>
      </c>
      <c r="AK313" s="1">
        <v>2005.0</v>
      </c>
      <c r="AL313" s="2" t="s">
        <v>153</v>
      </c>
      <c r="AM313" s="2" t="s">
        <v>72</v>
      </c>
      <c r="AN313" s="2" t="s">
        <v>72</v>
      </c>
      <c r="AO313" s="2" t="s">
        <v>101</v>
      </c>
      <c r="AQ313" s="2" t="s">
        <v>75</v>
      </c>
      <c r="AR313" s="2" t="s">
        <v>76</v>
      </c>
      <c r="AS313" s="1">
        <v>1650.0</v>
      </c>
      <c r="AT313" s="1">
        <v>1650.0</v>
      </c>
      <c r="AU313" s="1">
        <v>672.0</v>
      </c>
      <c r="AV313" s="1">
        <v>36.0</v>
      </c>
      <c r="AW313" s="1">
        <v>131.0</v>
      </c>
      <c r="AX313" s="1">
        <v>5911.0</v>
      </c>
      <c r="AY313" s="1">
        <v>110.0</v>
      </c>
      <c r="AZ313" s="1" t="s">
        <v>133</v>
      </c>
      <c r="BA313" s="1" t="s">
        <v>121</v>
      </c>
    </row>
    <row r="314">
      <c r="A314" s="1" t="s">
        <v>1153</v>
      </c>
      <c r="B314" s="1" t="s">
        <v>53</v>
      </c>
      <c r="C314" s="1">
        <v>2006.0</v>
      </c>
      <c r="D314" s="1" t="s">
        <v>1154</v>
      </c>
      <c r="E314" s="1" t="s">
        <v>1155</v>
      </c>
      <c r="F314" s="1" t="s">
        <v>631</v>
      </c>
      <c r="H314" s="1" t="s">
        <v>1156</v>
      </c>
      <c r="I314" s="1">
        <v>17.0</v>
      </c>
      <c r="J314" s="1">
        <v>3.0</v>
      </c>
      <c r="K314" s="2" t="s">
        <v>1157</v>
      </c>
      <c r="L314" s="2" t="s">
        <v>60</v>
      </c>
      <c r="M314" s="1" t="s">
        <v>1210</v>
      </c>
      <c r="N314" s="1" t="s">
        <v>62</v>
      </c>
      <c r="O314" s="1" t="s">
        <v>167</v>
      </c>
      <c r="P314" s="1" t="s">
        <v>1159</v>
      </c>
      <c r="Q314" s="1">
        <v>13.941022</v>
      </c>
      <c r="R314" s="1">
        <v>-90.629732</v>
      </c>
      <c r="S314" s="1" t="s">
        <v>1160</v>
      </c>
      <c r="T314" s="2" t="s">
        <v>293</v>
      </c>
      <c r="U314" s="3" t="s">
        <v>314</v>
      </c>
      <c r="V314" s="3" t="s">
        <v>171</v>
      </c>
      <c r="W314" s="2" t="s">
        <v>72</v>
      </c>
      <c r="X314" s="1" t="s">
        <v>70</v>
      </c>
      <c r="Y314" s="6" t="s">
        <v>76</v>
      </c>
      <c r="Z314" s="3" t="s">
        <v>625</v>
      </c>
      <c r="AB314" s="1">
        <v>8.0</v>
      </c>
      <c r="AI314" s="2" t="s">
        <v>72</v>
      </c>
      <c r="AJ314" s="1">
        <v>-3800.0</v>
      </c>
      <c r="AK314" s="1">
        <v>-2000.0</v>
      </c>
      <c r="AL314" s="2" t="s">
        <v>73</v>
      </c>
      <c r="AM314" s="2" t="s">
        <v>72</v>
      </c>
      <c r="AN314" s="1" t="s">
        <v>74</v>
      </c>
      <c r="AO314" s="2" t="s">
        <v>72</v>
      </c>
      <c r="AQ314" s="2" t="s">
        <v>75</v>
      </c>
      <c r="AR314" s="2" t="s">
        <v>76</v>
      </c>
      <c r="AS314" s="1">
        <v>1707.0</v>
      </c>
      <c r="AT314" s="1">
        <v>1707.0</v>
      </c>
      <c r="AU314" s="1">
        <v>819.0</v>
      </c>
      <c r="AV314" s="1">
        <v>2.0</v>
      </c>
      <c r="AW314" s="1">
        <v>12.0</v>
      </c>
      <c r="AX314" s="1">
        <v>9271.0</v>
      </c>
      <c r="AY314" s="1">
        <v>7.0</v>
      </c>
      <c r="AZ314" s="1" t="s">
        <v>1162</v>
      </c>
      <c r="BA314" s="1" t="s">
        <v>659</v>
      </c>
    </row>
    <row r="315">
      <c r="A315" s="1" t="s">
        <v>1153</v>
      </c>
      <c r="B315" s="1" t="s">
        <v>53</v>
      </c>
      <c r="C315" s="1">
        <v>2006.0</v>
      </c>
      <c r="D315" s="1" t="s">
        <v>1154</v>
      </c>
      <c r="E315" s="1" t="s">
        <v>1155</v>
      </c>
      <c r="F315" s="1" t="s">
        <v>631</v>
      </c>
      <c r="H315" s="1" t="s">
        <v>1156</v>
      </c>
      <c r="I315" s="1">
        <v>17.0</v>
      </c>
      <c r="J315" s="1">
        <v>3.0</v>
      </c>
      <c r="K315" s="2" t="s">
        <v>1157</v>
      </c>
      <c r="L315" s="2" t="s">
        <v>60</v>
      </c>
      <c r="M315" s="1" t="s">
        <v>1211</v>
      </c>
      <c r="N315" s="1" t="s">
        <v>62</v>
      </c>
      <c r="O315" s="1" t="s">
        <v>167</v>
      </c>
      <c r="P315" s="1" t="s">
        <v>1159</v>
      </c>
      <c r="Q315" s="1">
        <v>13.941022</v>
      </c>
      <c r="R315" s="1">
        <v>-90.629732</v>
      </c>
      <c r="S315" s="1" t="s">
        <v>1160</v>
      </c>
      <c r="T315" s="2" t="s">
        <v>293</v>
      </c>
      <c r="U315" s="3" t="s">
        <v>314</v>
      </c>
      <c r="V315" s="3" t="s">
        <v>171</v>
      </c>
      <c r="W315" s="2" t="s">
        <v>72</v>
      </c>
      <c r="X315" s="1" t="s">
        <v>70</v>
      </c>
      <c r="Y315" s="6" t="s">
        <v>76</v>
      </c>
      <c r="Z315" s="3" t="s">
        <v>625</v>
      </c>
      <c r="AB315" s="1">
        <v>6.0</v>
      </c>
      <c r="AI315" s="2" t="s">
        <v>72</v>
      </c>
      <c r="AJ315" s="1">
        <v>-3600.0</v>
      </c>
      <c r="AK315" s="1">
        <v>1805.0</v>
      </c>
      <c r="AL315" s="2" t="s">
        <v>73</v>
      </c>
      <c r="AM315" s="2" t="s">
        <v>72</v>
      </c>
      <c r="AN315" s="1" t="s">
        <v>74</v>
      </c>
      <c r="AO315" s="2" t="s">
        <v>72</v>
      </c>
      <c r="AQ315" s="2" t="s">
        <v>75</v>
      </c>
      <c r="AR315" s="2" t="s">
        <v>76</v>
      </c>
      <c r="AS315" s="1">
        <v>1707.0</v>
      </c>
      <c r="AT315" s="1">
        <v>1707.0</v>
      </c>
      <c r="AU315" s="1">
        <v>819.0</v>
      </c>
      <c r="AV315" s="1">
        <v>2.0</v>
      </c>
      <c r="AW315" s="1">
        <v>12.0</v>
      </c>
      <c r="AX315" s="1">
        <v>9271.0</v>
      </c>
      <c r="AY315" s="1">
        <v>7.0</v>
      </c>
      <c r="AZ315" s="1" t="s">
        <v>1162</v>
      </c>
      <c r="BA315" s="1" t="s">
        <v>659</v>
      </c>
    </row>
    <row r="316">
      <c r="A316" s="1" t="s">
        <v>1153</v>
      </c>
      <c r="B316" s="1" t="s">
        <v>53</v>
      </c>
      <c r="C316" s="1">
        <v>2006.0</v>
      </c>
      <c r="D316" s="1" t="s">
        <v>1154</v>
      </c>
      <c r="E316" s="1" t="s">
        <v>1155</v>
      </c>
      <c r="F316" s="1" t="s">
        <v>631</v>
      </c>
      <c r="H316" s="1" t="s">
        <v>1156</v>
      </c>
      <c r="I316" s="1">
        <v>17.0</v>
      </c>
      <c r="J316" s="1">
        <v>3.0</v>
      </c>
      <c r="K316" s="2" t="s">
        <v>1157</v>
      </c>
      <c r="L316" s="2" t="s">
        <v>60</v>
      </c>
      <c r="M316" s="1" t="s">
        <v>1212</v>
      </c>
      <c r="N316" s="1" t="s">
        <v>62</v>
      </c>
      <c r="O316" s="1" t="s">
        <v>167</v>
      </c>
      <c r="P316" s="1" t="s">
        <v>1159</v>
      </c>
      <c r="Q316" s="1">
        <v>13.941022</v>
      </c>
      <c r="R316" s="1">
        <v>-90.629732</v>
      </c>
      <c r="S316" s="1" t="s">
        <v>1160</v>
      </c>
      <c r="T316" s="2" t="s">
        <v>293</v>
      </c>
      <c r="U316" s="3" t="s">
        <v>314</v>
      </c>
      <c r="V316" s="3" t="s">
        <v>171</v>
      </c>
      <c r="W316" s="2" t="s">
        <v>72</v>
      </c>
      <c r="X316" s="1" t="s">
        <v>70</v>
      </c>
      <c r="Y316" s="6" t="s">
        <v>76</v>
      </c>
      <c r="Z316" s="3" t="s">
        <v>625</v>
      </c>
      <c r="AB316" s="1">
        <v>5.0</v>
      </c>
      <c r="AI316" s="2" t="s">
        <v>72</v>
      </c>
      <c r="AJ316" s="1">
        <v>-1998.0</v>
      </c>
      <c r="AK316" s="1">
        <v>-1000.0</v>
      </c>
      <c r="AL316" s="2" t="s">
        <v>73</v>
      </c>
      <c r="AM316" s="2" t="s">
        <v>72</v>
      </c>
      <c r="AN316" s="1" t="s">
        <v>74</v>
      </c>
      <c r="AO316" s="2" t="s">
        <v>72</v>
      </c>
      <c r="AQ316" s="2" t="s">
        <v>75</v>
      </c>
      <c r="AR316" s="2" t="s">
        <v>76</v>
      </c>
      <c r="AS316" s="1">
        <v>1707.0</v>
      </c>
      <c r="AT316" s="1">
        <v>1707.0</v>
      </c>
      <c r="AU316" s="1">
        <v>819.0</v>
      </c>
      <c r="AV316" s="1">
        <v>2.0</v>
      </c>
      <c r="AW316" s="1">
        <v>12.0</v>
      </c>
      <c r="AX316" s="1">
        <v>9271.0</v>
      </c>
      <c r="AY316" s="1">
        <v>7.0</v>
      </c>
      <c r="AZ316" s="1" t="s">
        <v>1162</v>
      </c>
      <c r="BA316" s="1" t="s">
        <v>659</v>
      </c>
    </row>
    <row r="317">
      <c r="A317" s="1" t="s">
        <v>1203</v>
      </c>
      <c r="B317" s="1" t="s">
        <v>53</v>
      </c>
      <c r="C317" s="1">
        <v>2010.0</v>
      </c>
      <c r="D317" s="1" t="s">
        <v>1204</v>
      </c>
      <c r="E317" s="1" t="s">
        <v>1205</v>
      </c>
      <c r="F317" s="1" t="s">
        <v>1206</v>
      </c>
      <c r="H317" s="1" t="s">
        <v>1207</v>
      </c>
      <c r="I317" s="1">
        <v>27.0</v>
      </c>
      <c r="J317" s="1">
        <v>3.0</v>
      </c>
      <c r="K317" s="2" t="s">
        <v>1208</v>
      </c>
      <c r="L317" s="2" t="s">
        <v>60</v>
      </c>
      <c r="M317" s="1" t="s">
        <v>1213</v>
      </c>
      <c r="N317" s="1" t="s">
        <v>62</v>
      </c>
      <c r="O317" s="1" t="s">
        <v>167</v>
      </c>
      <c r="P317" s="1" t="s">
        <v>512</v>
      </c>
      <c r="Q317" s="1">
        <v>16.916667</v>
      </c>
      <c r="R317" s="1">
        <v>-89.833333</v>
      </c>
      <c r="S317" s="1" t="s">
        <v>148</v>
      </c>
      <c r="T317" s="2" t="s">
        <v>1214</v>
      </c>
      <c r="U317" s="1" t="s">
        <v>1215</v>
      </c>
      <c r="V317" s="3" t="s">
        <v>277</v>
      </c>
      <c r="W317" s="1" t="s">
        <v>1216</v>
      </c>
      <c r="X317" s="2" t="s">
        <v>72</v>
      </c>
      <c r="Y317" s="6" t="s">
        <v>76</v>
      </c>
      <c r="Z317" s="3" t="s">
        <v>76</v>
      </c>
      <c r="AD317" s="1">
        <v>15.0</v>
      </c>
      <c r="AJ317" s="1">
        <v>1880.0</v>
      </c>
      <c r="AK317" s="1">
        <v>2005.0</v>
      </c>
      <c r="AL317" s="2" t="s">
        <v>153</v>
      </c>
      <c r="AM317" s="2" t="s">
        <v>72</v>
      </c>
      <c r="AN317" s="2" t="s">
        <v>72</v>
      </c>
      <c r="AO317" s="2" t="s">
        <v>101</v>
      </c>
      <c r="AQ317" s="2" t="s">
        <v>75</v>
      </c>
      <c r="AR317" s="2" t="s">
        <v>76</v>
      </c>
      <c r="AS317" s="1">
        <v>1738.0</v>
      </c>
      <c r="AT317" s="1">
        <v>1738.0</v>
      </c>
      <c r="AU317" s="1">
        <v>690.0</v>
      </c>
      <c r="AV317" s="1">
        <v>36.0</v>
      </c>
      <c r="AW317" s="1">
        <v>144.0</v>
      </c>
      <c r="AX317" s="1">
        <v>5677.0</v>
      </c>
      <c r="AY317" s="1">
        <v>131.0</v>
      </c>
      <c r="AZ317" s="1" t="s">
        <v>133</v>
      </c>
      <c r="BA317" s="1" t="s">
        <v>121</v>
      </c>
    </row>
    <row r="318">
      <c r="A318" s="1" t="s">
        <v>993</v>
      </c>
      <c r="B318" s="1" t="s">
        <v>53</v>
      </c>
      <c r="C318" s="1">
        <v>2007.0</v>
      </c>
      <c r="D318" s="1" t="s">
        <v>994</v>
      </c>
      <c r="E318" s="1" t="s">
        <v>995</v>
      </c>
      <c r="F318" s="1" t="s">
        <v>631</v>
      </c>
      <c r="G318" s="1" t="s">
        <v>996</v>
      </c>
      <c r="H318" s="1" t="s">
        <v>997</v>
      </c>
      <c r="I318" s="1">
        <v>18.0</v>
      </c>
      <c r="J318" s="1">
        <v>2.0</v>
      </c>
      <c r="K318" s="2" t="s">
        <v>998</v>
      </c>
      <c r="L318" s="2" t="s">
        <v>60</v>
      </c>
      <c r="M318" s="1" t="s">
        <v>1217</v>
      </c>
      <c r="N318" s="1" t="s">
        <v>62</v>
      </c>
      <c r="O318" s="1" t="s">
        <v>167</v>
      </c>
      <c r="P318" s="1" t="s">
        <v>1000</v>
      </c>
      <c r="Q318" s="1">
        <v>17.669071</v>
      </c>
      <c r="R318" s="1">
        <v>-89.792832</v>
      </c>
      <c r="S318" s="1" t="s">
        <v>148</v>
      </c>
      <c r="T318" s="2" t="s">
        <v>66</v>
      </c>
      <c r="U318" s="3" t="s">
        <v>67</v>
      </c>
      <c r="V318" s="3" t="s">
        <v>171</v>
      </c>
      <c r="W318" s="1" t="s">
        <v>589</v>
      </c>
      <c r="X318" s="1" t="s">
        <v>70</v>
      </c>
      <c r="Y318" s="5" t="s">
        <v>60</v>
      </c>
      <c r="Z318" s="3" t="s">
        <v>345</v>
      </c>
      <c r="AB318" s="1">
        <v>2.0</v>
      </c>
      <c r="AI318" s="2" t="s">
        <v>72</v>
      </c>
      <c r="AJ318" s="1">
        <v>1690.0</v>
      </c>
      <c r="AK318" s="1">
        <v>1988.0</v>
      </c>
      <c r="AL318" s="2" t="s">
        <v>100</v>
      </c>
      <c r="AM318" s="2" t="s">
        <v>76</v>
      </c>
      <c r="AN318" s="1" t="s">
        <v>238</v>
      </c>
      <c r="AO318" s="2" t="s">
        <v>76</v>
      </c>
      <c r="AQ318" s="2" t="s">
        <v>75</v>
      </c>
      <c r="AR318" s="2" t="s">
        <v>76</v>
      </c>
      <c r="AS318" s="1">
        <v>1436.0</v>
      </c>
      <c r="AT318" s="1">
        <v>1436.0</v>
      </c>
      <c r="AU318" s="1">
        <v>608.0</v>
      </c>
      <c r="AV318" s="1">
        <v>34.0</v>
      </c>
      <c r="AW318" s="1">
        <v>112.0</v>
      </c>
      <c r="AX318" s="1">
        <v>5881.0</v>
      </c>
      <c r="AY318" s="1">
        <v>298.0</v>
      </c>
      <c r="AZ318" s="1" t="s">
        <v>133</v>
      </c>
      <c r="BA318" s="1" t="s">
        <v>121</v>
      </c>
    </row>
    <row r="319">
      <c r="A319" s="1" t="s">
        <v>993</v>
      </c>
      <c r="B319" s="1" t="s">
        <v>53</v>
      </c>
      <c r="C319" s="1">
        <v>2007.0</v>
      </c>
      <c r="D319" s="1" t="s">
        <v>994</v>
      </c>
      <c r="E319" s="1" t="s">
        <v>995</v>
      </c>
      <c r="F319" s="1" t="s">
        <v>631</v>
      </c>
      <c r="G319" s="1" t="s">
        <v>996</v>
      </c>
      <c r="H319" s="1" t="s">
        <v>997</v>
      </c>
      <c r="I319" s="1">
        <v>18.0</v>
      </c>
      <c r="J319" s="1">
        <v>2.0</v>
      </c>
      <c r="K319" s="2" t="s">
        <v>998</v>
      </c>
      <c r="L319" s="2" t="s">
        <v>60</v>
      </c>
      <c r="M319" s="1" t="s">
        <v>1218</v>
      </c>
      <c r="N319" s="1" t="s">
        <v>62</v>
      </c>
      <c r="O319" s="1" t="s">
        <v>167</v>
      </c>
      <c r="P319" s="1" t="s">
        <v>1000</v>
      </c>
      <c r="Q319" s="1">
        <v>17.669071</v>
      </c>
      <c r="R319" s="1">
        <v>-89.792832</v>
      </c>
      <c r="S319" s="1" t="s">
        <v>148</v>
      </c>
      <c r="T319" s="2" t="s">
        <v>80</v>
      </c>
      <c r="U319" s="3" t="s">
        <v>81</v>
      </c>
      <c r="V319" s="3" t="s">
        <v>68</v>
      </c>
      <c r="W319" s="1" t="s">
        <v>1219</v>
      </c>
      <c r="X319" s="2" t="s">
        <v>158</v>
      </c>
      <c r="Y319" s="6" t="s">
        <v>76</v>
      </c>
      <c r="Z319" s="3" t="s">
        <v>84</v>
      </c>
      <c r="AB319" s="1">
        <v>2.0</v>
      </c>
      <c r="AI319" s="2" t="s">
        <v>72</v>
      </c>
      <c r="AJ319" s="1">
        <v>690.0</v>
      </c>
      <c r="AK319" s="1">
        <v>1988.0</v>
      </c>
      <c r="AL319" s="2" t="s">
        <v>100</v>
      </c>
      <c r="AM319" s="2" t="s">
        <v>76</v>
      </c>
      <c r="AN319" s="1" t="s">
        <v>238</v>
      </c>
      <c r="AO319" s="2" t="s">
        <v>76</v>
      </c>
      <c r="AQ319" s="2" t="s">
        <v>75</v>
      </c>
      <c r="AR319" s="2" t="s">
        <v>76</v>
      </c>
      <c r="AS319" s="1">
        <v>1436.0</v>
      </c>
      <c r="AT319" s="1">
        <v>1436.0</v>
      </c>
      <c r="AU319" s="1">
        <v>608.0</v>
      </c>
      <c r="AV319" s="1">
        <v>34.0</v>
      </c>
      <c r="AW319" s="1">
        <v>112.0</v>
      </c>
      <c r="AX319" s="1">
        <v>5881.0</v>
      </c>
      <c r="AY319" s="1">
        <v>298.0</v>
      </c>
      <c r="AZ319" s="1" t="s">
        <v>133</v>
      </c>
      <c r="BA319" s="1" t="s">
        <v>121</v>
      </c>
    </row>
    <row r="320">
      <c r="A320" s="1" t="s">
        <v>993</v>
      </c>
      <c r="B320" s="1" t="s">
        <v>53</v>
      </c>
      <c r="C320" s="1">
        <v>2007.0</v>
      </c>
      <c r="D320" s="1" t="s">
        <v>994</v>
      </c>
      <c r="E320" s="1" t="s">
        <v>995</v>
      </c>
      <c r="F320" s="1" t="s">
        <v>631</v>
      </c>
      <c r="G320" s="1" t="s">
        <v>996</v>
      </c>
      <c r="H320" s="1" t="s">
        <v>997</v>
      </c>
      <c r="I320" s="1">
        <v>18.0</v>
      </c>
      <c r="J320" s="1">
        <v>2.0</v>
      </c>
      <c r="K320" s="2" t="s">
        <v>998</v>
      </c>
      <c r="L320" s="2" t="s">
        <v>60</v>
      </c>
      <c r="M320" s="1" t="s">
        <v>1220</v>
      </c>
      <c r="N320" s="1" t="s">
        <v>62</v>
      </c>
      <c r="O320" s="1" t="s">
        <v>167</v>
      </c>
      <c r="P320" s="1" t="s">
        <v>1000</v>
      </c>
      <c r="Q320" s="1">
        <v>17.669071</v>
      </c>
      <c r="R320" s="1">
        <v>-89.792832</v>
      </c>
      <c r="S320" s="1" t="s">
        <v>148</v>
      </c>
      <c r="T320" s="2" t="s">
        <v>194</v>
      </c>
      <c r="U320" s="7" t="s">
        <v>454</v>
      </c>
      <c r="V320" s="3" t="s">
        <v>116</v>
      </c>
      <c r="W320" s="1" t="s">
        <v>286</v>
      </c>
      <c r="X320" s="1" t="s">
        <v>70</v>
      </c>
      <c r="Y320" s="6" t="s">
        <v>76</v>
      </c>
      <c r="Z320" s="1" t="s">
        <v>173</v>
      </c>
      <c r="AB320" s="1">
        <v>2.0</v>
      </c>
      <c r="AI320" s="2" t="s">
        <v>72</v>
      </c>
      <c r="AJ320" s="1">
        <v>1690.0</v>
      </c>
      <c r="AK320" s="1">
        <v>1988.0</v>
      </c>
      <c r="AL320" s="2" t="s">
        <v>100</v>
      </c>
      <c r="AM320" s="2" t="s">
        <v>76</v>
      </c>
      <c r="AN320" s="1" t="s">
        <v>238</v>
      </c>
      <c r="AO320" s="2" t="s">
        <v>76</v>
      </c>
      <c r="AQ320" s="2" t="s">
        <v>75</v>
      </c>
      <c r="AR320" s="2" t="s">
        <v>76</v>
      </c>
      <c r="AS320" s="1">
        <v>1436.0</v>
      </c>
      <c r="AT320" s="1">
        <v>1436.0</v>
      </c>
      <c r="AU320" s="1">
        <v>608.0</v>
      </c>
      <c r="AV320" s="1">
        <v>34.0</v>
      </c>
      <c r="AW320" s="1">
        <v>112.0</v>
      </c>
      <c r="AX320" s="1">
        <v>5881.0</v>
      </c>
      <c r="AY320" s="1">
        <v>298.0</v>
      </c>
      <c r="AZ320" s="1" t="s">
        <v>133</v>
      </c>
      <c r="BA320" s="1" t="s">
        <v>121</v>
      </c>
    </row>
    <row r="321">
      <c r="A321" s="1" t="s">
        <v>1221</v>
      </c>
      <c r="B321" s="1" t="s">
        <v>53</v>
      </c>
      <c r="C321" s="1">
        <v>1987.0</v>
      </c>
      <c r="D321" s="1" t="s">
        <v>1222</v>
      </c>
      <c r="E321" s="1" t="s">
        <v>1223</v>
      </c>
      <c r="F321" s="1" t="s">
        <v>1224</v>
      </c>
      <c r="H321" s="1" t="s">
        <v>1225</v>
      </c>
      <c r="I321" s="1">
        <v>326.0</v>
      </c>
      <c r="J321" s="1">
        <v>6110.0</v>
      </c>
      <c r="K321" s="2" t="s">
        <v>1226</v>
      </c>
      <c r="L321" s="2" t="s">
        <v>60</v>
      </c>
      <c r="M321" s="1" t="s">
        <v>1227</v>
      </c>
      <c r="N321" s="1" t="s">
        <v>62</v>
      </c>
      <c r="O321" s="1" t="s">
        <v>63</v>
      </c>
      <c r="P321" s="1" t="s">
        <v>1228</v>
      </c>
      <c r="Q321" s="1">
        <v>14.873719</v>
      </c>
      <c r="R321" s="1">
        <v>-87.983813</v>
      </c>
      <c r="S321" s="1" t="s">
        <v>148</v>
      </c>
      <c r="T321" s="2" t="s">
        <v>66</v>
      </c>
      <c r="U321" s="3" t="s">
        <v>1229</v>
      </c>
      <c r="V321" s="3" t="s">
        <v>68</v>
      </c>
      <c r="W321" s="2" t="s">
        <v>72</v>
      </c>
      <c r="X321" s="1" t="s">
        <v>70</v>
      </c>
      <c r="Y321" s="5" t="s">
        <v>60</v>
      </c>
      <c r="Z321" s="3" t="s">
        <v>1230</v>
      </c>
      <c r="AB321" s="1">
        <v>1.0</v>
      </c>
      <c r="AI321" s="1" t="s">
        <v>1231</v>
      </c>
      <c r="AJ321" s="1">
        <v>-2820.0</v>
      </c>
      <c r="AK321" s="1">
        <v>1950.0</v>
      </c>
      <c r="AL321" s="2" t="s">
        <v>73</v>
      </c>
      <c r="AM321" s="2" t="s">
        <v>72</v>
      </c>
      <c r="AN321" s="2" t="s">
        <v>72</v>
      </c>
      <c r="AO321" s="2" t="s">
        <v>60</v>
      </c>
      <c r="AQ321" s="2" t="s">
        <v>75</v>
      </c>
      <c r="AR321" s="2" t="s">
        <v>76</v>
      </c>
      <c r="AS321" s="1">
        <v>2246.0</v>
      </c>
      <c r="AT321" s="1">
        <v>2246.0</v>
      </c>
      <c r="AU321" s="1">
        <v>1016.0</v>
      </c>
      <c r="AV321" s="1">
        <v>45.0</v>
      </c>
      <c r="AW321" s="1">
        <v>160.0</v>
      </c>
      <c r="AX321" s="1">
        <v>6470.0</v>
      </c>
      <c r="AY321" s="1">
        <v>635.0</v>
      </c>
      <c r="AZ321" s="1" t="s">
        <v>1232</v>
      </c>
      <c r="BA321" s="1" t="s">
        <v>121</v>
      </c>
    </row>
    <row r="322">
      <c r="A322" s="1" t="s">
        <v>1221</v>
      </c>
      <c r="B322" s="1" t="s">
        <v>53</v>
      </c>
      <c r="C322" s="1">
        <v>1987.0</v>
      </c>
      <c r="D322" s="1" t="s">
        <v>1222</v>
      </c>
      <c r="E322" s="1" t="s">
        <v>1223</v>
      </c>
      <c r="F322" s="1" t="s">
        <v>1224</v>
      </c>
      <c r="H322" s="1" t="s">
        <v>1225</v>
      </c>
      <c r="I322" s="1">
        <v>326.0</v>
      </c>
      <c r="J322" s="1">
        <v>6110.0</v>
      </c>
      <c r="K322" s="2" t="s">
        <v>1226</v>
      </c>
      <c r="L322" s="2" t="s">
        <v>60</v>
      </c>
      <c r="M322" s="1" t="s">
        <v>1233</v>
      </c>
      <c r="N322" s="1" t="s">
        <v>62</v>
      </c>
      <c r="O322" s="1" t="s">
        <v>63</v>
      </c>
      <c r="P322" s="1" t="s">
        <v>1234</v>
      </c>
      <c r="Q322" s="1">
        <v>14.867</v>
      </c>
      <c r="R322" s="1">
        <v>-89.125</v>
      </c>
      <c r="S322" s="1" t="s">
        <v>114</v>
      </c>
      <c r="T322" s="2" t="s">
        <v>66</v>
      </c>
      <c r="U322" s="3" t="s">
        <v>1229</v>
      </c>
      <c r="V322" s="3" t="s">
        <v>68</v>
      </c>
      <c r="W322" s="2" t="s">
        <v>72</v>
      </c>
      <c r="X322" s="1" t="s">
        <v>70</v>
      </c>
      <c r="Y322" s="5" t="s">
        <v>60</v>
      </c>
      <c r="Z322" s="3" t="s">
        <v>1230</v>
      </c>
      <c r="AB322" s="1">
        <v>2.0</v>
      </c>
      <c r="AI322" s="1" t="s">
        <v>706</v>
      </c>
      <c r="AJ322" s="1">
        <v>1010.0</v>
      </c>
      <c r="AK322" s="1">
        <v>1950.0</v>
      </c>
      <c r="AL322" s="2" t="s">
        <v>73</v>
      </c>
      <c r="AM322" s="2" t="s">
        <v>72</v>
      </c>
      <c r="AN322" s="2" t="s">
        <v>72</v>
      </c>
      <c r="AO322" s="2" t="s">
        <v>60</v>
      </c>
      <c r="AQ322" s="2" t="s">
        <v>75</v>
      </c>
      <c r="AR322" s="2" t="s">
        <v>76</v>
      </c>
      <c r="AS322" s="1">
        <v>1510.0</v>
      </c>
      <c r="AT322" s="1">
        <v>1510.0</v>
      </c>
      <c r="AU322" s="1">
        <v>719.0</v>
      </c>
      <c r="AV322" s="1">
        <v>20.0</v>
      </c>
      <c r="AW322" s="1">
        <v>74.0</v>
      </c>
      <c r="AX322" s="1">
        <v>7799.0</v>
      </c>
      <c r="AY322" s="1">
        <v>784.0</v>
      </c>
      <c r="AZ322" s="1" t="s">
        <v>77</v>
      </c>
      <c r="BA322" s="1" t="s">
        <v>78</v>
      </c>
    </row>
    <row r="323">
      <c r="A323" s="1" t="s">
        <v>1235</v>
      </c>
      <c r="B323" s="1" t="s">
        <v>53</v>
      </c>
      <c r="C323" s="1">
        <v>1995.0</v>
      </c>
      <c r="D323" s="1" t="s">
        <v>1236</v>
      </c>
      <c r="E323" s="1" t="s">
        <v>1237</v>
      </c>
      <c r="F323" s="1" t="s">
        <v>1224</v>
      </c>
      <c r="H323" s="1" t="s">
        <v>1238</v>
      </c>
      <c r="I323" s="1">
        <v>375.0</v>
      </c>
      <c r="J323" s="1">
        <v>6530.0</v>
      </c>
      <c r="K323" s="2" t="s">
        <v>1239</v>
      </c>
      <c r="L323" s="2" t="s">
        <v>60</v>
      </c>
      <c r="M323" s="1" t="s">
        <v>1240</v>
      </c>
      <c r="N323" s="1" t="s">
        <v>62</v>
      </c>
      <c r="O323" s="1" t="s">
        <v>92</v>
      </c>
      <c r="P323" s="1" t="s">
        <v>466</v>
      </c>
      <c r="Q323" s="1">
        <v>19.833333</v>
      </c>
      <c r="R323" s="1">
        <v>-88.75</v>
      </c>
      <c r="S323" s="1" t="s">
        <v>148</v>
      </c>
      <c r="T323" s="2" t="s">
        <v>189</v>
      </c>
      <c r="U323" s="2" t="s">
        <v>96</v>
      </c>
      <c r="V323" s="3" t="s">
        <v>97</v>
      </c>
      <c r="W323" s="1" t="s">
        <v>191</v>
      </c>
      <c r="X323" s="1" t="s">
        <v>256</v>
      </c>
      <c r="Y323" s="6" t="s">
        <v>76</v>
      </c>
      <c r="Z323" s="3" t="s">
        <v>76</v>
      </c>
      <c r="AA323" s="1">
        <v>1.0</v>
      </c>
      <c r="AB323" s="1">
        <v>14.0</v>
      </c>
      <c r="AI323" s="1" t="s">
        <v>1241</v>
      </c>
      <c r="AJ323" s="1">
        <v>-8050.0</v>
      </c>
      <c r="AK323" s="1">
        <v>1950.0</v>
      </c>
      <c r="AL323" s="3" t="s">
        <v>73</v>
      </c>
      <c r="AM323" s="2" t="s">
        <v>72</v>
      </c>
      <c r="AN323" s="2" t="s">
        <v>72</v>
      </c>
      <c r="AO323" s="2" t="s">
        <v>60</v>
      </c>
      <c r="AQ323" s="2" t="s">
        <v>102</v>
      </c>
      <c r="AR323" s="2" t="s">
        <v>76</v>
      </c>
      <c r="AS323" s="1">
        <v>1264.0</v>
      </c>
      <c r="AT323" s="1">
        <v>1264.0</v>
      </c>
      <c r="AU323" s="1">
        <v>553.0</v>
      </c>
      <c r="AV323" s="1">
        <v>31.0</v>
      </c>
      <c r="AW323" s="1">
        <v>108.0</v>
      </c>
      <c r="AX323" s="1">
        <v>6202.0</v>
      </c>
      <c r="AY323" s="1">
        <v>42.0</v>
      </c>
      <c r="AZ323" s="1" t="s">
        <v>239</v>
      </c>
      <c r="BA323" s="1" t="s">
        <v>121</v>
      </c>
    </row>
    <row r="324">
      <c r="A324" s="1" t="s">
        <v>1235</v>
      </c>
      <c r="B324" s="1" t="s">
        <v>53</v>
      </c>
      <c r="C324" s="1">
        <v>1995.0</v>
      </c>
      <c r="D324" s="1" t="s">
        <v>1236</v>
      </c>
      <c r="E324" s="1" t="s">
        <v>1237</v>
      </c>
      <c r="F324" s="1" t="s">
        <v>1224</v>
      </c>
      <c r="H324" s="1" t="s">
        <v>1238</v>
      </c>
      <c r="I324" s="1">
        <v>375.0</v>
      </c>
      <c r="J324" s="1">
        <v>6530.0</v>
      </c>
      <c r="K324" s="2" t="s">
        <v>1239</v>
      </c>
      <c r="L324" s="2" t="s">
        <v>60</v>
      </c>
      <c r="M324" s="1" t="s">
        <v>1242</v>
      </c>
      <c r="N324" s="1" t="s">
        <v>62</v>
      </c>
      <c r="O324" s="1" t="s">
        <v>92</v>
      </c>
      <c r="P324" s="1" t="s">
        <v>466</v>
      </c>
      <c r="Q324" s="1">
        <v>19.833333</v>
      </c>
      <c r="R324" s="1">
        <v>-88.75</v>
      </c>
      <c r="S324" s="1" t="s">
        <v>148</v>
      </c>
      <c r="T324" s="2" t="s">
        <v>95</v>
      </c>
      <c r="U324" s="2" t="s">
        <v>96</v>
      </c>
      <c r="V324" s="3" t="s">
        <v>97</v>
      </c>
      <c r="W324" s="2" t="s">
        <v>72</v>
      </c>
      <c r="X324" s="1" t="s">
        <v>256</v>
      </c>
      <c r="Y324" s="6" t="s">
        <v>76</v>
      </c>
      <c r="Z324" s="3" t="s">
        <v>76</v>
      </c>
      <c r="AA324" s="1">
        <v>1.0</v>
      </c>
      <c r="AB324" s="1">
        <v>14.0</v>
      </c>
      <c r="AI324" s="1" t="s">
        <v>1241</v>
      </c>
      <c r="AJ324" s="1">
        <v>-8050.0</v>
      </c>
      <c r="AK324" s="1">
        <v>1950.0</v>
      </c>
      <c r="AL324" s="3" t="s">
        <v>73</v>
      </c>
      <c r="AM324" s="2" t="s">
        <v>72</v>
      </c>
      <c r="AN324" s="2" t="s">
        <v>72</v>
      </c>
      <c r="AO324" s="2" t="s">
        <v>60</v>
      </c>
      <c r="AQ324" s="2" t="s">
        <v>102</v>
      </c>
      <c r="AR324" s="2" t="s">
        <v>76</v>
      </c>
      <c r="AS324" s="1">
        <v>1264.0</v>
      </c>
      <c r="AT324" s="1">
        <v>1264.0</v>
      </c>
      <c r="AU324" s="1">
        <v>553.0</v>
      </c>
      <c r="AV324" s="1">
        <v>31.0</v>
      </c>
      <c r="AW324" s="1">
        <v>108.0</v>
      </c>
      <c r="AX324" s="1">
        <v>6202.0</v>
      </c>
      <c r="AY324" s="1">
        <v>42.0</v>
      </c>
      <c r="AZ324" s="1" t="s">
        <v>239</v>
      </c>
      <c r="BA324" s="1" t="s">
        <v>121</v>
      </c>
    </row>
    <row r="325">
      <c r="A325" s="1" t="s">
        <v>1235</v>
      </c>
      <c r="B325" s="1" t="s">
        <v>53</v>
      </c>
      <c r="C325" s="1">
        <v>1995.0</v>
      </c>
      <c r="D325" s="1" t="s">
        <v>1236</v>
      </c>
      <c r="E325" s="1" t="s">
        <v>1237</v>
      </c>
      <c r="F325" s="1" t="s">
        <v>1224</v>
      </c>
      <c r="H325" s="1" t="s">
        <v>1238</v>
      </c>
      <c r="I325" s="1">
        <v>375.0</v>
      </c>
      <c r="J325" s="1">
        <v>6530.0</v>
      </c>
      <c r="K325" s="2" t="s">
        <v>1239</v>
      </c>
      <c r="L325" s="2" t="s">
        <v>60</v>
      </c>
      <c r="M325" s="1" t="s">
        <v>1243</v>
      </c>
      <c r="N325" s="1" t="s">
        <v>62</v>
      </c>
      <c r="O325" s="1" t="s">
        <v>92</v>
      </c>
      <c r="P325" s="1" t="s">
        <v>466</v>
      </c>
      <c r="Q325" s="1">
        <v>19.833333</v>
      </c>
      <c r="R325" s="1">
        <v>-88.75</v>
      </c>
      <c r="S325" s="1" t="s">
        <v>148</v>
      </c>
      <c r="T325" s="2" t="s">
        <v>95</v>
      </c>
      <c r="U325" s="2" t="s">
        <v>96</v>
      </c>
      <c r="V325" s="3" t="s">
        <v>97</v>
      </c>
      <c r="W325" s="2" t="s">
        <v>72</v>
      </c>
      <c r="X325" s="1" t="s">
        <v>256</v>
      </c>
      <c r="Y325" s="6" t="s">
        <v>76</v>
      </c>
      <c r="Z325" s="3" t="s">
        <v>76</v>
      </c>
      <c r="AA325" s="1">
        <v>1.0</v>
      </c>
      <c r="AB325" s="1">
        <v>14.0</v>
      </c>
      <c r="AI325" s="1" t="s">
        <v>1241</v>
      </c>
      <c r="AJ325" s="1">
        <v>-8050.0</v>
      </c>
      <c r="AK325" s="1">
        <v>1950.0</v>
      </c>
      <c r="AL325" s="3" t="s">
        <v>73</v>
      </c>
      <c r="AM325" s="2" t="s">
        <v>72</v>
      </c>
      <c r="AN325" s="2" t="s">
        <v>72</v>
      </c>
      <c r="AO325" s="2" t="s">
        <v>60</v>
      </c>
      <c r="AQ325" s="2" t="s">
        <v>102</v>
      </c>
      <c r="AR325" s="2" t="s">
        <v>76</v>
      </c>
      <c r="AS325" s="1">
        <v>1264.0</v>
      </c>
      <c r="AT325" s="1">
        <v>1264.0</v>
      </c>
      <c r="AU325" s="1">
        <v>553.0</v>
      </c>
      <c r="AV325" s="1">
        <v>31.0</v>
      </c>
      <c r="AW325" s="1">
        <v>108.0</v>
      </c>
      <c r="AX325" s="1">
        <v>6202.0</v>
      </c>
      <c r="AY325" s="1">
        <v>42.0</v>
      </c>
      <c r="AZ325" s="1" t="s">
        <v>239</v>
      </c>
      <c r="BA325" s="1" t="s">
        <v>121</v>
      </c>
    </row>
    <row r="326">
      <c r="A326" s="1" t="s">
        <v>1244</v>
      </c>
      <c r="B326" s="1" t="s">
        <v>53</v>
      </c>
      <c r="C326" s="1">
        <v>2015.0</v>
      </c>
      <c r="D326" s="1" t="s">
        <v>1245</v>
      </c>
      <c r="E326" s="1" t="s">
        <v>1246</v>
      </c>
      <c r="F326" s="1" t="s">
        <v>1247</v>
      </c>
      <c r="G326" s="1" t="s">
        <v>1248</v>
      </c>
      <c r="H326" s="1" t="s">
        <v>1249</v>
      </c>
      <c r="I326" s="1">
        <v>8.0</v>
      </c>
      <c r="J326" s="1">
        <v>3.0</v>
      </c>
      <c r="K326" s="2" t="s">
        <v>1250</v>
      </c>
      <c r="L326" s="2" t="s">
        <v>76</v>
      </c>
      <c r="M326" s="1" t="s">
        <v>1244</v>
      </c>
      <c r="N326" s="1" t="s">
        <v>62</v>
      </c>
      <c r="O326" s="1" t="s">
        <v>187</v>
      </c>
      <c r="P326" s="1" t="s">
        <v>1251</v>
      </c>
      <c r="Q326" s="1">
        <v>16.20855</v>
      </c>
      <c r="R326" s="1">
        <v>-89.07345</v>
      </c>
      <c r="S326" s="1" t="s">
        <v>94</v>
      </c>
      <c r="T326" s="2" t="s">
        <v>135</v>
      </c>
      <c r="U326" s="2" t="s">
        <v>96</v>
      </c>
      <c r="V326" s="3" t="s">
        <v>97</v>
      </c>
      <c r="W326" s="1" t="s">
        <v>1252</v>
      </c>
      <c r="X326" s="2" t="s">
        <v>99</v>
      </c>
      <c r="Y326" s="6" t="s">
        <v>76</v>
      </c>
      <c r="Z326" s="3" t="s">
        <v>76</v>
      </c>
      <c r="AF326" s="1">
        <v>18.0</v>
      </c>
      <c r="AJ326" s="1">
        <v>1550.0</v>
      </c>
      <c r="AK326" s="1">
        <v>2006.0</v>
      </c>
      <c r="AL326" s="2" t="s">
        <v>153</v>
      </c>
      <c r="AM326" s="3" t="s">
        <v>60</v>
      </c>
      <c r="AN326" s="2" t="s">
        <v>101</v>
      </c>
      <c r="AO326" s="2" t="s">
        <v>101</v>
      </c>
      <c r="AQ326" s="2" t="s">
        <v>102</v>
      </c>
      <c r="AR326" s="2" t="s">
        <v>60</v>
      </c>
      <c r="AS326" s="1">
        <v>3284.0</v>
      </c>
      <c r="AT326" s="1">
        <v>3284.0</v>
      </c>
      <c r="AU326" s="1">
        <v>1631.0</v>
      </c>
      <c r="AV326" s="1">
        <v>70.0</v>
      </c>
      <c r="AW326" s="1">
        <v>253.0</v>
      </c>
      <c r="AX326" s="1">
        <v>6997.0</v>
      </c>
      <c r="AY326" s="1">
        <v>319.0</v>
      </c>
      <c r="AZ326" s="1" t="s">
        <v>133</v>
      </c>
      <c r="BA326" s="1" t="s">
        <v>121</v>
      </c>
    </row>
    <row r="327">
      <c r="A327" s="1" t="s">
        <v>1253</v>
      </c>
      <c r="B327" s="1" t="s">
        <v>53</v>
      </c>
      <c r="C327" s="1">
        <v>2013.0</v>
      </c>
      <c r="D327" s="1" t="s">
        <v>1254</v>
      </c>
      <c r="E327" s="1" t="s">
        <v>1255</v>
      </c>
      <c r="F327" s="1" t="s">
        <v>1256</v>
      </c>
      <c r="G327" s="1" t="s">
        <v>1257</v>
      </c>
      <c r="H327" s="1" t="s">
        <v>1258</v>
      </c>
      <c r="I327" s="1">
        <v>379.0</v>
      </c>
      <c r="K327" s="2" t="s">
        <v>1259</v>
      </c>
      <c r="L327" s="2" t="s">
        <v>60</v>
      </c>
      <c r="M327" s="1" t="s">
        <v>1260</v>
      </c>
      <c r="N327" s="1" t="s">
        <v>62</v>
      </c>
      <c r="O327" s="1" t="s">
        <v>167</v>
      </c>
      <c r="P327" s="1" t="s">
        <v>1261</v>
      </c>
      <c r="Q327" s="1">
        <v>17.309722</v>
      </c>
      <c r="R327" s="1">
        <v>-89.174722</v>
      </c>
      <c r="S327" s="1" t="s">
        <v>148</v>
      </c>
      <c r="T327" s="2" t="s">
        <v>66</v>
      </c>
      <c r="U327" s="3" t="s">
        <v>1262</v>
      </c>
      <c r="V327" s="3" t="s">
        <v>68</v>
      </c>
      <c r="W327" s="1" t="s">
        <v>589</v>
      </c>
      <c r="X327" s="1" t="s">
        <v>70</v>
      </c>
      <c r="Y327" s="5" t="s">
        <v>60</v>
      </c>
      <c r="Z327" s="3" t="s">
        <v>345</v>
      </c>
      <c r="AB327" s="1">
        <v>10.0</v>
      </c>
      <c r="AI327" s="2" t="s">
        <v>72</v>
      </c>
      <c r="AJ327" s="1">
        <v>-1400.0</v>
      </c>
      <c r="AK327" s="1">
        <v>1950.0</v>
      </c>
      <c r="AL327" s="3" t="s">
        <v>153</v>
      </c>
      <c r="AM327" s="2" t="s">
        <v>72</v>
      </c>
      <c r="AN327" s="2" t="s">
        <v>524</v>
      </c>
      <c r="AO327" s="2" t="s">
        <v>76</v>
      </c>
      <c r="AQ327" s="2" t="s">
        <v>102</v>
      </c>
      <c r="AR327" s="2" t="s">
        <v>76</v>
      </c>
      <c r="AS327" s="1">
        <v>1603.0</v>
      </c>
      <c r="AT327" s="1">
        <v>1603.0</v>
      </c>
      <c r="AU327" s="1">
        <v>622.0</v>
      </c>
      <c r="AV327" s="1">
        <v>39.0</v>
      </c>
      <c r="AW327" s="1">
        <v>134.0</v>
      </c>
      <c r="AX327" s="1">
        <v>5295.0</v>
      </c>
      <c r="AY327" s="1">
        <v>114.0</v>
      </c>
      <c r="AZ327" s="1" t="s">
        <v>133</v>
      </c>
      <c r="BA327" s="1" t="s">
        <v>121</v>
      </c>
    </row>
    <row r="328">
      <c r="A328" s="1" t="s">
        <v>1253</v>
      </c>
      <c r="B328" s="1" t="s">
        <v>53</v>
      </c>
      <c r="C328" s="1">
        <v>2013.0</v>
      </c>
      <c r="D328" s="1" t="s">
        <v>1254</v>
      </c>
      <c r="E328" s="1" t="s">
        <v>1255</v>
      </c>
      <c r="F328" s="1" t="s">
        <v>1256</v>
      </c>
      <c r="G328" s="1" t="s">
        <v>1257</v>
      </c>
      <c r="H328" s="1" t="s">
        <v>1258</v>
      </c>
      <c r="I328" s="1">
        <v>379.0</v>
      </c>
      <c r="K328" s="2" t="s">
        <v>1259</v>
      </c>
      <c r="L328" s="2" t="s">
        <v>60</v>
      </c>
      <c r="M328" s="1" t="s">
        <v>1263</v>
      </c>
      <c r="N328" s="1" t="s">
        <v>62</v>
      </c>
      <c r="O328" s="1" t="s">
        <v>167</v>
      </c>
      <c r="P328" s="1" t="s">
        <v>1261</v>
      </c>
      <c r="Q328" s="1">
        <v>17.309722</v>
      </c>
      <c r="R328" s="1">
        <v>-89.174722</v>
      </c>
      <c r="S328" s="1" t="s">
        <v>148</v>
      </c>
      <c r="T328" s="3" t="s">
        <v>1150</v>
      </c>
      <c r="U328" s="3" t="s">
        <v>81</v>
      </c>
      <c r="V328" s="3" t="s">
        <v>68</v>
      </c>
      <c r="W328" s="1" t="s">
        <v>1264</v>
      </c>
      <c r="X328" s="2" t="s">
        <v>355</v>
      </c>
      <c r="Y328" s="6" t="s">
        <v>76</v>
      </c>
      <c r="Z328" s="3" t="s">
        <v>84</v>
      </c>
      <c r="AB328" s="1">
        <v>10.0</v>
      </c>
      <c r="AI328" s="2" t="s">
        <v>72</v>
      </c>
      <c r="AJ328" s="1">
        <v>-1400.0</v>
      </c>
      <c r="AK328" s="1">
        <v>1950.0</v>
      </c>
      <c r="AL328" s="3" t="s">
        <v>153</v>
      </c>
      <c r="AM328" s="2" t="s">
        <v>72</v>
      </c>
      <c r="AN328" s="2" t="s">
        <v>524</v>
      </c>
      <c r="AO328" s="2" t="s">
        <v>76</v>
      </c>
      <c r="AQ328" s="2" t="s">
        <v>576</v>
      </c>
      <c r="AR328" s="2" t="s">
        <v>76</v>
      </c>
      <c r="AS328" s="1">
        <v>1603.0</v>
      </c>
      <c r="AT328" s="1">
        <v>1603.0</v>
      </c>
      <c r="AU328" s="1">
        <v>622.0</v>
      </c>
      <c r="AV328" s="1">
        <v>39.0</v>
      </c>
      <c r="AW328" s="1">
        <v>134.0</v>
      </c>
      <c r="AX328" s="1">
        <v>5295.0</v>
      </c>
      <c r="AY328" s="1">
        <v>114.0</v>
      </c>
      <c r="AZ328" s="1" t="s">
        <v>133</v>
      </c>
      <c r="BA328" s="1" t="s">
        <v>121</v>
      </c>
    </row>
    <row r="329">
      <c r="A329" s="1" t="s">
        <v>1253</v>
      </c>
      <c r="B329" s="1" t="s">
        <v>53</v>
      </c>
      <c r="C329" s="1">
        <v>2013.0</v>
      </c>
      <c r="D329" s="1" t="s">
        <v>1254</v>
      </c>
      <c r="E329" s="1" t="s">
        <v>1255</v>
      </c>
      <c r="F329" s="1" t="s">
        <v>1256</v>
      </c>
      <c r="G329" s="1" t="s">
        <v>1257</v>
      </c>
      <c r="H329" s="1" t="s">
        <v>1258</v>
      </c>
      <c r="I329" s="1">
        <v>379.0</v>
      </c>
      <c r="K329" s="2" t="s">
        <v>1259</v>
      </c>
      <c r="L329" s="2" t="s">
        <v>60</v>
      </c>
      <c r="M329" s="1" t="s">
        <v>1265</v>
      </c>
      <c r="N329" s="1" t="s">
        <v>62</v>
      </c>
      <c r="O329" s="1" t="s">
        <v>167</v>
      </c>
      <c r="P329" s="1" t="s">
        <v>1261</v>
      </c>
      <c r="Q329" s="1">
        <v>17.309722</v>
      </c>
      <c r="R329" s="1">
        <v>-89.174722</v>
      </c>
      <c r="S329" s="1" t="s">
        <v>148</v>
      </c>
      <c r="T329" s="2" t="s">
        <v>189</v>
      </c>
      <c r="U329" s="9" t="s">
        <v>1266</v>
      </c>
      <c r="V329" s="3" t="s">
        <v>116</v>
      </c>
      <c r="W329" s="1" t="s">
        <v>284</v>
      </c>
      <c r="X329" s="1" t="s">
        <v>70</v>
      </c>
      <c r="Y329" s="6" t="s">
        <v>76</v>
      </c>
      <c r="Z329" s="3" t="s">
        <v>76</v>
      </c>
      <c r="AB329" s="1">
        <v>10.0</v>
      </c>
      <c r="AI329" s="2" t="s">
        <v>72</v>
      </c>
      <c r="AJ329" s="1">
        <v>-1400.0</v>
      </c>
      <c r="AK329" s="1">
        <v>1950.0</v>
      </c>
      <c r="AL329" s="3" t="s">
        <v>153</v>
      </c>
      <c r="AM329" s="2" t="s">
        <v>72</v>
      </c>
      <c r="AN329" s="2" t="s">
        <v>524</v>
      </c>
      <c r="AO329" s="2" t="s">
        <v>76</v>
      </c>
      <c r="AQ329" s="2" t="s">
        <v>576</v>
      </c>
      <c r="AR329" s="2" t="s">
        <v>76</v>
      </c>
      <c r="AS329" s="1">
        <v>1603.0</v>
      </c>
      <c r="AT329" s="1">
        <v>1603.0</v>
      </c>
      <c r="AU329" s="1">
        <v>622.0</v>
      </c>
      <c r="AV329" s="1">
        <v>39.0</v>
      </c>
      <c r="AW329" s="1">
        <v>134.0</v>
      </c>
      <c r="AX329" s="1">
        <v>5295.0</v>
      </c>
      <c r="AY329" s="1">
        <v>114.0</v>
      </c>
      <c r="AZ329" s="1" t="s">
        <v>133</v>
      </c>
      <c r="BA329" s="1" t="s">
        <v>121</v>
      </c>
    </row>
    <row r="330">
      <c r="A330" s="1" t="s">
        <v>1253</v>
      </c>
      <c r="B330" s="1" t="s">
        <v>53</v>
      </c>
      <c r="C330" s="1">
        <v>2013.0</v>
      </c>
      <c r="D330" s="1" t="s">
        <v>1254</v>
      </c>
      <c r="E330" s="1" t="s">
        <v>1255</v>
      </c>
      <c r="F330" s="1" t="s">
        <v>1256</v>
      </c>
      <c r="G330" s="1" t="s">
        <v>1257</v>
      </c>
      <c r="H330" s="1" t="s">
        <v>1258</v>
      </c>
      <c r="I330" s="1">
        <v>379.0</v>
      </c>
      <c r="K330" s="2" t="s">
        <v>1259</v>
      </c>
      <c r="L330" s="2" t="s">
        <v>60</v>
      </c>
      <c r="M330" s="1" t="s">
        <v>1267</v>
      </c>
      <c r="N330" s="1" t="s">
        <v>62</v>
      </c>
      <c r="O330" s="1" t="s">
        <v>167</v>
      </c>
      <c r="P330" s="1" t="s">
        <v>1261</v>
      </c>
      <c r="Q330" s="1">
        <v>17.309722</v>
      </c>
      <c r="R330" s="1">
        <v>-89.174722</v>
      </c>
      <c r="S330" s="1" t="s">
        <v>148</v>
      </c>
      <c r="T330" s="2" t="s">
        <v>382</v>
      </c>
      <c r="U330" s="7" t="s">
        <v>173</v>
      </c>
      <c r="V330" s="3" t="s">
        <v>116</v>
      </c>
      <c r="W330" s="1" t="s">
        <v>1268</v>
      </c>
      <c r="X330" s="1" t="s">
        <v>544</v>
      </c>
      <c r="Y330" s="6" t="s">
        <v>76</v>
      </c>
      <c r="Z330" s="3" t="s">
        <v>76</v>
      </c>
      <c r="AB330" s="1">
        <v>10.0</v>
      </c>
      <c r="AI330" s="2" t="s">
        <v>72</v>
      </c>
      <c r="AJ330" s="1">
        <v>-1400.0</v>
      </c>
      <c r="AK330" s="1">
        <v>1950.0</v>
      </c>
      <c r="AL330" s="3" t="s">
        <v>153</v>
      </c>
      <c r="AM330" s="2" t="s">
        <v>72</v>
      </c>
      <c r="AN330" s="2" t="s">
        <v>524</v>
      </c>
      <c r="AO330" s="2" t="s">
        <v>76</v>
      </c>
      <c r="AQ330" s="2" t="s">
        <v>576</v>
      </c>
      <c r="AR330" s="2" t="s">
        <v>76</v>
      </c>
      <c r="AS330" s="1">
        <v>1603.0</v>
      </c>
      <c r="AT330" s="1">
        <v>1603.0</v>
      </c>
      <c r="AU330" s="1">
        <v>622.0</v>
      </c>
      <c r="AV330" s="1">
        <v>39.0</v>
      </c>
      <c r="AW330" s="1">
        <v>134.0</v>
      </c>
      <c r="AX330" s="1">
        <v>5295.0</v>
      </c>
      <c r="AY330" s="1">
        <v>114.0</v>
      </c>
      <c r="AZ330" s="1" t="s">
        <v>133</v>
      </c>
      <c r="BA330" s="1" t="s">
        <v>121</v>
      </c>
    </row>
    <row r="331">
      <c r="A331" s="1" t="s">
        <v>1253</v>
      </c>
      <c r="B331" s="1" t="s">
        <v>53</v>
      </c>
      <c r="C331" s="1">
        <v>2013.0</v>
      </c>
      <c r="D331" s="1" t="s">
        <v>1254</v>
      </c>
      <c r="E331" s="1" t="s">
        <v>1255</v>
      </c>
      <c r="F331" s="1" t="s">
        <v>1256</v>
      </c>
      <c r="G331" s="1" t="s">
        <v>1257</v>
      </c>
      <c r="H331" s="1" t="s">
        <v>1258</v>
      </c>
      <c r="I331" s="1">
        <v>379.0</v>
      </c>
      <c r="K331" s="2" t="s">
        <v>1259</v>
      </c>
      <c r="L331" s="2" t="s">
        <v>60</v>
      </c>
      <c r="M331" s="1" t="s">
        <v>1269</v>
      </c>
      <c r="N331" s="1" t="s">
        <v>62</v>
      </c>
      <c r="O331" s="1" t="s">
        <v>167</v>
      </c>
      <c r="P331" s="1" t="s">
        <v>1261</v>
      </c>
      <c r="Q331" s="1">
        <v>17.309722</v>
      </c>
      <c r="R331" s="1">
        <v>-89.174722</v>
      </c>
      <c r="S331" s="1" t="s">
        <v>148</v>
      </c>
      <c r="T331" s="2" t="s">
        <v>135</v>
      </c>
      <c r="U331" s="2" t="s">
        <v>1266</v>
      </c>
      <c r="V331" s="3" t="s">
        <v>68</v>
      </c>
      <c r="W331" s="1" t="s">
        <v>1270</v>
      </c>
      <c r="X331" s="2" t="s">
        <v>99</v>
      </c>
      <c r="Y331" s="6" t="s">
        <v>76</v>
      </c>
      <c r="Z331" s="3" t="s">
        <v>411</v>
      </c>
      <c r="AB331" s="1">
        <v>10.0</v>
      </c>
      <c r="AI331" s="2" t="s">
        <v>72</v>
      </c>
      <c r="AJ331" s="1">
        <v>-1400.0</v>
      </c>
      <c r="AK331" s="1">
        <v>1950.0</v>
      </c>
      <c r="AL331" s="3" t="s">
        <v>153</v>
      </c>
      <c r="AM331" s="2" t="s">
        <v>72</v>
      </c>
      <c r="AN331" s="2" t="s">
        <v>524</v>
      </c>
      <c r="AO331" s="2" t="s">
        <v>76</v>
      </c>
      <c r="AQ331" s="2" t="s">
        <v>576</v>
      </c>
      <c r="AR331" s="2" t="s">
        <v>76</v>
      </c>
      <c r="AS331" s="1">
        <v>1603.0</v>
      </c>
      <c r="AT331" s="1">
        <v>1603.0</v>
      </c>
      <c r="AU331" s="1">
        <v>622.0</v>
      </c>
      <c r="AV331" s="1">
        <v>39.0</v>
      </c>
      <c r="AW331" s="1">
        <v>134.0</v>
      </c>
      <c r="AX331" s="1">
        <v>5295.0</v>
      </c>
      <c r="AY331" s="1">
        <v>114.0</v>
      </c>
      <c r="AZ331" s="1" t="s">
        <v>133</v>
      </c>
      <c r="BA331" s="1" t="s">
        <v>121</v>
      </c>
    </row>
    <row r="332">
      <c r="A332" s="1" t="s">
        <v>1253</v>
      </c>
      <c r="B332" s="1" t="s">
        <v>53</v>
      </c>
      <c r="C332" s="1">
        <v>2013.0</v>
      </c>
      <c r="D332" s="1" t="s">
        <v>1254</v>
      </c>
      <c r="E332" s="1" t="s">
        <v>1255</v>
      </c>
      <c r="F332" s="1" t="s">
        <v>1256</v>
      </c>
      <c r="G332" s="1" t="s">
        <v>1257</v>
      </c>
      <c r="H332" s="1" t="s">
        <v>1258</v>
      </c>
      <c r="I332" s="1">
        <v>379.0</v>
      </c>
      <c r="K332" s="2" t="s">
        <v>1259</v>
      </c>
      <c r="L332" s="2" t="s">
        <v>60</v>
      </c>
      <c r="M332" s="1" t="s">
        <v>1271</v>
      </c>
      <c r="N332" s="1" t="s">
        <v>62</v>
      </c>
      <c r="O332" s="1" t="s">
        <v>167</v>
      </c>
      <c r="P332" s="1" t="s">
        <v>1261</v>
      </c>
      <c r="Q332" s="1">
        <v>17.309722</v>
      </c>
      <c r="R332" s="1">
        <v>-89.174722</v>
      </c>
      <c r="S332" s="1" t="s">
        <v>148</v>
      </c>
      <c r="T332" s="2" t="s">
        <v>194</v>
      </c>
      <c r="U332" s="9" t="s">
        <v>1266</v>
      </c>
      <c r="V332" s="3" t="s">
        <v>116</v>
      </c>
      <c r="W332" s="1" t="s">
        <v>286</v>
      </c>
      <c r="X332" s="1" t="s">
        <v>70</v>
      </c>
      <c r="Y332" s="6" t="s">
        <v>76</v>
      </c>
      <c r="Z332" s="3" t="s">
        <v>76</v>
      </c>
      <c r="AB332" s="1">
        <v>10.0</v>
      </c>
      <c r="AI332" s="2" t="s">
        <v>72</v>
      </c>
      <c r="AJ332" s="1">
        <v>-1400.0</v>
      </c>
      <c r="AK332" s="1">
        <v>1950.0</v>
      </c>
      <c r="AL332" s="3" t="s">
        <v>153</v>
      </c>
      <c r="AM332" s="2" t="s">
        <v>72</v>
      </c>
      <c r="AN332" s="2" t="s">
        <v>524</v>
      </c>
      <c r="AO332" s="2" t="s">
        <v>76</v>
      </c>
      <c r="AQ332" s="2" t="s">
        <v>576</v>
      </c>
      <c r="AR332" s="2" t="s">
        <v>76</v>
      </c>
      <c r="AS332" s="1">
        <v>1603.0</v>
      </c>
      <c r="AT332" s="1">
        <v>1603.0</v>
      </c>
      <c r="AU332" s="1">
        <v>622.0</v>
      </c>
      <c r="AV332" s="1">
        <v>39.0</v>
      </c>
      <c r="AW332" s="1">
        <v>134.0</v>
      </c>
      <c r="AX332" s="1">
        <v>5295.0</v>
      </c>
      <c r="AY332" s="1">
        <v>114.0</v>
      </c>
      <c r="AZ332" s="1" t="s">
        <v>133</v>
      </c>
      <c r="BA332" s="1" t="s">
        <v>121</v>
      </c>
    </row>
    <row r="333">
      <c r="A333" s="1" t="s">
        <v>1272</v>
      </c>
      <c r="B333" s="1" t="s">
        <v>53</v>
      </c>
      <c r="C333" s="1">
        <v>1995.0</v>
      </c>
      <c r="D333" s="1" t="s">
        <v>1273</v>
      </c>
      <c r="E333" s="1" t="s">
        <v>1274</v>
      </c>
      <c r="F333" s="1" t="s">
        <v>793</v>
      </c>
      <c r="G333" s="1" t="s">
        <v>1275</v>
      </c>
      <c r="H333" s="1" t="s">
        <v>1276</v>
      </c>
      <c r="I333" s="1">
        <v>117.0</v>
      </c>
      <c r="J333" s="1">
        <v>43862.0</v>
      </c>
      <c r="K333" s="2" t="s">
        <v>1277</v>
      </c>
      <c r="L333" s="2" t="s">
        <v>76</v>
      </c>
      <c r="M333" s="1" t="s">
        <v>1272</v>
      </c>
      <c r="N333" s="1" t="s">
        <v>62</v>
      </c>
      <c r="O333" s="1" t="s">
        <v>112</v>
      </c>
      <c r="P333" s="1" t="s">
        <v>1072</v>
      </c>
      <c r="Q333" s="1">
        <v>9.683333</v>
      </c>
      <c r="R333" s="1">
        <v>-83.95</v>
      </c>
      <c r="S333" s="1" t="s">
        <v>148</v>
      </c>
      <c r="T333" s="2" t="s">
        <v>66</v>
      </c>
      <c r="U333" s="2" t="s">
        <v>137</v>
      </c>
      <c r="V333" s="3" t="s">
        <v>788</v>
      </c>
      <c r="W333" s="2" t="s">
        <v>72</v>
      </c>
      <c r="X333" s="1" t="s">
        <v>70</v>
      </c>
      <c r="Y333" s="5" t="s">
        <v>76</v>
      </c>
      <c r="Z333" s="3" t="s">
        <v>76</v>
      </c>
      <c r="AB333" s="1">
        <v>2.0</v>
      </c>
      <c r="AI333" s="2" t="s">
        <v>72</v>
      </c>
      <c r="AJ333" s="1">
        <v>-9120.0</v>
      </c>
      <c r="AK333" s="1">
        <v>-7850.0</v>
      </c>
      <c r="AL333" s="2" t="s">
        <v>1278</v>
      </c>
      <c r="AM333" s="2" t="s">
        <v>60</v>
      </c>
      <c r="AN333" s="2" t="s">
        <v>72</v>
      </c>
      <c r="AO333" s="2" t="s">
        <v>72</v>
      </c>
      <c r="AP333" s="1" t="s">
        <v>1279</v>
      </c>
      <c r="AQ333" s="2" t="s">
        <v>75</v>
      </c>
      <c r="AR333" s="2" t="s">
        <v>76</v>
      </c>
      <c r="AS333" s="1">
        <v>2384.0</v>
      </c>
      <c r="AT333" s="1">
        <v>2384.0</v>
      </c>
      <c r="AU333" s="1">
        <v>1211.0</v>
      </c>
      <c r="AV333" s="1">
        <v>13.0</v>
      </c>
      <c r="AW333" s="1">
        <v>51.0</v>
      </c>
      <c r="AX333" s="1">
        <v>8299.0</v>
      </c>
      <c r="AY333" s="1">
        <v>2279.0</v>
      </c>
      <c r="AZ333" s="1" t="s">
        <v>627</v>
      </c>
      <c r="BA333" s="1" t="s">
        <v>121</v>
      </c>
    </row>
    <row r="334">
      <c r="A334" s="1" t="s">
        <v>1280</v>
      </c>
      <c r="B334" s="1" t="s">
        <v>53</v>
      </c>
      <c r="C334" s="1">
        <v>1997.0</v>
      </c>
      <c r="D334" s="1" t="s">
        <v>1281</v>
      </c>
      <c r="E334" s="1" t="s">
        <v>1282</v>
      </c>
      <c r="F334" s="1" t="s">
        <v>793</v>
      </c>
      <c r="G334" s="1" t="s">
        <v>1283</v>
      </c>
      <c r="H334" s="1" t="s">
        <v>1284</v>
      </c>
      <c r="I334" s="1">
        <v>128.0</v>
      </c>
      <c r="J334" s="1">
        <v>43922.0</v>
      </c>
      <c r="K334" s="2" t="s">
        <v>1285</v>
      </c>
      <c r="L334" s="2" t="s">
        <v>76</v>
      </c>
      <c r="M334" s="1" t="s">
        <v>1280</v>
      </c>
      <c r="N334" s="1" t="s">
        <v>62</v>
      </c>
      <c r="O334" s="1" t="s">
        <v>146</v>
      </c>
      <c r="P334" s="1" t="s">
        <v>1286</v>
      </c>
      <c r="Q334" s="1">
        <v>9.333333</v>
      </c>
      <c r="R334" s="1">
        <v>-82.333333</v>
      </c>
      <c r="S334" s="1" t="s">
        <v>65</v>
      </c>
      <c r="T334" s="2" t="s">
        <v>66</v>
      </c>
      <c r="U334" s="1" t="s">
        <v>1287</v>
      </c>
      <c r="V334" s="3" t="s">
        <v>138</v>
      </c>
      <c r="W334" s="1" t="s">
        <v>1288</v>
      </c>
      <c r="X334" s="1" t="s">
        <v>70</v>
      </c>
      <c r="Y334" s="5" t="s">
        <v>76</v>
      </c>
      <c r="Z334" s="3" t="s">
        <v>76</v>
      </c>
      <c r="AB334" s="1">
        <v>4.0</v>
      </c>
      <c r="AI334" s="1" t="s">
        <v>706</v>
      </c>
      <c r="AJ334" s="1">
        <v>-2060.0</v>
      </c>
      <c r="AK334" s="1">
        <v>1950.0</v>
      </c>
      <c r="AL334" s="2" t="s">
        <v>100</v>
      </c>
      <c r="AM334" s="2" t="s">
        <v>72</v>
      </c>
      <c r="AN334" s="2" t="s">
        <v>72</v>
      </c>
      <c r="AO334" s="2" t="s">
        <v>72</v>
      </c>
      <c r="AQ334" s="2" t="s">
        <v>75</v>
      </c>
      <c r="AR334" s="2" t="s">
        <v>76</v>
      </c>
      <c r="AS334" s="1">
        <v>3067.0</v>
      </c>
      <c r="AT334" s="1">
        <v>3067.0</v>
      </c>
      <c r="AU334" s="1">
        <v>960.0</v>
      </c>
      <c r="AV334" s="1">
        <v>97.0</v>
      </c>
      <c r="AW334" s="1">
        <v>423.0</v>
      </c>
      <c r="AX334" s="1">
        <v>3112.0</v>
      </c>
      <c r="AY334" s="1">
        <v>1.0</v>
      </c>
      <c r="AZ334" s="1" t="s">
        <v>658</v>
      </c>
      <c r="BA334" s="1" t="s">
        <v>659</v>
      </c>
    </row>
    <row r="335">
      <c r="A335" s="1" t="s">
        <v>790</v>
      </c>
      <c r="B335" s="1" t="s">
        <v>53</v>
      </c>
      <c r="C335" s="1">
        <v>2005.0</v>
      </c>
      <c r="D335" s="1" t="s">
        <v>791</v>
      </c>
      <c r="E335" s="1" t="s">
        <v>792</v>
      </c>
      <c r="F335" s="1" t="s">
        <v>793</v>
      </c>
      <c r="G335" s="1" t="s">
        <v>794</v>
      </c>
      <c r="H335" s="1" t="s">
        <v>795</v>
      </c>
      <c r="I335" s="1">
        <v>221.0</v>
      </c>
      <c r="J335" s="1">
        <v>43862.0</v>
      </c>
      <c r="K335" s="2" t="s">
        <v>796</v>
      </c>
      <c r="L335" s="2" t="s">
        <v>60</v>
      </c>
      <c r="M335" s="1" t="s">
        <v>1289</v>
      </c>
      <c r="N335" s="1" t="s">
        <v>62</v>
      </c>
      <c r="O335" s="1" t="s">
        <v>112</v>
      </c>
      <c r="P335" s="1" t="s">
        <v>798</v>
      </c>
      <c r="Q335" s="1">
        <v>8.933333</v>
      </c>
      <c r="R335" s="1">
        <v>-82.933333</v>
      </c>
      <c r="S335" s="1" t="s">
        <v>148</v>
      </c>
      <c r="T335" s="2" t="s">
        <v>321</v>
      </c>
      <c r="U335" s="3" t="s">
        <v>81</v>
      </c>
      <c r="V335" s="3" t="s">
        <v>68</v>
      </c>
      <c r="W335" s="1" t="s">
        <v>1290</v>
      </c>
      <c r="X335" s="2" t="s">
        <v>355</v>
      </c>
      <c r="Y335" s="6" t="s">
        <v>76</v>
      </c>
      <c r="Z335" s="3" t="s">
        <v>84</v>
      </c>
      <c r="AB335" s="1">
        <v>1.0</v>
      </c>
      <c r="AI335" s="1" t="s">
        <v>799</v>
      </c>
      <c r="AJ335" s="1">
        <v>200.0</v>
      </c>
      <c r="AK335" s="1">
        <v>1650.0</v>
      </c>
      <c r="AL335" s="2" t="s">
        <v>73</v>
      </c>
      <c r="AM335" s="2" t="s">
        <v>72</v>
      </c>
      <c r="AN335" s="1" t="s">
        <v>400</v>
      </c>
      <c r="AO335" s="2" t="s">
        <v>72</v>
      </c>
      <c r="AQ335" s="2" t="s">
        <v>75</v>
      </c>
      <c r="AR335" s="2" t="s">
        <v>76</v>
      </c>
      <c r="AS335" s="1">
        <v>2756.0</v>
      </c>
      <c r="AT335" s="1">
        <v>2756.0</v>
      </c>
      <c r="AU335" s="1">
        <v>1197.0</v>
      </c>
      <c r="AV335" s="1">
        <v>40.0</v>
      </c>
      <c r="AW335" s="1">
        <v>160.0</v>
      </c>
      <c r="AX335" s="1">
        <v>6258.0</v>
      </c>
      <c r="AY335" s="1">
        <v>1017.0</v>
      </c>
      <c r="AZ335" s="1" t="s">
        <v>281</v>
      </c>
      <c r="BA335" s="1" t="s">
        <v>121</v>
      </c>
    </row>
    <row r="336">
      <c r="A336" s="1" t="s">
        <v>790</v>
      </c>
      <c r="B336" s="1" t="s">
        <v>53</v>
      </c>
      <c r="C336" s="1">
        <v>2005.0</v>
      </c>
      <c r="D336" s="1" t="s">
        <v>791</v>
      </c>
      <c r="E336" s="1" t="s">
        <v>792</v>
      </c>
      <c r="F336" s="1" t="s">
        <v>793</v>
      </c>
      <c r="G336" s="1" t="s">
        <v>794</v>
      </c>
      <c r="H336" s="1" t="s">
        <v>795</v>
      </c>
      <c r="I336" s="1">
        <v>221.0</v>
      </c>
      <c r="J336" s="1">
        <v>43862.0</v>
      </c>
      <c r="K336" s="2" t="s">
        <v>796</v>
      </c>
      <c r="L336" s="2" t="s">
        <v>60</v>
      </c>
      <c r="M336" s="1" t="s">
        <v>1291</v>
      </c>
      <c r="N336" s="1" t="s">
        <v>62</v>
      </c>
      <c r="O336" s="1" t="s">
        <v>112</v>
      </c>
      <c r="P336" s="1" t="s">
        <v>798</v>
      </c>
      <c r="Q336" s="1">
        <v>8.933333</v>
      </c>
      <c r="R336" s="1">
        <v>-82.933333</v>
      </c>
      <c r="S336" s="1" t="s">
        <v>148</v>
      </c>
      <c r="T336" s="2" t="s">
        <v>321</v>
      </c>
      <c r="U336" s="3" t="s">
        <v>81</v>
      </c>
      <c r="V336" s="3" t="s">
        <v>68</v>
      </c>
      <c r="W336" s="1" t="s">
        <v>1292</v>
      </c>
      <c r="X336" s="1" t="s">
        <v>355</v>
      </c>
      <c r="Y336" s="6" t="s">
        <v>76</v>
      </c>
      <c r="Z336" s="3" t="s">
        <v>84</v>
      </c>
      <c r="AB336" s="1">
        <v>1.0</v>
      </c>
      <c r="AI336" s="1" t="s">
        <v>799</v>
      </c>
      <c r="AJ336" s="1">
        <v>200.0</v>
      </c>
      <c r="AK336" s="1">
        <v>1250.0</v>
      </c>
      <c r="AL336" s="2" t="s">
        <v>73</v>
      </c>
      <c r="AM336" s="2" t="s">
        <v>72</v>
      </c>
      <c r="AN336" s="1" t="s">
        <v>400</v>
      </c>
      <c r="AO336" s="2" t="s">
        <v>72</v>
      </c>
      <c r="AQ336" s="2" t="s">
        <v>75</v>
      </c>
      <c r="AR336" s="2" t="s">
        <v>76</v>
      </c>
      <c r="AS336" s="1">
        <v>2756.0</v>
      </c>
      <c r="AT336" s="1">
        <v>2756.0</v>
      </c>
      <c r="AU336" s="1">
        <v>1197.0</v>
      </c>
      <c r="AV336" s="1">
        <v>40.0</v>
      </c>
      <c r="AW336" s="1">
        <v>160.0</v>
      </c>
      <c r="AX336" s="1">
        <v>6258.0</v>
      </c>
      <c r="AY336" s="1">
        <v>1017.0</v>
      </c>
      <c r="AZ336" s="1" t="s">
        <v>281</v>
      </c>
      <c r="BA336" s="1" t="s">
        <v>121</v>
      </c>
    </row>
    <row r="337">
      <c r="A337" s="1" t="s">
        <v>790</v>
      </c>
      <c r="B337" s="1" t="s">
        <v>53</v>
      </c>
      <c r="C337" s="1">
        <v>2005.0</v>
      </c>
      <c r="D337" s="1" t="s">
        <v>791</v>
      </c>
      <c r="E337" s="1" t="s">
        <v>792</v>
      </c>
      <c r="F337" s="1" t="s">
        <v>793</v>
      </c>
      <c r="G337" s="1" t="s">
        <v>794</v>
      </c>
      <c r="H337" s="1" t="s">
        <v>795</v>
      </c>
      <c r="I337" s="1">
        <v>221.0</v>
      </c>
      <c r="J337" s="1">
        <v>43862.0</v>
      </c>
      <c r="K337" s="2" t="s">
        <v>796</v>
      </c>
      <c r="L337" s="2" t="s">
        <v>60</v>
      </c>
      <c r="M337" s="1" t="s">
        <v>1293</v>
      </c>
      <c r="N337" s="1" t="s">
        <v>62</v>
      </c>
      <c r="O337" s="1" t="s">
        <v>112</v>
      </c>
      <c r="P337" s="1" t="s">
        <v>798</v>
      </c>
      <c r="Q337" s="1">
        <v>8.933333</v>
      </c>
      <c r="R337" s="1">
        <v>-82.933333</v>
      </c>
      <c r="S337" s="1" t="s">
        <v>148</v>
      </c>
      <c r="T337" s="2" t="s">
        <v>321</v>
      </c>
      <c r="U337" s="3" t="s">
        <v>81</v>
      </c>
      <c r="V337" s="3" t="s">
        <v>68</v>
      </c>
      <c r="W337" s="1" t="s">
        <v>1294</v>
      </c>
      <c r="X337" s="2" t="s">
        <v>355</v>
      </c>
      <c r="Y337" s="6" t="s">
        <v>76</v>
      </c>
      <c r="Z337" s="3" t="s">
        <v>84</v>
      </c>
      <c r="AB337" s="1">
        <v>1.0</v>
      </c>
      <c r="AI337" s="1" t="s">
        <v>799</v>
      </c>
      <c r="AJ337" s="1">
        <v>200.0</v>
      </c>
      <c r="AK337" s="1">
        <v>1000.0</v>
      </c>
      <c r="AL337" s="2" t="s">
        <v>73</v>
      </c>
      <c r="AM337" s="2" t="s">
        <v>72</v>
      </c>
      <c r="AN337" s="1" t="s">
        <v>400</v>
      </c>
      <c r="AO337" s="2" t="s">
        <v>72</v>
      </c>
      <c r="AQ337" s="2" t="s">
        <v>75</v>
      </c>
      <c r="AR337" s="2" t="s">
        <v>76</v>
      </c>
      <c r="AS337" s="1">
        <v>2756.0</v>
      </c>
      <c r="AT337" s="1">
        <v>2756.0</v>
      </c>
      <c r="AU337" s="1">
        <v>1197.0</v>
      </c>
      <c r="AV337" s="1">
        <v>40.0</v>
      </c>
      <c r="AW337" s="1">
        <v>160.0</v>
      </c>
      <c r="AX337" s="1">
        <v>6258.0</v>
      </c>
      <c r="AY337" s="1">
        <v>1017.0</v>
      </c>
      <c r="AZ337" s="1" t="s">
        <v>281</v>
      </c>
      <c r="BA337" s="1" t="s">
        <v>121</v>
      </c>
    </row>
    <row r="338">
      <c r="A338" s="1" t="s">
        <v>779</v>
      </c>
      <c r="B338" s="1" t="s">
        <v>53</v>
      </c>
      <c r="C338" s="1">
        <v>2011.0</v>
      </c>
      <c r="D338" s="1" t="s">
        <v>780</v>
      </c>
      <c r="E338" s="1" t="s">
        <v>781</v>
      </c>
      <c r="F338" s="1" t="s">
        <v>782</v>
      </c>
      <c r="G338" s="1" t="s">
        <v>783</v>
      </c>
      <c r="H338" s="1" t="s">
        <v>784</v>
      </c>
      <c r="I338" s="1">
        <v>10.0</v>
      </c>
      <c r="J338" s="1">
        <v>2.0</v>
      </c>
      <c r="K338" s="2" t="s">
        <v>785</v>
      </c>
      <c r="L338" s="2" t="s">
        <v>60</v>
      </c>
      <c r="M338" s="1" t="s">
        <v>1295</v>
      </c>
      <c r="N338" s="1" t="s">
        <v>62</v>
      </c>
      <c r="O338" s="1" t="s">
        <v>167</v>
      </c>
      <c r="P338" s="1" t="s">
        <v>787</v>
      </c>
      <c r="Q338" s="1">
        <v>15.423444</v>
      </c>
      <c r="R338" s="1">
        <v>-91.438694</v>
      </c>
      <c r="S338" s="1" t="s">
        <v>148</v>
      </c>
      <c r="T338" s="2" t="s">
        <v>189</v>
      </c>
      <c r="U338" s="1" t="s">
        <v>1296</v>
      </c>
      <c r="V338" s="3" t="s">
        <v>277</v>
      </c>
      <c r="W338" s="1" t="s">
        <v>284</v>
      </c>
      <c r="X338" s="1" t="s">
        <v>70</v>
      </c>
      <c r="Y338" s="6" t="s">
        <v>76</v>
      </c>
      <c r="Z338" s="3" t="s">
        <v>76</v>
      </c>
      <c r="AB338" s="1">
        <v>3.0</v>
      </c>
      <c r="AI338" s="1" t="s">
        <v>789</v>
      </c>
      <c r="AJ338" s="1">
        <v>-10000.0</v>
      </c>
      <c r="AK338" s="1">
        <v>1950.0</v>
      </c>
      <c r="AL338" s="2" t="s">
        <v>100</v>
      </c>
      <c r="AM338" s="2" t="s">
        <v>76</v>
      </c>
      <c r="AN338" s="1" t="s">
        <v>238</v>
      </c>
      <c r="AO338" s="2" t="s">
        <v>60</v>
      </c>
      <c r="AQ338" s="2" t="s">
        <v>102</v>
      </c>
      <c r="AR338" s="2" t="s">
        <v>76</v>
      </c>
      <c r="AS338" s="1">
        <v>1420.0</v>
      </c>
      <c r="AT338" s="1">
        <v>1420.0</v>
      </c>
      <c r="AU338" s="1">
        <v>672.0</v>
      </c>
      <c r="AV338" s="1">
        <v>10.0</v>
      </c>
      <c r="AW338" s="1">
        <v>40.0</v>
      </c>
      <c r="AX338" s="1">
        <v>8358.0</v>
      </c>
      <c r="AY338" s="1">
        <v>3077.0</v>
      </c>
      <c r="AZ338" s="1" t="s">
        <v>758</v>
      </c>
      <c r="BA338" s="1" t="s">
        <v>121</v>
      </c>
    </row>
    <row r="339">
      <c r="A339" s="1" t="s">
        <v>779</v>
      </c>
      <c r="B339" s="1" t="s">
        <v>53</v>
      </c>
      <c r="C339" s="1">
        <v>2011.0</v>
      </c>
      <c r="D339" s="1" t="s">
        <v>780</v>
      </c>
      <c r="E339" s="1" t="s">
        <v>781</v>
      </c>
      <c r="F339" s="1" t="s">
        <v>782</v>
      </c>
      <c r="G339" s="1" t="s">
        <v>783</v>
      </c>
      <c r="H339" s="1" t="s">
        <v>784</v>
      </c>
      <c r="I339" s="1">
        <v>10.0</v>
      </c>
      <c r="J339" s="1">
        <v>2.0</v>
      </c>
      <c r="K339" s="2" t="s">
        <v>785</v>
      </c>
      <c r="L339" s="2" t="s">
        <v>60</v>
      </c>
      <c r="M339" s="1" t="s">
        <v>1297</v>
      </c>
      <c r="N339" s="1" t="s">
        <v>62</v>
      </c>
      <c r="O339" s="1" t="s">
        <v>167</v>
      </c>
      <c r="P339" s="1" t="s">
        <v>787</v>
      </c>
      <c r="Q339" s="1">
        <v>15.423444</v>
      </c>
      <c r="R339" s="1">
        <v>-91.438694</v>
      </c>
      <c r="S339" s="1" t="s">
        <v>148</v>
      </c>
      <c r="T339" s="2" t="s">
        <v>382</v>
      </c>
      <c r="U339" s="1" t="s">
        <v>72</v>
      </c>
      <c r="V339" s="3" t="s">
        <v>277</v>
      </c>
      <c r="W339" s="1" t="s">
        <v>1298</v>
      </c>
      <c r="X339" s="1" t="s">
        <v>544</v>
      </c>
      <c r="Y339" s="6" t="s">
        <v>76</v>
      </c>
      <c r="Z339" s="3" t="s">
        <v>76</v>
      </c>
      <c r="AB339" s="1">
        <v>3.0</v>
      </c>
      <c r="AI339" s="1" t="s">
        <v>789</v>
      </c>
      <c r="AJ339" s="1">
        <v>-10000.0</v>
      </c>
      <c r="AK339" s="1">
        <v>1950.0</v>
      </c>
      <c r="AL339" s="2" t="s">
        <v>100</v>
      </c>
      <c r="AM339" s="2" t="s">
        <v>76</v>
      </c>
      <c r="AN339" s="1" t="s">
        <v>238</v>
      </c>
      <c r="AO339" s="2" t="s">
        <v>60</v>
      </c>
      <c r="AQ339" s="2" t="s">
        <v>102</v>
      </c>
      <c r="AR339" s="2" t="s">
        <v>76</v>
      </c>
      <c r="AS339" s="1">
        <v>1420.0</v>
      </c>
      <c r="AT339" s="1">
        <v>1420.0</v>
      </c>
      <c r="AU339" s="1">
        <v>672.0</v>
      </c>
      <c r="AV339" s="1">
        <v>10.0</v>
      </c>
      <c r="AW339" s="1">
        <v>40.0</v>
      </c>
      <c r="AX339" s="1">
        <v>8358.0</v>
      </c>
      <c r="AY339" s="1">
        <v>3077.0</v>
      </c>
      <c r="AZ339" s="1" t="s">
        <v>758</v>
      </c>
      <c r="BA339" s="1" t="s">
        <v>121</v>
      </c>
    </row>
    <row r="340">
      <c r="A340" s="1" t="s">
        <v>779</v>
      </c>
      <c r="B340" s="1" t="s">
        <v>53</v>
      </c>
      <c r="C340" s="1">
        <v>2011.0</v>
      </c>
      <c r="D340" s="1" t="s">
        <v>780</v>
      </c>
      <c r="E340" s="1" t="s">
        <v>781</v>
      </c>
      <c r="F340" s="1" t="s">
        <v>782</v>
      </c>
      <c r="G340" s="1" t="s">
        <v>783</v>
      </c>
      <c r="H340" s="1" t="s">
        <v>784</v>
      </c>
      <c r="I340" s="1">
        <v>10.0</v>
      </c>
      <c r="J340" s="1">
        <v>2.0</v>
      </c>
      <c r="K340" s="2" t="s">
        <v>785</v>
      </c>
      <c r="L340" s="2" t="s">
        <v>60</v>
      </c>
      <c r="M340" s="1" t="s">
        <v>1299</v>
      </c>
      <c r="N340" s="1" t="s">
        <v>62</v>
      </c>
      <c r="O340" s="1" t="s">
        <v>167</v>
      </c>
      <c r="P340" s="1" t="s">
        <v>787</v>
      </c>
      <c r="Q340" s="1">
        <v>15.423444</v>
      </c>
      <c r="R340" s="1">
        <v>-91.438694</v>
      </c>
      <c r="S340" s="1" t="s">
        <v>148</v>
      </c>
      <c r="T340" s="2" t="s">
        <v>275</v>
      </c>
      <c r="U340" s="1" t="s">
        <v>72</v>
      </c>
      <c r="V340" s="3" t="s">
        <v>277</v>
      </c>
      <c r="W340" s="1" t="s">
        <v>278</v>
      </c>
      <c r="X340" s="1" t="s">
        <v>279</v>
      </c>
      <c r="Y340" s="6" t="s">
        <v>76</v>
      </c>
      <c r="Z340" s="3" t="s">
        <v>76</v>
      </c>
      <c r="AB340" s="1">
        <v>3.0</v>
      </c>
      <c r="AI340" s="1" t="s">
        <v>789</v>
      </c>
      <c r="AJ340" s="1">
        <v>-10000.0</v>
      </c>
      <c r="AK340" s="1">
        <v>1950.0</v>
      </c>
      <c r="AL340" s="2" t="s">
        <v>100</v>
      </c>
      <c r="AM340" s="2" t="s">
        <v>76</v>
      </c>
      <c r="AN340" s="1" t="s">
        <v>238</v>
      </c>
      <c r="AO340" s="2" t="s">
        <v>60</v>
      </c>
      <c r="AQ340" s="2" t="s">
        <v>102</v>
      </c>
      <c r="AR340" s="2" t="s">
        <v>76</v>
      </c>
      <c r="AS340" s="1">
        <v>1420.0</v>
      </c>
      <c r="AT340" s="1">
        <v>1420.0</v>
      </c>
      <c r="AU340" s="1">
        <v>672.0</v>
      </c>
      <c r="AV340" s="1">
        <v>10.0</v>
      </c>
      <c r="AW340" s="1">
        <v>40.0</v>
      </c>
      <c r="AX340" s="1">
        <v>8358.0</v>
      </c>
      <c r="AY340" s="1">
        <v>3077.0</v>
      </c>
      <c r="AZ340" s="1" t="s">
        <v>758</v>
      </c>
      <c r="BA340" s="1" t="s">
        <v>121</v>
      </c>
    </row>
    <row r="341">
      <c r="A341" s="1" t="s">
        <v>779</v>
      </c>
      <c r="B341" s="1" t="s">
        <v>53</v>
      </c>
      <c r="C341" s="1">
        <v>2011.0</v>
      </c>
      <c r="D341" s="1" t="s">
        <v>780</v>
      </c>
      <c r="E341" s="1" t="s">
        <v>781</v>
      </c>
      <c r="F341" s="1" t="s">
        <v>782</v>
      </c>
      <c r="G341" s="1" t="s">
        <v>783</v>
      </c>
      <c r="H341" s="1" t="s">
        <v>784</v>
      </c>
      <c r="I341" s="1">
        <v>10.0</v>
      </c>
      <c r="J341" s="1">
        <v>2.0</v>
      </c>
      <c r="K341" s="2" t="s">
        <v>785</v>
      </c>
      <c r="L341" s="2" t="s">
        <v>60</v>
      </c>
      <c r="M341" s="1" t="s">
        <v>1300</v>
      </c>
      <c r="N341" s="1" t="s">
        <v>62</v>
      </c>
      <c r="O341" s="1" t="s">
        <v>167</v>
      </c>
      <c r="P341" s="1" t="s">
        <v>787</v>
      </c>
      <c r="Q341" s="1">
        <v>15.423444</v>
      </c>
      <c r="R341" s="1">
        <v>-91.438694</v>
      </c>
      <c r="S341" s="1" t="s">
        <v>148</v>
      </c>
      <c r="T341" s="2" t="s">
        <v>194</v>
      </c>
      <c r="U341" s="1" t="s">
        <v>1296</v>
      </c>
      <c r="V341" s="3" t="s">
        <v>277</v>
      </c>
      <c r="W341" s="1" t="s">
        <v>286</v>
      </c>
      <c r="X341" s="1" t="s">
        <v>70</v>
      </c>
      <c r="Y341" s="6" t="s">
        <v>76</v>
      </c>
      <c r="Z341" s="3" t="s">
        <v>76</v>
      </c>
      <c r="AB341" s="1">
        <v>3.0</v>
      </c>
      <c r="AI341" s="1" t="s">
        <v>789</v>
      </c>
      <c r="AJ341" s="1">
        <v>-10000.0</v>
      </c>
      <c r="AK341" s="1">
        <v>1950.0</v>
      </c>
      <c r="AL341" s="2" t="s">
        <v>100</v>
      </c>
      <c r="AM341" s="2" t="s">
        <v>76</v>
      </c>
      <c r="AN341" s="1" t="s">
        <v>238</v>
      </c>
      <c r="AO341" s="2" t="s">
        <v>60</v>
      </c>
      <c r="AQ341" s="2" t="s">
        <v>102</v>
      </c>
      <c r="AR341" s="2" t="s">
        <v>76</v>
      </c>
      <c r="AS341" s="1">
        <v>1420.0</v>
      </c>
      <c r="AT341" s="1">
        <v>1420.0</v>
      </c>
      <c r="AU341" s="1">
        <v>672.0</v>
      </c>
      <c r="AV341" s="1">
        <v>10.0</v>
      </c>
      <c r="AW341" s="1">
        <v>40.0</v>
      </c>
      <c r="AX341" s="1">
        <v>8358.0</v>
      </c>
      <c r="AY341" s="1">
        <v>3077.0</v>
      </c>
      <c r="AZ341" s="1" t="s">
        <v>758</v>
      </c>
      <c r="BA341" s="1" t="s">
        <v>121</v>
      </c>
    </row>
    <row r="342">
      <c r="A342" s="1" t="s">
        <v>790</v>
      </c>
      <c r="B342" s="1" t="s">
        <v>53</v>
      </c>
      <c r="C342" s="1">
        <v>2005.0</v>
      </c>
      <c r="D342" s="1" t="s">
        <v>791</v>
      </c>
      <c r="E342" s="1" t="s">
        <v>792</v>
      </c>
      <c r="F342" s="1" t="s">
        <v>793</v>
      </c>
      <c r="G342" s="1" t="s">
        <v>794</v>
      </c>
      <c r="H342" s="1" t="s">
        <v>795</v>
      </c>
      <c r="I342" s="1">
        <v>221.0</v>
      </c>
      <c r="J342" s="1">
        <v>43862.0</v>
      </c>
      <c r="K342" s="2" t="s">
        <v>796</v>
      </c>
      <c r="L342" s="2" t="s">
        <v>60</v>
      </c>
      <c r="M342" s="1" t="s">
        <v>1301</v>
      </c>
      <c r="N342" s="1" t="s">
        <v>62</v>
      </c>
      <c r="O342" s="1" t="s">
        <v>112</v>
      </c>
      <c r="P342" s="1" t="s">
        <v>798</v>
      </c>
      <c r="Q342" s="1">
        <v>8.933333</v>
      </c>
      <c r="R342" s="1">
        <v>-82.933333</v>
      </c>
      <c r="S342" s="1" t="s">
        <v>148</v>
      </c>
      <c r="T342" s="2" t="s">
        <v>80</v>
      </c>
      <c r="U342" s="3" t="s">
        <v>81</v>
      </c>
      <c r="V342" s="3" t="s">
        <v>68</v>
      </c>
      <c r="W342" s="1" t="s">
        <v>1302</v>
      </c>
      <c r="X342" s="1" t="s">
        <v>70</v>
      </c>
      <c r="Y342" s="6" t="s">
        <v>76</v>
      </c>
      <c r="Z342" s="3" t="s">
        <v>84</v>
      </c>
      <c r="AB342" s="1">
        <v>1.0</v>
      </c>
      <c r="AI342" s="1" t="s">
        <v>799</v>
      </c>
      <c r="AJ342" s="1">
        <v>140.0</v>
      </c>
      <c r="AK342" s="1">
        <v>1800.0</v>
      </c>
      <c r="AL342" s="2" t="s">
        <v>73</v>
      </c>
      <c r="AM342" s="2" t="s">
        <v>72</v>
      </c>
      <c r="AN342" s="1" t="s">
        <v>400</v>
      </c>
      <c r="AO342" s="2" t="s">
        <v>72</v>
      </c>
      <c r="AQ342" s="2" t="s">
        <v>75</v>
      </c>
      <c r="AR342" s="2" t="s">
        <v>76</v>
      </c>
      <c r="AS342" s="1">
        <v>2756.0</v>
      </c>
      <c r="AT342" s="1">
        <v>2756.0</v>
      </c>
      <c r="AU342" s="1">
        <v>1197.0</v>
      </c>
      <c r="AV342" s="1">
        <v>40.0</v>
      </c>
      <c r="AW342" s="1">
        <v>160.0</v>
      </c>
      <c r="AX342" s="1">
        <v>6258.0</v>
      </c>
      <c r="AY342" s="1">
        <v>1017.0</v>
      </c>
      <c r="AZ342" s="1" t="s">
        <v>281</v>
      </c>
      <c r="BA342" s="1" t="s">
        <v>121</v>
      </c>
    </row>
    <row r="343">
      <c r="A343" s="1" t="s">
        <v>790</v>
      </c>
      <c r="B343" s="1" t="s">
        <v>53</v>
      </c>
      <c r="C343" s="1">
        <v>2005.0</v>
      </c>
      <c r="D343" s="1" t="s">
        <v>791</v>
      </c>
      <c r="E343" s="1" t="s">
        <v>792</v>
      </c>
      <c r="F343" s="1" t="s">
        <v>793</v>
      </c>
      <c r="G343" s="1" t="s">
        <v>794</v>
      </c>
      <c r="H343" s="1" t="s">
        <v>795</v>
      </c>
      <c r="I343" s="1">
        <v>221.0</v>
      </c>
      <c r="J343" s="1">
        <v>43862.0</v>
      </c>
      <c r="K343" s="2" t="s">
        <v>796</v>
      </c>
      <c r="L343" s="2" t="s">
        <v>60</v>
      </c>
      <c r="M343" s="1" t="s">
        <v>1303</v>
      </c>
      <c r="N343" s="1" t="s">
        <v>62</v>
      </c>
      <c r="O343" s="1" t="s">
        <v>112</v>
      </c>
      <c r="P343" s="1" t="s">
        <v>798</v>
      </c>
      <c r="Q343" s="1">
        <v>8.933333</v>
      </c>
      <c r="R343" s="1">
        <v>-82.933333</v>
      </c>
      <c r="S343" s="1" t="s">
        <v>148</v>
      </c>
      <c r="T343" s="2" t="s">
        <v>66</v>
      </c>
      <c r="U343" s="3" t="s">
        <v>67</v>
      </c>
      <c r="V343" s="3" t="s">
        <v>68</v>
      </c>
      <c r="W343" s="1" t="s">
        <v>1077</v>
      </c>
      <c r="X343" s="1" t="s">
        <v>70</v>
      </c>
      <c r="Y343" s="5" t="s">
        <v>60</v>
      </c>
      <c r="Z343" s="3" t="s">
        <v>625</v>
      </c>
      <c r="AB343" s="1">
        <v>1.0</v>
      </c>
      <c r="AI343" s="1" t="s">
        <v>799</v>
      </c>
      <c r="AJ343" s="1">
        <v>140.0</v>
      </c>
      <c r="AK343" s="1">
        <v>1800.0</v>
      </c>
      <c r="AL343" s="2" t="s">
        <v>73</v>
      </c>
      <c r="AM343" s="2" t="s">
        <v>72</v>
      </c>
      <c r="AN343" s="1" t="s">
        <v>400</v>
      </c>
      <c r="AO343" s="2" t="s">
        <v>72</v>
      </c>
      <c r="AQ343" s="2" t="s">
        <v>75</v>
      </c>
      <c r="AR343" s="2" t="s">
        <v>76</v>
      </c>
      <c r="AS343" s="1">
        <v>2756.0</v>
      </c>
      <c r="AT343" s="1">
        <v>2756.0</v>
      </c>
      <c r="AU343" s="1">
        <v>1197.0</v>
      </c>
      <c r="AV343" s="1">
        <v>40.0</v>
      </c>
      <c r="AW343" s="1">
        <v>160.0</v>
      </c>
      <c r="AX343" s="1">
        <v>6258.0</v>
      </c>
      <c r="AY343" s="1">
        <v>1017.0</v>
      </c>
      <c r="AZ343" s="1" t="s">
        <v>281</v>
      </c>
      <c r="BA343" s="1" t="s">
        <v>121</v>
      </c>
    </row>
    <row r="344">
      <c r="A344" s="1" t="s">
        <v>1304</v>
      </c>
      <c r="B344" s="1" t="s">
        <v>53</v>
      </c>
      <c r="C344" s="1">
        <v>2006.0</v>
      </c>
      <c r="D344" s="1" t="s">
        <v>1305</v>
      </c>
      <c r="E344" s="1" t="s">
        <v>1306</v>
      </c>
      <c r="F344" s="1" t="s">
        <v>793</v>
      </c>
      <c r="G344" s="1" t="s">
        <v>1307</v>
      </c>
      <c r="H344" s="1" t="s">
        <v>1308</v>
      </c>
      <c r="I344" s="1">
        <v>230.0</v>
      </c>
      <c r="J344" s="1">
        <v>43862.0</v>
      </c>
      <c r="K344" s="2" t="s">
        <v>1309</v>
      </c>
      <c r="L344" s="2" t="s">
        <v>76</v>
      </c>
      <c r="M344" s="1" t="s">
        <v>1304</v>
      </c>
      <c r="N344" s="1" t="s">
        <v>62</v>
      </c>
      <c r="O344" s="1" t="s">
        <v>167</v>
      </c>
      <c r="P344" s="1" t="s">
        <v>512</v>
      </c>
      <c r="Q344" s="1">
        <v>17.0</v>
      </c>
      <c r="R344" s="1">
        <v>-89.779</v>
      </c>
      <c r="S344" s="1" t="s">
        <v>148</v>
      </c>
      <c r="T344" s="2" t="s">
        <v>275</v>
      </c>
      <c r="U344" s="2" t="s">
        <v>615</v>
      </c>
      <c r="V344" s="3" t="s">
        <v>97</v>
      </c>
      <c r="W344" s="1" t="s">
        <v>278</v>
      </c>
      <c r="X344" s="1" t="s">
        <v>279</v>
      </c>
      <c r="Y344" s="6" t="s">
        <v>76</v>
      </c>
      <c r="Z344" s="3" t="s">
        <v>76</v>
      </c>
      <c r="AB344" s="1">
        <v>19.0</v>
      </c>
      <c r="AI344" s="2" t="s">
        <v>72</v>
      </c>
      <c r="AJ344" s="1">
        <v>-9050.0</v>
      </c>
      <c r="AK344" s="1">
        <v>1950.0</v>
      </c>
      <c r="AL344" s="2" t="s">
        <v>73</v>
      </c>
      <c r="AM344" s="2" t="s">
        <v>72</v>
      </c>
      <c r="AN344" s="1" t="s">
        <v>400</v>
      </c>
      <c r="AO344" s="2" t="s">
        <v>72</v>
      </c>
      <c r="AQ344" s="2" t="s">
        <v>75</v>
      </c>
      <c r="AR344" s="2" t="s">
        <v>76</v>
      </c>
      <c r="AS344" s="1">
        <v>1675.0</v>
      </c>
      <c r="AT344" s="1">
        <v>1675.0</v>
      </c>
      <c r="AU344" s="1">
        <v>675.0</v>
      </c>
      <c r="AV344" s="1">
        <v>36.0</v>
      </c>
      <c r="AW344" s="1">
        <v>133.0</v>
      </c>
      <c r="AX344" s="1">
        <v>5856.0</v>
      </c>
      <c r="AY344" s="1">
        <v>110.0</v>
      </c>
      <c r="AZ344" s="1" t="s">
        <v>133</v>
      </c>
      <c r="BA344" s="1" t="s">
        <v>121</v>
      </c>
    </row>
    <row r="345">
      <c r="A345" s="1" t="s">
        <v>1310</v>
      </c>
      <c r="B345" s="1" t="s">
        <v>53</v>
      </c>
      <c r="C345" s="1">
        <v>2016.0</v>
      </c>
      <c r="D345" s="1" t="s">
        <v>1311</v>
      </c>
      <c r="E345" s="1" t="s">
        <v>1312</v>
      </c>
      <c r="F345" s="1" t="s">
        <v>793</v>
      </c>
      <c r="G345" s="1" t="s">
        <v>1313</v>
      </c>
      <c r="H345" s="1" t="s">
        <v>1314</v>
      </c>
      <c r="I345" s="1">
        <v>459.0</v>
      </c>
      <c r="K345" s="2" t="s">
        <v>1315</v>
      </c>
      <c r="L345" s="2" t="s">
        <v>60</v>
      </c>
      <c r="M345" s="1" t="s">
        <v>1316</v>
      </c>
      <c r="N345" s="1" t="s">
        <v>62</v>
      </c>
      <c r="O345" s="1" t="s">
        <v>187</v>
      </c>
      <c r="P345" s="1" t="s">
        <v>1317</v>
      </c>
      <c r="Q345" s="1">
        <v>16.883</v>
      </c>
      <c r="R345" s="1">
        <v>-89.108</v>
      </c>
      <c r="S345" s="1" t="s">
        <v>94</v>
      </c>
      <c r="T345" s="2" t="s">
        <v>95</v>
      </c>
      <c r="U345" s="2" t="s">
        <v>96</v>
      </c>
      <c r="V345" s="3" t="s">
        <v>97</v>
      </c>
      <c r="W345" s="2" t="s">
        <v>72</v>
      </c>
      <c r="X345" s="2" t="s">
        <v>99</v>
      </c>
      <c r="Y345" s="6" t="s">
        <v>76</v>
      </c>
      <c r="Z345" s="3" t="s">
        <v>76</v>
      </c>
      <c r="AF345" s="1">
        <v>24.0</v>
      </c>
      <c r="AJ345" s="1">
        <v>-3300.0</v>
      </c>
      <c r="AK345" s="1">
        <v>2000.0</v>
      </c>
      <c r="AL345" s="2" t="s">
        <v>153</v>
      </c>
      <c r="AM345" s="2" t="s">
        <v>60</v>
      </c>
      <c r="AN345" s="2" t="s">
        <v>72</v>
      </c>
      <c r="AO345" s="2" t="s">
        <v>101</v>
      </c>
      <c r="AQ345" s="2" t="s">
        <v>102</v>
      </c>
      <c r="AR345" s="2" t="s">
        <v>76</v>
      </c>
      <c r="AS345" s="1">
        <v>2142.0</v>
      </c>
      <c r="AT345" s="1">
        <v>2142.0</v>
      </c>
      <c r="AU345" s="1">
        <v>878.0</v>
      </c>
      <c r="AV345" s="1">
        <v>52.0</v>
      </c>
      <c r="AW345" s="1">
        <v>184.0</v>
      </c>
      <c r="AX345" s="1">
        <v>5497.0</v>
      </c>
      <c r="AY345" s="1">
        <v>500.0</v>
      </c>
      <c r="AZ345" s="1" t="s">
        <v>133</v>
      </c>
      <c r="BA345" s="1" t="s">
        <v>121</v>
      </c>
    </row>
    <row r="346">
      <c r="A346" s="1" t="s">
        <v>1310</v>
      </c>
      <c r="B346" s="1" t="s">
        <v>53</v>
      </c>
      <c r="C346" s="1">
        <v>2016.0</v>
      </c>
      <c r="D346" s="1" t="s">
        <v>1311</v>
      </c>
      <c r="E346" s="1" t="s">
        <v>1312</v>
      </c>
      <c r="F346" s="1" t="s">
        <v>793</v>
      </c>
      <c r="G346" s="1" t="s">
        <v>1313</v>
      </c>
      <c r="H346" s="1" t="s">
        <v>1314</v>
      </c>
      <c r="I346" s="1">
        <v>459.0</v>
      </c>
      <c r="K346" s="2" t="s">
        <v>1315</v>
      </c>
      <c r="L346" s="2" t="s">
        <v>60</v>
      </c>
      <c r="M346" s="1" t="s">
        <v>1318</v>
      </c>
      <c r="N346" s="1" t="s">
        <v>62</v>
      </c>
      <c r="O346" s="1" t="s">
        <v>187</v>
      </c>
      <c r="P346" s="1" t="s">
        <v>1317</v>
      </c>
      <c r="Q346" s="1">
        <v>16.883</v>
      </c>
      <c r="R346" s="1">
        <v>-89.108</v>
      </c>
      <c r="S346" s="1" t="s">
        <v>94</v>
      </c>
      <c r="T346" s="2" t="s">
        <v>135</v>
      </c>
      <c r="U346" s="2" t="s">
        <v>96</v>
      </c>
      <c r="V346" s="3" t="s">
        <v>97</v>
      </c>
      <c r="W346" s="2" t="s">
        <v>72</v>
      </c>
      <c r="X346" s="2" t="s">
        <v>99</v>
      </c>
      <c r="Y346" s="6" t="s">
        <v>76</v>
      </c>
      <c r="Z346" s="3" t="s">
        <v>76</v>
      </c>
      <c r="AF346" s="1">
        <v>24.0</v>
      </c>
      <c r="AJ346" s="1">
        <v>-3300.0</v>
      </c>
      <c r="AK346" s="1">
        <v>2000.0</v>
      </c>
      <c r="AL346" s="2" t="s">
        <v>153</v>
      </c>
      <c r="AM346" s="2" t="s">
        <v>60</v>
      </c>
      <c r="AN346" s="2" t="s">
        <v>72</v>
      </c>
      <c r="AO346" s="2" t="s">
        <v>101</v>
      </c>
      <c r="AQ346" s="2" t="s">
        <v>102</v>
      </c>
      <c r="AR346" s="2" t="s">
        <v>76</v>
      </c>
      <c r="AS346" s="1">
        <v>2142.0</v>
      </c>
      <c r="AT346" s="1">
        <v>2142.0</v>
      </c>
      <c r="AU346" s="1">
        <v>878.0</v>
      </c>
      <c r="AV346" s="1">
        <v>52.0</v>
      </c>
      <c r="AW346" s="1">
        <v>184.0</v>
      </c>
      <c r="AX346" s="1">
        <v>5497.0</v>
      </c>
      <c r="AY346" s="1">
        <v>500.0</v>
      </c>
      <c r="AZ346" s="1" t="s">
        <v>133</v>
      </c>
      <c r="BA346" s="1" t="s">
        <v>121</v>
      </c>
    </row>
    <row r="347">
      <c r="A347" s="1" t="s">
        <v>1319</v>
      </c>
      <c r="B347" s="1" t="s">
        <v>53</v>
      </c>
      <c r="C347" s="1">
        <v>2016.0</v>
      </c>
      <c r="D347" s="1" t="s">
        <v>1320</v>
      </c>
      <c r="E347" s="1" t="s">
        <v>1321</v>
      </c>
      <c r="F347" s="1" t="s">
        <v>793</v>
      </c>
      <c r="G347" s="1" t="s">
        <v>1322</v>
      </c>
      <c r="H347" s="1" t="s">
        <v>1323</v>
      </c>
      <c r="I347" s="1">
        <v>463.0</v>
      </c>
      <c r="K347" s="2" t="s">
        <v>1324</v>
      </c>
      <c r="L347" s="2" t="s">
        <v>60</v>
      </c>
      <c r="M347" s="1" t="s">
        <v>1325</v>
      </c>
      <c r="N347" s="1" t="s">
        <v>62</v>
      </c>
      <c r="O347" s="1" t="s">
        <v>187</v>
      </c>
      <c r="P347" s="1" t="s">
        <v>1326</v>
      </c>
      <c r="Q347" s="1">
        <v>17.0</v>
      </c>
      <c r="R347" s="1">
        <v>-89.0</v>
      </c>
      <c r="S347" s="1" t="s">
        <v>94</v>
      </c>
      <c r="T347" s="2" t="s">
        <v>95</v>
      </c>
      <c r="U347" s="2" t="s">
        <v>96</v>
      </c>
      <c r="V347" s="3" t="s">
        <v>97</v>
      </c>
      <c r="W347" s="1" t="s">
        <v>1327</v>
      </c>
      <c r="X347" s="2" t="s">
        <v>99</v>
      </c>
      <c r="Y347" s="6" t="s">
        <v>76</v>
      </c>
      <c r="Z347" s="3" t="s">
        <v>76</v>
      </c>
      <c r="AF347" s="1">
        <v>11.0</v>
      </c>
      <c r="AJ347" s="1">
        <v>-4986.0</v>
      </c>
      <c r="AK347" s="1">
        <v>-2756.0</v>
      </c>
      <c r="AL347" s="2" t="s">
        <v>153</v>
      </c>
      <c r="AM347" s="2" t="s">
        <v>72</v>
      </c>
      <c r="AN347" s="2" t="s">
        <v>72</v>
      </c>
      <c r="AO347" s="2" t="s">
        <v>101</v>
      </c>
      <c r="AQ347" s="2" t="s">
        <v>102</v>
      </c>
      <c r="AR347" s="2" t="s">
        <v>76</v>
      </c>
      <c r="AS347" s="1">
        <v>1973.0</v>
      </c>
      <c r="AT347" s="1">
        <v>1973.0</v>
      </c>
      <c r="AU347" s="1">
        <v>780.0</v>
      </c>
      <c r="AV347" s="1">
        <v>46.0</v>
      </c>
      <c r="AW347" s="1">
        <v>170.0</v>
      </c>
      <c r="AX347" s="1">
        <v>5254.0</v>
      </c>
      <c r="AY347" s="1">
        <v>397.0</v>
      </c>
      <c r="AZ347" s="1" t="s">
        <v>133</v>
      </c>
      <c r="BA347" s="1" t="s">
        <v>121</v>
      </c>
    </row>
    <row r="348">
      <c r="A348" s="1" t="s">
        <v>1319</v>
      </c>
      <c r="B348" s="1" t="s">
        <v>53</v>
      </c>
      <c r="C348" s="1">
        <v>2016.0</v>
      </c>
      <c r="D348" s="1" t="s">
        <v>1320</v>
      </c>
      <c r="E348" s="1" t="s">
        <v>1321</v>
      </c>
      <c r="F348" s="1" t="s">
        <v>793</v>
      </c>
      <c r="G348" s="1" t="s">
        <v>1322</v>
      </c>
      <c r="H348" s="1" t="s">
        <v>1323</v>
      </c>
      <c r="I348" s="1">
        <v>463.0</v>
      </c>
      <c r="K348" s="2" t="s">
        <v>1324</v>
      </c>
      <c r="L348" s="2" t="s">
        <v>60</v>
      </c>
      <c r="M348" s="1" t="s">
        <v>1328</v>
      </c>
      <c r="N348" s="1" t="s">
        <v>62</v>
      </c>
      <c r="O348" s="1" t="s">
        <v>187</v>
      </c>
      <c r="P348" s="1" t="s">
        <v>1326</v>
      </c>
      <c r="Q348" s="1">
        <v>17.0</v>
      </c>
      <c r="R348" s="1">
        <v>-89.0</v>
      </c>
      <c r="S348" s="1" t="s">
        <v>94</v>
      </c>
      <c r="T348" s="2" t="s">
        <v>135</v>
      </c>
      <c r="U348" s="2" t="s">
        <v>96</v>
      </c>
      <c r="V348" s="3" t="s">
        <v>97</v>
      </c>
      <c r="W348" s="1" t="s">
        <v>1327</v>
      </c>
      <c r="X348" s="2" t="s">
        <v>99</v>
      </c>
      <c r="Y348" s="6" t="s">
        <v>76</v>
      </c>
      <c r="Z348" s="3" t="s">
        <v>76</v>
      </c>
      <c r="AF348" s="1">
        <v>11.0</v>
      </c>
      <c r="AJ348" s="1">
        <v>-4986.0</v>
      </c>
      <c r="AK348" s="1">
        <v>-2756.0</v>
      </c>
      <c r="AL348" s="2" t="s">
        <v>153</v>
      </c>
      <c r="AM348" s="2" t="s">
        <v>72</v>
      </c>
      <c r="AN348" s="2" t="s">
        <v>72</v>
      </c>
      <c r="AO348" s="2" t="s">
        <v>101</v>
      </c>
      <c r="AQ348" s="2" t="s">
        <v>102</v>
      </c>
      <c r="AR348" s="2" t="s">
        <v>76</v>
      </c>
      <c r="AS348" s="1">
        <v>1973.0</v>
      </c>
      <c r="AT348" s="1">
        <v>1973.0</v>
      </c>
      <c r="AU348" s="1">
        <v>780.0</v>
      </c>
      <c r="AV348" s="1">
        <v>46.0</v>
      </c>
      <c r="AW348" s="1">
        <v>170.0</v>
      </c>
      <c r="AX348" s="1">
        <v>5254.0</v>
      </c>
      <c r="AY348" s="1">
        <v>397.0</v>
      </c>
      <c r="AZ348" s="1" t="s">
        <v>133</v>
      </c>
      <c r="BA348" s="1" t="s">
        <v>121</v>
      </c>
    </row>
    <row r="349">
      <c r="A349" s="1" t="s">
        <v>1329</v>
      </c>
      <c r="B349" s="1" t="s">
        <v>53</v>
      </c>
      <c r="C349" s="1">
        <v>2018.0</v>
      </c>
      <c r="D349" s="1" t="s">
        <v>1330</v>
      </c>
      <c r="E349" s="1" t="s">
        <v>1331</v>
      </c>
      <c r="F349" s="1" t="s">
        <v>793</v>
      </c>
      <c r="G349" s="1" t="s">
        <v>1332</v>
      </c>
      <c r="H349" s="1" t="s">
        <v>1333</v>
      </c>
      <c r="I349" s="1">
        <v>495.0</v>
      </c>
      <c r="K349" s="2" t="s">
        <v>1334</v>
      </c>
      <c r="L349" s="2" t="s">
        <v>60</v>
      </c>
      <c r="M349" s="1" t="s">
        <v>1335</v>
      </c>
      <c r="N349" s="1" t="s">
        <v>62</v>
      </c>
      <c r="O349" s="1" t="s">
        <v>92</v>
      </c>
      <c r="P349" s="1" t="s">
        <v>1336</v>
      </c>
      <c r="Q349" s="1">
        <v>18.495674</v>
      </c>
      <c r="R349" s="1">
        <v>-88.400921</v>
      </c>
      <c r="S349" s="1" t="s">
        <v>1337</v>
      </c>
      <c r="T349" s="2" t="s">
        <v>66</v>
      </c>
      <c r="U349" s="3" t="s">
        <v>1338</v>
      </c>
      <c r="V349" s="3" t="s">
        <v>171</v>
      </c>
      <c r="W349" s="1" t="s">
        <v>1339</v>
      </c>
      <c r="X349" s="1" t="s">
        <v>70</v>
      </c>
      <c r="Y349" s="5" t="s">
        <v>60</v>
      </c>
      <c r="Z349" s="3" t="s">
        <v>345</v>
      </c>
      <c r="AB349" s="1">
        <v>7.0</v>
      </c>
      <c r="AI349" s="1" t="s">
        <v>1340</v>
      </c>
      <c r="AJ349" s="1">
        <v>-3650.0</v>
      </c>
      <c r="AK349" s="1">
        <v>250.0</v>
      </c>
      <c r="AL349" s="2" t="s">
        <v>73</v>
      </c>
      <c r="AM349" s="2" t="s">
        <v>72</v>
      </c>
      <c r="AN349" s="2" t="s">
        <v>132</v>
      </c>
      <c r="AO349" s="2" t="s">
        <v>60</v>
      </c>
      <c r="AQ349" s="2" t="s">
        <v>102</v>
      </c>
      <c r="AR349" s="2" t="s">
        <v>76</v>
      </c>
      <c r="AS349" s="1">
        <v>1203.0</v>
      </c>
      <c r="AT349" s="1">
        <v>1203.0</v>
      </c>
      <c r="AU349" s="1">
        <v>481.0</v>
      </c>
      <c r="AV349" s="1">
        <v>23.0</v>
      </c>
      <c r="AW349" s="1">
        <v>92.0</v>
      </c>
      <c r="AX349" s="1">
        <v>5915.0</v>
      </c>
      <c r="AY349" s="1">
        <v>5.0</v>
      </c>
      <c r="AZ349" s="1" t="s">
        <v>658</v>
      </c>
      <c r="BA349" s="1" t="s">
        <v>659</v>
      </c>
    </row>
    <row r="350">
      <c r="A350" s="1" t="s">
        <v>1329</v>
      </c>
      <c r="B350" s="1" t="s">
        <v>53</v>
      </c>
      <c r="C350" s="1">
        <v>2018.0</v>
      </c>
      <c r="D350" s="1" t="s">
        <v>1330</v>
      </c>
      <c r="E350" s="1" t="s">
        <v>1331</v>
      </c>
      <c r="F350" s="1" t="s">
        <v>793</v>
      </c>
      <c r="G350" s="1" t="s">
        <v>1332</v>
      </c>
      <c r="H350" s="1" t="s">
        <v>1333</v>
      </c>
      <c r="I350" s="1">
        <v>495.0</v>
      </c>
      <c r="K350" s="2" t="s">
        <v>1334</v>
      </c>
      <c r="L350" s="2" t="s">
        <v>60</v>
      </c>
      <c r="M350" s="1" t="s">
        <v>1341</v>
      </c>
      <c r="N350" s="1" t="s">
        <v>62</v>
      </c>
      <c r="O350" s="1" t="s">
        <v>92</v>
      </c>
      <c r="P350" s="1" t="s">
        <v>1336</v>
      </c>
      <c r="Q350" s="1">
        <v>18.495674</v>
      </c>
      <c r="R350" s="1">
        <v>-88.400921</v>
      </c>
      <c r="S350" s="1" t="s">
        <v>1337</v>
      </c>
      <c r="T350" s="2" t="s">
        <v>169</v>
      </c>
      <c r="U350" s="2" t="s">
        <v>96</v>
      </c>
      <c r="V350" s="3" t="s">
        <v>97</v>
      </c>
      <c r="W350" s="2" t="s">
        <v>1342</v>
      </c>
      <c r="X350" s="1" t="s">
        <v>70</v>
      </c>
      <c r="Y350" s="6" t="s">
        <v>76</v>
      </c>
      <c r="Z350" s="3" t="s">
        <v>76</v>
      </c>
      <c r="AB350" s="1">
        <v>7.0</v>
      </c>
      <c r="AI350" s="1" t="s">
        <v>1340</v>
      </c>
      <c r="AJ350" s="1">
        <v>-3650.0</v>
      </c>
      <c r="AK350" s="1">
        <v>250.0</v>
      </c>
      <c r="AL350" s="2" t="s">
        <v>73</v>
      </c>
      <c r="AM350" s="2" t="s">
        <v>72</v>
      </c>
      <c r="AN350" s="2" t="s">
        <v>132</v>
      </c>
      <c r="AO350" s="2" t="s">
        <v>60</v>
      </c>
      <c r="AQ350" s="2" t="s">
        <v>102</v>
      </c>
      <c r="AR350" s="2" t="s">
        <v>76</v>
      </c>
      <c r="AS350" s="1">
        <v>1203.0</v>
      </c>
      <c r="AT350" s="1">
        <v>1203.0</v>
      </c>
      <c r="AU350" s="1">
        <v>481.0</v>
      </c>
      <c r="AV350" s="1">
        <v>23.0</v>
      </c>
      <c r="AW350" s="1">
        <v>92.0</v>
      </c>
      <c r="AX350" s="1">
        <v>5915.0</v>
      </c>
      <c r="AY350" s="1">
        <v>5.0</v>
      </c>
      <c r="AZ350" s="1" t="s">
        <v>658</v>
      </c>
      <c r="BA350" s="1" t="s">
        <v>659</v>
      </c>
    </row>
    <row r="351">
      <c r="A351" s="1" t="s">
        <v>1343</v>
      </c>
      <c r="B351" s="1" t="s">
        <v>53</v>
      </c>
      <c r="C351" s="1">
        <v>2019.0</v>
      </c>
      <c r="D351" s="1" t="s">
        <v>1344</v>
      </c>
      <c r="E351" s="1" t="s">
        <v>1345</v>
      </c>
      <c r="F351" s="1" t="s">
        <v>793</v>
      </c>
      <c r="G351" s="1" t="s">
        <v>1346</v>
      </c>
      <c r="H351" s="1" t="s">
        <v>1347</v>
      </c>
      <c r="I351" s="1">
        <v>518.0</v>
      </c>
      <c r="K351" s="2" t="s">
        <v>1348</v>
      </c>
      <c r="L351" s="2" t="s">
        <v>60</v>
      </c>
      <c r="M351" s="1" t="s">
        <v>1349</v>
      </c>
      <c r="N351" s="1" t="s">
        <v>62</v>
      </c>
      <c r="O351" s="1" t="s">
        <v>112</v>
      </c>
      <c r="P351" s="1" t="s">
        <v>1350</v>
      </c>
      <c r="Q351" s="1">
        <v>9.468532</v>
      </c>
      <c r="R351" s="1">
        <v>-83.480059</v>
      </c>
      <c r="S351" s="1" t="s">
        <v>148</v>
      </c>
      <c r="T351" s="2" t="s">
        <v>321</v>
      </c>
      <c r="U351" s="3" t="s">
        <v>81</v>
      </c>
      <c r="V351" s="3" t="s">
        <v>788</v>
      </c>
      <c r="W351" s="1" t="s">
        <v>1351</v>
      </c>
      <c r="X351" s="2" t="s">
        <v>928</v>
      </c>
      <c r="Y351" s="6" t="s">
        <v>76</v>
      </c>
      <c r="Z351" s="3" t="s">
        <v>84</v>
      </c>
      <c r="AB351" s="1">
        <v>8.0</v>
      </c>
      <c r="AI351" s="2" t="s">
        <v>72</v>
      </c>
      <c r="AJ351" s="1">
        <v>-6150.0</v>
      </c>
      <c r="AK351" s="1">
        <v>2014.0</v>
      </c>
      <c r="AL351" s="2" t="s">
        <v>100</v>
      </c>
      <c r="AM351" s="2" t="s">
        <v>72</v>
      </c>
      <c r="AN351" s="2" t="s">
        <v>132</v>
      </c>
      <c r="AO351" s="2" t="s">
        <v>72</v>
      </c>
      <c r="AQ351" s="2" t="s">
        <v>102</v>
      </c>
      <c r="AR351" s="2" t="s">
        <v>76</v>
      </c>
      <c r="AS351" s="1">
        <v>2510.0</v>
      </c>
      <c r="AT351" s="1">
        <v>2510.0</v>
      </c>
      <c r="AU351" s="1">
        <v>1054.0</v>
      </c>
      <c r="AV351" s="1">
        <v>28.0</v>
      </c>
      <c r="AW351" s="1">
        <v>87.0</v>
      </c>
      <c r="AX351" s="1">
        <v>6856.0</v>
      </c>
      <c r="AY351" s="1">
        <v>3450.0</v>
      </c>
      <c r="AZ351" s="1" t="s">
        <v>154</v>
      </c>
      <c r="BA351" s="1" t="s">
        <v>121</v>
      </c>
    </row>
    <row r="352">
      <c r="A352" s="1" t="s">
        <v>1343</v>
      </c>
      <c r="B352" s="1" t="s">
        <v>53</v>
      </c>
      <c r="C352" s="1">
        <v>2019.0</v>
      </c>
      <c r="D352" s="1" t="s">
        <v>1344</v>
      </c>
      <c r="E352" s="1" t="s">
        <v>1345</v>
      </c>
      <c r="F352" s="1" t="s">
        <v>793</v>
      </c>
      <c r="G352" s="1" t="s">
        <v>1346</v>
      </c>
      <c r="H352" s="1" t="s">
        <v>1347</v>
      </c>
      <c r="I352" s="1">
        <v>518.0</v>
      </c>
      <c r="K352" s="2" t="s">
        <v>1348</v>
      </c>
      <c r="L352" s="2" t="s">
        <v>60</v>
      </c>
      <c r="M352" s="1" t="s">
        <v>1352</v>
      </c>
      <c r="N352" s="1" t="s">
        <v>62</v>
      </c>
      <c r="O352" s="1" t="s">
        <v>112</v>
      </c>
      <c r="P352" s="1" t="s">
        <v>1350</v>
      </c>
      <c r="Q352" s="1">
        <v>9.468532</v>
      </c>
      <c r="R352" s="1">
        <v>-83.480059</v>
      </c>
      <c r="S352" s="1" t="s">
        <v>148</v>
      </c>
      <c r="T352" s="2" t="s">
        <v>135</v>
      </c>
      <c r="U352" s="3" t="s">
        <v>1353</v>
      </c>
      <c r="V352" s="3" t="s">
        <v>97</v>
      </c>
      <c r="W352" s="2" t="s">
        <v>72</v>
      </c>
      <c r="X352" s="1" t="s">
        <v>70</v>
      </c>
      <c r="Y352" s="5" t="s">
        <v>76</v>
      </c>
      <c r="Z352" s="3" t="s">
        <v>76</v>
      </c>
      <c r="AB352" s="1">
        <v>8.0</v>
      </c>
      <c r="AI352" s="2" t="s">
        <v>72</v>
      </c>
      <c r="AJ352" s="1">
        <v>-6150.0</v>
      </c>
      <c r="AK352" s="1">
        <v>2014.0</v>
      </c>
      <c r="AL352" s="2" t="s">
        <v>100</v>
      </c>
      <c r="AM352" s="2" t="s">
        <v>72</v>
      </c>
      <c r="AN352" s="2" t="s">
        <v>132</v>
      </c>
      <c r="AO352" s="2" t="s">
        <v>72</v>
      </c>
      <c r="AQ352" s="2" t="s">
        <v>102</v>
      </c>
      <c r="AR352" s="2" t="s">
        <v>76</v>
      </c>
      <c r="AS352" s="1">
        <v>2510.0</v>
      </c>
      <c r="AT352" s="1">
        <v>2510.0</v>
      </c>
      <c r="AU352" s="1">
        <v>1054.0</v>
      </c>
      <c r="AV352" s="1">
        <v>28.0</v>
      </c>
      <c r="AW352" s="1">
        <v>87.0</v>
      </c>
      <c r="AX352" s="1">
        <v>6856.0</v>
      </c>
      <c r="AY352" s="1">
        <v>3450.0</v>
      </c>
      <c r="AZ352" s="1" t="s">
        <v>154</v>
      </c>
      <c r="BA352" s="1" t="s">
        <v>121</v>
      </c>
    </row>
    <row r="353">
      <c r="A353" s="1" t="s">
        <v>1354</v>
      </c>
      <c r="B353" s="1" t="s">
        <v>53</v>
      </c>
      <c r="C353" s="1">
        <v>1994.0</v>
      </c>
      <c r="D353" s="1" t="s">
        <v>1355</v>
      </c>
      <c r="E353" s="1" t="s">
        <v>1356</v>
      </c>
      <c r="F353" s="1" t="s">
        <v>1357</v>
      </c>
      <c r="G353" s="1" t="s">
        <v>1358</v>
      </c>
      <c r="H353" s="1" t="s">
        <v>1359</v>
      </c>
      <c r="I353" s="1">
        <v>18.0</v>
      </c>
      <c r="J353" s="1">
        <v>1.0</v>
      </c>
      <c r="K353" s="2" t="s">
        <v>1360</v>
      </c>
      <c r="L353" s="2" t="s">
        <v>76</v>
      </c>
      <c r="M353" s="1" t="s">
        <v>1354</v>
      </c>
      <c r="N353" s="1" t="s">
        <v>62</v>
      </c>
      <c r="O353" s="1" t="s">
        <v>187</v>
      </c>
      <c r="P353" s="1" t="s">
        <v>188</v>
      </c>
      <c r="Q353" s="1">
        <v>17.937719</v>
      </c>
      <c r="R353" s="1">
        <v>-88.366374</v>
      </c>
      <c r="S353" s="1" t="s">
        <v>114</v>
      </c>
      <c r="T353" s="2" t="s">
        <v>66</v>
      </c>
      <c r="U353" s="3" t="s">
        <v>67</v>
      </c>
      <c r="V353" s="3" t="s">
        <v>68</v>
      </c>
      <c r="W353" s="1" t="s">
        <v>364</v>
      </c>
      <c r="X353" s="2" t="s">
        <v>83</v>
      </c>
      <c r="Y353" s="5" t="s">
        <v>60</v>
      </c>
      <c r="Z353" s="3" t="s">
        <v>71</v>
      </c>
      <c r="AA353" s="1">
        <v>1.0</v>
      </c>
      <c r="AB353" s="1">
        <v>2.0</v>
      </c>
      <c r="AI353" s="2" t="s">
        <v>72</v>
      </c>
      <c r="AJ353" s="1">
        <v>-2641.0</v>
      </c>
      <c r="AK353" s="1">
        <v>-606.0</v>
      </c>
      <c r="AL353" s="3" t="s">
        <v>73</v>
      </c>
      <c r="AM353" s="2" t="s">
        <v>76</v>
      </c>
      <c r="AN353" s="2" t="s">
        <v>72</v>
      </c>
      <c r="AO353" s="2" t="s">
        <v>72</v>
      </c>
      <c r="AQ353" s="2" t="s">
        <v>75</v>
      </c>
      <c r="AR353" s="2" t="s">
        <v>76</v>
      </c>
      <c r="AS353" s="1">
        <v>1641.0</v>
      </c>
      <c r="AT353" s="1">
        <v>1641.0</v>
      </c>
      <c r="AU353" s="1">
        <v>627.0</v>
      </c>
      <c r="AV353" s="1">
        <v>42.0</v>
      </c>
      <c r="AW353" s="1">
        <v>136.0</v>
      </c>
      <c r="AX353" s="1">
        <v>5337.0</v>
      </c>
      <c r="AY353" s="1">
        <v>15.0</v>
      </c>
      <c r="AZ353" s="1" t="s">
        <v>133</v>
      </c>
      <c r="BA353" s="1" t="s">
        <v>121</v>
      </c>
    </row>
    <row r="354">
      <c r="A354" s="1" t="s">
        <v>1361</v>
      </c>
      <c r="B354" s="1" t="s">
        <v>53</v>
      </c>
      <c r="C354" s="1">
        <v>1998.0</v>
      </c>
      <c r="D354" s="1" t="s">
        <v>1362</v>
      </c>
      <c r="E354" s="1" t="s">
        <v>1363</v>
      </c>
      <c r="F354" s="1" t="s">
        <v>1357</v>
      </c>
      <c r="G354" s="1" t="s">
        <v>1364</v>
      </c>
      <c r="H354" s="1" t="s">
        <v>1365</v>
      </c>
      <c r="I354" s="1">
        <v>22.0</v>
      </c>
      <c r="J354" s="1">
        <v>1.0</v>
      </c>
      <c r="K354" s="2" t="s">
        <v>1366</v>
      </c>
      <c r="L354" s="2" t="s">
        <v>60</v>
      </c>
      <c r="M354" s="1" t="s">
        <v>1367</v>
      </c>
      <c r="N354" s="1" t="s">
        <v>62</v>
      </c>
      <c r="O354" s="1" t="s">
        <v>112</v>
      </c>
      <c r="P354" s="1" t="s">
        <v>1368</v>
      </c>
      <c r="Q354" s="1">
        <v>10.433333</v>
      </c>
      <c r="R354" s="1">
        <v>-84.0</v>
      </c>
      <c r="S354" s="1" t="s">
        <v>398</v>
      </c>
      <c r="T354" s="2" t="s">
        <v>66</v>
      </c>
      <c r="U354" s="1" t="s">
        <v>823</v>
      </c>
      <c r="V354" s="3" t="s">
        <v>138</v>
      </c>
      <c r="W354" s="1" t="s">
        <v>1369</v>
      </c>
      <c r="X354" s="1" t="s">
        <v>70</v>
      </c>
      <c r="Y354" s="5" t="s">
        <v>76</v>
      </c>
      <c r="Z354" s="3" t="s">
        <v>76</v>
      </c>
      <c r="AI354" s="2" t="s">
        <v>72</v>
      </c>
      <c r="AJ354" s="2" t="s">
        <v>72</v>
      </c>
      <c r="AK354" s="2" t="s">
        <v>72</v>
      </c>
      <c r="AL354" s="2" t="s">
        <v>100</v>
      </c>
      <c r="AM354" s="2" t="s">
        <v>76</v>
      </c>
      <c r="AN354" s="2" t="s">
        <v>76</v>
      </c>
      <c r="AO354" s="2" t="s">
        <v>76</v>
      </c>
      <c r="AQ354" s="2" t="s">
        <v>75</v>
      </c>
      <c r="AR354" s="2" t="s">
        <v>76</v>
      </c>
      <c r="AS354" s="1">
        <v>3707.0</v>
      </c>
      <c r="AT354" s="1">
        <v>3707.0</v>
      </c>
      <c r="AU354" s="1">
        <v>1276.0</v>
      </c>
      <c r="AV354" s="1">
        <v>133.0</v>
      </c>
      <c r="AW354" s="1">
        <v>433.0</v>
      </c>
      <c r="AX354" s="1">
        <v>4001.0</v>
      </c>
      <c r="AY354" s="1">
        <v>51.0</v>
      </c>
      <c r="AZ354" s="1" t="s">
        <v>120</v>
      </c>
      <c r="BA354" s="1" t="s">
        <v>121</v>
      </c>
    </row>
    <row r="355">
      <c r="A355" s="1" t="s">
        <v>1361</v>
      </c>
      <c r="B355" s="1" t="s">
        <v>53</v>
      </c>
      <c r="C355" s="1">
        <v>1998.0</v>
      </c>
      <c r="D355" s="1" t="s">
        <v>1362</v>
      </c>
      <c r="E355" s="1" t="s">
        <v>1363</v>
      </c>
      <c r="F355" s="1" t="s">
        <v>1357</v>
      </c>
      <c r="G355" s="1" t="s">
        <v>1364</v>
      </c>
      <c r="H355" s="1" t="s">
        <v>1365</v>
      </c>
      <c r="I355" s="1">
        <v>22.0</v>
      </c>
      <c r="J355" s="1">
        <v>1.0</v>
      </c>
      <c r="K355" s="2" t="s">
        <v>1366</v>
      </c>
      <c r="L355" s="2" t="s">
        <v>60</v>
      </c>
      <c r="M355" s="1" t="s">
        <v>1370</v>
      </c>
      <c r="N355" s="1" t="s">
        <v>62</v>
      </c>
      <c r="O355" s="1" t="s">
        <v>112</v>
      </c>
      <c r="P355" s="1" t="s">
        <v>1371</v>
      </c>
      <c r="Q355" s="1">
        <v>10.433333</v>
      </c>
      <c r="R355" s="1">
        <v>-84.0</v>
      </c>
      <c r="S355" s="1" t="s">
        <v>398</v>
      </c>
      <c r="T355" s="2" t="s">
        <v>66</v>
      </c>
      <c r="U355" s="1" t="s">
        <v>823</v>
      </c>
      <c r="V355" s="3" t="s">
        <v>138</v>
      </c>
      <c r="W355" s="1" t="s">
        <v>1369</v>
      </c>
      <c r="X355" s="1" t="s">
        <v>70</v>
      </c>
      <c r="Y355" s="5" t="s">
        <v>76</v>
      </c>
      <c r="Z355" s="3" t="s">
        <v>76</v>
      </c>
      <c r="AI355" s="2" t="s">
        <v>72</v>
      </c>
      <c r="AJ355" s="2" t="s">
        <v>72</v>
      </c>
      <c r="AK355" s="2" t="s">
        <v>72</v>
      </c>
      <c r="AL355" s="2" t="s">
        <v>100</v>
      </c>
      <c r="AM355" s="2" t="s">
        <v>76</v>
      </c>
      <c r="AN355" s="2" t="s">
        <v>76</v>
      </c>
      <c r="AO355" s="2" t="s">
        <v>76</v>
      </c>
      <c r="AQ355" s="2" t="s">
        <v>75</v>
      </c>
      <c r="AR355" s="2" t="s">
        <v>76</v>
      </c>
      <c r="AS355" s="1">
        <v>3707.0</v>
      </c>
      <c r="AT355" s="1">
        <v>3707.0</v>
      </c>
      <c r="AU355" s="1">
        <v>1276.0</v>
      </c>
      <c r="AV355" s="1">
        <v>133.0</v>
      </c>
      <c r="AW355" s="1">
        <v>433.0</v>
      </c>
      <c r="AX355" s="1">
        <v>4001.0</v>
      </c>
      <c r="AY355" s="1">
        <v>51.0</v>
      </c>
      <c r="AZ355" s="1" t="s">
        <v>120</v>
      </c>
      <c r="BA355" s="1" t="s">
        <v>121</v>
      </c>
    </row>
    <row r="356">
      <c r="A356" s="1" t="s">
        <v>1361</v>
      </c>
      <c r="B356" s="1" t="s">
        <v>53</v>
      </c>
      <c r="C356" s="1">
        <v>1998.0</v>
      </c>
      <c r="D356" s="1" t="s">
        <v>1362</v>
      </c>
      <c r="E356" s="1" t="s">
        <v>1363</v>
      </c>
      <c r="F356" s="1" t="s">
        <v>1357</v>
      </c>
      <c r="G356" s="1" t="s">
        <v>1364</v>
      </c>
      <c r="H356" s="1" t="s">
        <v>1365</v>
      </c>
      <c r="I356" s="1">
        <v>22.0</v>
      </c>
      <c r="J356" s="1">
        <v>1.0</v>
      </c>
      <c r="K356" s="2" t="s">
        <v>1366</v>
      </c>
      <c r="L356" s="2" t="s">
        <v>60</v>
      </c>
      <c r="M356" s="1" t="s">
        <v>1372</v>
      </c>
      <c r="N356" s="1" t="s">
        <v>62</v>
      </c>
      <c r="O356" s="1" t="s">
        <v>112</v>
      </c>
      <c r="P356" s="1" t="s">
        <v>1373</v>
      </c>
      <c r="Q356" s="1">
        <v>10.433333</v>
      </c>
      <c r="R356" s="1">
        <v>-84.0</v>
      </c>
      <c r="S356" s="1" t="s">
        <v>398</v>
      </c>
      <c r="T356" s="2" t="s">
        <v>66</v>
      </c>
      <c r="U356" s="1" t="s">
        <v>823</v>
      </c>
      <c r="V356" s="3" t="s">
        <v>138</v>
      </c>
      <c r="W356" s="1" t="s">
        <v>1369</v>
      </c>
      <c r="X356" s="1" t="s">
        <v>70</v>
      </c>
      <c r="Y356" s="5" t="s">
        <v>76</v>
      </c>
      <c r="Z356" s="3" t="s">
        <v>76</v>
      </c>
      <c r="AI356" s="2" t="s">
        <v>72</v>
      </c>
      <c r="AJ356" s="2" t="s">
        <v>72</v>
      </c>
      <c r="AK356" s="2" t="s">
        <v>72</v>
      </c>
      <c r="AL356" s="2" t="s">
        <v>100</v>
      </c>
      <c r="AM356" s="2" t="s">
        <v>76</v>
      </c>
      <c r="AN356" s="2" t="s">
        <v>76</v>
      </c>
      <c r="AO356" s="2" t="s">
        <v>76</v>
      </c>
      <c r="AQ356" s="2" t="s">
        <v>75</v>
      </c>
      <c r="AR356" s="2" t="s">
        <v>76</v>
      </c>
      <c r="AS356" s="1">
        <v>3707.0</v>
      </c>
      <c r="AT356" s="1">
        <v>3707.0</v>
      </c>
      <c r="AU356" s="1">
        <v>1276.0</v>
      </c>
      <c r="AV356" s="1">
        <v>133.0</v>
      </c>
      <c r="AW356" s="1">
        <v>433.0</v>
      </c>
      <c r="AX356" s="1">
        <v>4001.0</v>
      </c>
      <c r="AY356" s="1">
        <v>51.0</v>
      </c>
      <c r="AZ356" s="1" t="s">
        <v>120</v>
      </c>
      <c r="BA356" s="1" t="s">
        <v>121</v>
      </c>
    </row>
    <row r="357">
      <c r="A357" s="1" t="s">
        <v>1374</v>
      </c>
      <c r="B357" s="1" t="s">
        <v>53</v>
      </c>
      <c r="C357" s="1">
        <v>2002.0</v>
      </c>
      <c r="D357" s="1" t="s">
        <v>1375</v>
      </c>
      <c r="E357" s="1" t="s">
        <v>1376</v>
      </c>
      <c r="F357" s="1" t="s">
        <v>1377</v>
      </c>
      <c r="G357" s="1" t="s">
        <v>1378</v>
      </c>
      <c r="H357" s="1" t="s">
        <v>1379</v>
      </c>
      <c r="I357" s="1">
        <v>160.0</v>
      </c>
      <c r="K357" s="2" t="s">
        <v>1380</v>
      </c>
      <c r="L357" s="2" t="s">
        <v>76</v>
      </c>
      <c r="M357" s="1" t="s">
        <v>1374</v>
      </c>
      <c r="N357" s="1" t="s">
        <v>62</v>
      </c>
      <c r="O357" s="1" t="s">
        <v>92</v>
      </c>
      <c r="P357" s="1" t="s">
        <v>1381</v>
      </c>
      <c r="Q357" s="1">
        <v>20.849071</v>
      </c>
      <c r="R357" s="1">
        <v>-86.878374</v>
      </c>
      <c r="S357" s="1" t="s">
        <v>148</v>
      </c>
      <c r="T357" s="2" t="s">
        <v>66</v>
      </c>
      <c r="U357" s="1" t="s">
        <v>1287</v>
      </c>
      <c r="V357" s="3" t="s">
        <v>788</v>
      </c>
      <c r="W357" s="1" t="s">
        <v>1382</v>
      </c>
      <c r="X357" s="1" t="s">
        <v>70</v>
      </c>
      <c r="Y357" s="5" t="s">
        <v>76</v>
      </c>
      <c r="Z357" s="3" t="s">
        <v>76</v>
      </c>
      <c r="AB357" s="1">
        <v>2.0</v>
      </c>
      <c r="AI357" s="2" t="s">
        <v>72</v>
      </c>
      <c r="AJ357" s="1">
        <v>-550.0</v>
      </c>
      <c r="AK357" s="1">
        <v>1999.0</v>
      </c>
      <c r="AL357" s="2" t="s">
        <v>73</v>
      </c>
      <c r="AM357" s="3" t="s">
        <v>72</v>
      </c>
      <c r="AN357" s="2" t="s">
        <v>72</v>
      </c>
      <c r="AO357" s="2" t="s">
        <v>72</v>
      </c>
      <c r="AQ357" s="2" t="s">
        <v>75</v>
      </c>
      <c r="AR357" s="2" t="s">
        <v>76</v>
      </c>
      <c r="AS357" s="1">
        <v>1267.0</v>
      </c>
      <c r="AT357" s="1">
        <v>1267.0</v>
      </c>
      <c r="AU357" s="1">
        <v>517.0</v>
      </c>
      <c r="AV357" s="1">
        <v>40.0</v>
      </c>
      <c r="AW357" s="1">
        <v>141.0</v>
      </c>
      <c r="AX357" s="1">
        <v>4890.0</v>
      </c>
      <c r="AY357" s="1">
        <v>1.0</v>
      </c>
      <c r="AZ357" s="1" t="s">
        <v>658</v>
      </c>
      <c r="BA357" s="1" t="s">
        <v>659</v>
      </c>
    </row>
    <row r="358">
      <c r="A358" s="1" t="s">
        <v>1383</v>
      </c>
      <c r="B358" s="1" t="s">
        <v>53</v>
      </c>
      <c r="C358" s="1">
        <v>2012.0</v>
      </c>
      <c r="D358" s="1" t="s">
        <v>1384</v>
      </c>
      <c r="E358" s="1" t="s">
        <v>1385</v>
      </c>
      <c r="F358" s="1" t="s">
        <v>1386</v>
      </c>
      <c r="G358" s="1" t="s">
        <v>1387</v>
      </c>
      <c r="H358" s="1" t="s">
        <v>1388</v>
      </c>
      <c r="I358" s="1">
        <v>38.0</v>
      </c>
      <c r="K358" s="2" t="s">
        <v>1389</v>
      </c>
      <c r="L358" s="2" t="s">
        <v>60</v>
      </c>
      <c r="M358" s="1" t="s">
        <v>1390</v>
      </c>
      <c r="N358" s="1" t="s">
        <v>62</v>
      </c>
      <c r="O358" s="1" t="s">
        <v>167</v>
      </c>
      <c r="P358" s="1" t="s">
        <v>512</v>
      </c>
      <c r="Q358" s="1">
        <v>17.0</v>
      </c>
      <c r="R358" s="1">
        <v>-89.5</v>
      </c>
      <c r="S358" s="1" t="s">
        <v>148</v>
      </c>
      <c r="T358" s="2" t="s">
        <v>382</v>
      </c>
      <c r="U358" s="1" t="s">
        <v>72</v>
      </c>
      <c r="V358" s="3" t="s">
        <v>277</v>
      </c>
      <c r="W358" s="2" t="s">
        <v>72</v>
      </c>
      <c r="X358" s="2" t="s">
        <v>72</v>
      </c>
      <c r="Y358" s="6" t="s">
        <v>76</v>
      </c>
      <c r="Z358" s="3" t="s">
        <v>76</v>
      </c>
      <c r="AB358" s="1">
        <v>21.0</v>
      </c>
      <c r="AI358" s="1" t="s">
        <v>523</v>
      </c>
      <c r="AJ358" s="1">
        <v>-82000.0</v>
      </c>
      <c r="AK358" s="1">
        <v>1950.0</v>
      </c>
      <c r="AL358" s="2" t="s">
        <v>100</v>
      </c>
      <c r="AM358" s="2" t="s">
        <v>76</v>
      </c>
      <c r="AN358" s="1" t="s">
        <v>1391</v>
      </c>
      <c r="AO358" s="2" t="s">
        <v>76</v>
      </c>
      <c r="AQ358" s="2" t="s">
        <v>102</v>
      </c>
      <c r="AR358" s="2" t="s">
        <v>76</v>
      </c>
      <c r="AS358" s="1">
        <v>1860.0</v>
      </c>
      <c r="AT358" s="1">
        <v>1860.0</v>
      </c>
      <c r="AU358" s="1">
        <v>756.0</v>
      </c>
      <c r="AV358" s="1">
        <v>41.0</v>
      </c>
      <c r="AW358" s="1">
        <v>153.0</v>
      </c>
      <c r="AX358" s="1">
        <v>5571.0</v>
      </c>
      <c r="AY358" s="1">
        <v>226.0</v>
      </c>
      <c r="AZ358" s="1" t="s">
        <v>133</v>
      </c>
      <c r="BA358" s="1" t="s">
        <v>121</v>
      </c>
    </row>
    <row r="359">
      <c r="A359" s="1" t="s">
        <v>1392</v>
      </c>
      <c r="B359" s="1" t="s">
        <v>53</v>
      </c>
      <c r="C359" s="1">
        <v>2007.0</v>
      </c>
      <c r="D359" s="1" t="s">
        <v>1393</v>
      </c>
      <c r="E359" s="1" t="s">
        <v>1394</v>
      </c>
      <c r="F359" s="1" t="s">
        <v>1395</v>
      </c>
      <c r="G359" s="1" t="s">
        <v>1396</v>
      </c>
      <c r="H359" s="1" t="s">
        <v>1397</v>
      </c>
      <c r="I359" s="1">
        <v>104.0</v>
      </c>
      <c r="J359" s="1">
        <v>16.0</v>
      </c>
      <c r="K359" s="2" t="s">
        <v>1398</v>
      </c>
      <c r="L359" s="2" t="s">
        <v>76</v>
      </c>
      <c r="M359" s="1" t="s">
        <v>1392</v>
      </c>
      <c r="N359" s="1" t="s">
        <v>62</v>
      </c>
      <c r="O359" s="1" t="s">
        <v>92</v>
      </c>
      <c r="P359" s="1" t="s">
        <v>1399</v>
      </c>
      <c r="Q359" s="1">
        <v>18.332135</v>
      </c>
      <c r="R359" s="1">
        <v>-93.30773</v>
      </c>
      <c r="S359" s="1" t="s">
        <v>148</v>
      </c>
      <c r="T359" s="2" t="s">
        <v>293</v>
      </c>
      <c r="U359" s="1" t="s">
        <v>823</v>
      </c>
      <c r="V359" s="3" t="s">
        <v>68</v>
      </c>
      <c r="W359" s="1" t="s">
        <v>1400</v>
      </c>
      <c r="X359" s="1" t="s">
        <v>70</v>
      </c>
      <c r="Y359" s="5" t="s">
        <v>60</v>
      </c>
      <c r="Z359" s="3" t="s">
        <v>345</v>
      </c>
      <c r="AB359" s="1">
        <v>4.0</v>
      </c>
      <c r="AI359" s="2" t="s">
        <v>72</v>
      </c>
      <c r="AJ359" s="1">
        <v>-5173.0</v>
      </c>
      <c r="AK359" s="1">
        <v>1950.0</v>
      </c>
      <c r="AL359" s="2" t="s">
        <v>100</v>
      </c>
      <c r="AM359" s="2" t="s">
        <v>72</v>
      </c>
      <c r="AN359" s="1" t="s">
        <v>74</v>
      </c>
      <c r="AO359" s="2" t="s">
        <v>72</v>
      </c>
      <c r="AQ359" s="2" t="s">
        <v>102</v>
      </c>
      <c r="AR359" s="2" t="s">
        <v>76</v>
      </c>
      <c r="AS359" s="1">
        <v>1823.0</v>
      </c>
      <c r="AT359" s="1">
        <v>1823.0</v>
      </c>
      <c r="AU359" s="1">
        <v>822.0</v>
      </c>
      <c r="AV359" s="1">
        <v>42.0</v>
      </c>
      <c r="AW359" s="1">
        <v>144.0</v>
      </c>
      <c r="AX359" s="1">
        <v>5987.0</v>
      </c>
      <c r="AY359" s="1">
        <v>5.0</v>
      </c>
      <c r="AZ359" s="1" t="s">
        <v>1401</v>
      </c>
      <c r="BA359" s="1" t="s">
        <v>121</v>
      </c>
    </row>
    <row r="360">
      <c r="A360" s="1" t="s">
        <v>1402</v>
      </c>
      <c r="B360" s="1" t="s">
        <v>53</v>
      </c>
      <c r="C360" s="1">
        <v>2010.0</v>
      </c>
      <c r="D360" s="1" t="s">
        <v>1403</v>
      </c>
      <c r="E360" s="1" t="s">
        <v>1404</v>
      </c>
      <c r="F360" s="1" t="s">
        <v>1395</v>
      </c>
      <c r="G360" s="1" t="s">
        <v>1405</v>
      </c>
      <c r="H360" s="1" t="s">
        <v>1406</v>
      </c>
      <c r="I360" s="1">
        <v>107.0</v>
      </c>
      <c r="J360" s="1">
        <v>3.0</v>
      </c>
      <c r="K360" s="2" t="s">
        <v>1407</v>
      </c>
      <c r="L360" s="2" t="s">
        <v>76</v>
      </c>
      <c r="M360" s="1" t="s">
        <v>1402</v>
      </c>
      <c r="N360" s="1" t="s">
        <v>62</v>
      </c>
      <c r="O360" s="1" t="s">
        <v>63</v>
      </c>
      <c r="P360" s="1" t="s">
        <v>1234</v>
      </c>
      <c r="Q360" s="1">
        <v>14.870485</v>
      </c>
      <c r="R360" s="1">
        <v>-89.117181</v>
      </c>
      <c r="S360" s="1" t="s">
        <v>148</v>
      </c>
      <c r="T360" s="2" t="s">
        <v>66</v>
      </c>
      <c r="U360" s="3" t="s">
        <v>67</v>
      </c>
      <c r="V360" s="3" t="s">
        <v>68</v>
      </c>
      <c r="W360" s="1" t="s">
        <v>69</v>
      </c>
      <c r="X360" s="1" t="s">
        <v>70</v>
      </c>
      <c r="Y360" s="5" t="s">
        <v>60</v>
      </c>
      <c r="Z360" s="3" t="s">
        <v>71</v>
      </c>
      <c r="AB360" s="1">
        <v>6.0</v>
      </c>
      <c r="AH360" s="1">
        <v>1.0</v>
      </c>
      <c r="AI360" s="1" t="s">
        <v>1408</v>
      </c>
      <c r="AJ360" s="1">
        <v>-720.0</v>
      </c>
      <c r="AK360" s="1">
        <v>2001.0</v>
      </c>
      <c r="AL360" s="2" t="s">
        <v>73</v>
      </c>
      <c r="AM360" s="2" t="s">
        <v>60</v>
      </c>
      <c r="AN360" s="2" t="s">
        <v>72</v>
      </c>
      <c r="AO360" s="2" t="s">
        <v>76</v>
      </c>
      <c r="AQ360" s="2" t="s">
        <v>75</v>
      </c>
      <c r="AR360" s="2" t="s">
        <v>60</v>
      </c>
      <c r="AS360" s="1">
        <v>1510.0</v>
      </c>
      <c r="AT360" s="1">
        <v>1510.0</v>
      </c>
      <c r="AU360" s="1">
        <v>719.0</v>
      </c>
      <c r="AV360" s="1">
        <v>20.0</v>
      </c>
      <c r="AW360" s="1">
        <v>74.0</v>
      </c>
      <c r="AX360" s="1">
        <v>7799.0</v>
      </c>
      <c r="AY360" s="1">
        <v>784.0</v>
      </c>
      <c r="AZ360" s="1" t="s">
        <v>77</v>
      </c>
      <c r="BA360" s="1" t="s">
        <v>78</v>
      </c>
    </row>
    <row r="361">
      <c r="A361" s="1" t="s">
        <v>1409</v>
      </c>
      <c r="B361" s="1" t="s">
        <v>53</v>
      </c>
      <c r="C361" s="1">
        <v>2015.0</v>
      </c>
      <c r="D361" s="1" t="s">
        <v>1410</v>
      </c>
      <c r="E361" s="1" t="s">
        <v>1411</v>
      </c>
      <c r="F361" s="1" t="s">
        <v>1395</v>
      </c>
      <c r="G361" s="1" t="s">
        <v>1412</v>
      </c>
      <c r="H361" s="1" t="s">
        <v>1413</v>
      </c>
      <c r="I361" s="1">
        <v>112.0</v>
      </c>
      <c r="J361" s="1">
        <v>18.0</v>
      </c>
      <c r="K361" s="2" t="s">
        <v>1414</v>
      </c>
      <c r="L361" s="2" t="s">
        <v>60</v>
      </c>
      <c r="M361" s="1" t="s">
        <v>1415</v>
      </c>
      <c r="N361" s="1" t="s">
        <v>62</v>
      </c>
      <c r="O361" s="1" t="s">
        <v>92</v>
      </c>
      <c r="P361" s="1" t="s">
        <v>466</v>
      </c>
      <c r="Q361" s="1">
        <v>19.856</v>
      </c>
      <c r="R361" s="1">
        <v>-88.7644</v>
      </c>
      <c r="S361" s="1" t="s">
        <v>148</v>
      </c>
      <c r="T361" s="2" t="s">
        <v>135</v>
      </c>
      <c r="U361" s="3" t="s">
        <v>67</v>
      </c>
      <c r="V361" s="3" t="s">
        <v>68</v>
      </c>
      <c r="W361" s="1" t="s">
        <v>468</v>
      </c>
      <c r="X361" s="1" t="s">
        <v>483</v>
      </c>
      <c r="Y361" s="6" t="s">
        <v>76</v>
      </c>
      <c r="Z361" s="3" t="s">
        <v>411</v>
      </c>
      <c r="AB361" s="1">
        <v>1.0</v>
      </c>
      <c r="AI361" s="1" t="s">
        <v>1416</v>
      </c>
      <c r="AJ361" s="1">
        <v>-1500.0</v>
      </c>
      <c r="AK361" s="1">
        <v>1500.0</v>
      </c>
      <c r="AL361" s="2" t="s">
        <v>73</v>
      </c>
      <c r="AM361" s="2" t="s">
        <v>72</v>
      </c>
      <c r="AN361" s="2" t="s">
        <v>132</v>
      </c>
      <c r="AO361" s="2" t="s">
        <v>60</v>
      </c>
      <c r="AP361" s="1" t="s">
        <v>471</v>
      </c>
      <c r="AQ361" s="2" t="s">
        <v>102</v>
      </c>
      <c r="AR361" s="2" t="s">
        <v>76</v>
      </c>
      <c r="AS361" s="1">
        <v>1254.0</v>
      </c>
      <c r="AT361" s="1">
        <v>1254.0</v>
      </c>
      <c r="AU361" s="1">
        <v>551.0</v>
      </c>
      <c r="AV361" s="1">
        <v>32.0</v>
      </c>
      <c r="AW361" s="1">
        <v>107.0</v>
      </c>
      <c r="AX361" s="1">
        <v>6228.0</v>
      </c>
      <c r="AY361" s="1">
        <v>36.0</v>
      </c>
      <c r="AZ361" s="1" t="s">
        <v>239</v>
      </c>
      <c r="BA361" s="1" t="s">
        <v>121</v>
      </c>
    </row>
    <row r="362">
      <c r="A362" s="1" t="s">
        <v>1409</v>
      </c>
      <c r="B362" s="1" t="s">
        <v>53</v>
      </c>
      <c r="C362" s="1">
        <v>2015.0</v>
      </c>
      <c r="D362" s="1" t="s">
        <v>1410</v>
      </c>
      <c r="E362" s="1" t="s">
        <v>1411</v>
      </c>
      <c r="F362" s="1" t="s">
        <v>1395</v>
      </c>
      <c r="G362" s="1" t="s">
        <v>1412</v>
      </c>
      <c r="H362" s="1" t="s">
        <v>1413</v>
      </c>
      <c r="I362" s="1">
        <v>112.0</v>
      </c>
      <c r="J362" s="1">
        <v>18.0</v>
      </c>
      <c r="K362" s="2" t="s">
        <v>1414</v>
      </c>
      <c r="L362" s="2" t="s">
        <v>60</v>
      </c>
      <c r="M362" s="1" t="s">
        <v>1417</v>
      </c>
      <c r="N362" s="1" t="s">
        <v>62</v>
      </c>
      <c r="O362" s="1" t="s">
        <v>92</v>
      </c>
      <c r="P362" s="1" t="s">
        <v>878</v>
      </c>
      <c r="Q362" s="1">
        <v>16.98567</v>
      </c>
      <c r="R362" s="1">
        <v>-89.674358</v>
      </c>
      <c r="S362" s="1" t="s">
        <v>148</v>
      </c>
      <c r="T362" s="2" t="s">
        <v>135</v>
      </c>
      <c r="U362" s="3" t="s">
        <v>67</v>
      </c>
      <c r="V362" s="3" t="s">
        <v>68</v>
      </c>
      <c r="W362" s="1" t="s">
        <v>468</v>
      </c>
      <c r="X362" s="1" t="s">
        <v>483</v>
      </c>
      <c r="Y362" s="6" t="s">
        <v>76</v>
      </c>
      <c r="Z362" s="3" t="s">
        <v>411</v>
      </c>
      <c r="AB362" s="1">
        <v>1.0</v>
      </c>
      <c r="AI362" s="1" t="s">
        <v>1416</v>
      </c>
      <c r="AJ362" s="1">
        <v>-2000.0</v>
      </c>
      <c r="AK362" s="1">
        <v>1950.0</v>
      </c>
      <c r="AL362" s="2" t="s">
        <v>73</v>
      </c>
      <c r="AM362" s="2" t="s">
        <v>72</v>
      </c>
      <c r="AN362" s="2" t="s">
        <v>132</v>
      </c>
      <c r="AO362" s="2" t="s">
        <v>60</v>
      </c>
      <c r="AP362" s="1" t="s">
        <v>471</v>
      </c>
      <c r="AQ362" s="2" t="s">
        <v>102</v>
      </c>
      <c r="AR362" s="2" t="s">
        <v>76</v>
      </c>
      <c r="AS362" s="1">
        <v>1757.0</v>
      </c>
      <c r="AT362" s="1">
        <v>1757.0</v>
      </c>
      <c r="AU362" s="1">
        <v>704.0</v>
      </c>
      <c r="AV362" s="1">
        <v>37.0</v>
      </c>
      <c r="AW362" s="1">
        <v>141.0</v>
      </c>
      <c r="AX362" s="1">
        <v>5662.0</v>
      </c>
      <c r="AY362" s="1">
        <v>118.0</v>
      </c>
      <c r="AZ362" s="1" t="s">
        <v>133</v>
      </c>
      <c r="BA362" s="1" t="s">
        <v>121</v>
      </c>
    </row>
    <row r="363">
      <c r="A363" s="1" t="s">
        <v>1418</v>
      </c>
      <c r="B363" s="1" t="s">
        <v>53</v>
      </c>
      <c r="C363" s="1">
        <v>2012.0</v>
      </c>
      <c r="D363" s="1" t="s">
        <v>1419</v>
      </c>
      <c r="E363" s="1" t="s">
        <v>1420</v>
      </c>
      <c r="F363" s="1" t="s">
        <v>1386</v>
      </c>
      <c r="G363" s="1" t="s">
        <v>1421</v>
      </c>
      <c r="H363" s="1" t="s">
        <v>1422</v>
      </c>
      <c r="I363" s="1">
        <v>37.0</v>
      </c>
      <c r="K363" s="2" t="s">
        <v>1423</v>
      </c>
      <c r="L363" s="2" t="s">
        <v>60</v>
      </c>
      <c r="M363" s="1" t="s">
        <v>1424</v>
      </c>
      <c r="N363" s="1" t="s">
        <v>62</v>
      </c>
      <c r="O363" s="1" t="s">
        <v>167</v>
      </c>
      <c r="P363" s="1" t="s">
        <v>512</v>
      </c>
      <c r="Q363" s="1">
        <v>16.916667</v>
      </c>
      <c r="R363" s="1">
        <v>-89.833333</v>
      </c>
      <c r="S363" s="1" t="s">
        <v>148</v>
      </c>
      <c r="T363" s="2" t="s">
        <v>275</v>
      </c>
      <c r="U363" s="1" t="s">
        <v>72</v>
      </c>
      <c r="V363" s="3" t="s">
        <v>277</v>
      </c>
      <c r="W363" s="1" t="s">
        <v>1425</v>
      </c>
      <c r="X363" s="2" t="s">
        <v>72</v>
      </c>
      <c r="Y363" s="6" t="s">
        <v>76</v>
      </c>
      <c r="Z363" s="3" t="s">
        <v>76</v>
      </c>
      <c r="AB363" s="1">
        <v>64.0</v>
      </c>
      <c r="AI363" s="1" t="s">
        <v>194</v>
      </c>
      <c r="AJ363" s="1">
        <v>-41000.0</v>
      </c>
      <c r="AK363" s="1">
        <v>1950.0</v>
      </c>
      <c r="AL363" s="2" t="s">
        <v>100</v>
      </c>
      <c r="AM363" s="2" t="s">
        <v>60</v>
      </c>
      <c r="AN363" s="2" t="s">
        <v>524</v>
      </c>
      <c r="AO363" s="2" t="s">
        <v>76</v>
      </c>
      <c r="AQ363" s="2" t="s">
        <v>102</v>
      </c>
      <c r="AR363" s="2" t="s">
        <v>76</v>
      </c>
      <c r="AS363" s="1">
        <v>1738.0</v>
      </c>
      <c r="AT363" s="1">
        <v>1738.0</v>
      </c>
      <c r="AU363" s="1">
        <v>690.0</v>
      </c>
      <c r="AV363" s="1">
        <v>36.0</v>
      </c>
      <c r="AW363" s="1">
        <v>144.0</v>
      </c>
      <c r="AX363" s="1">
        <v>5677.0</v>
      </c>
      <c r="AY363" s="1">
        <v>131.0</v>
      </c>
      <c r="AZ363" s="1" t="s">
        <v>133</v>
      </c>
      <c r="BA363" s="1" t="s">
        <v>121</v>
      </c>
    </row>
    <row r="364">
      <c r="A364" s="1" t="s">
        <v>1409</v>
      </c>
      <c r="B364" s="1" t="s">
        <v>53</v>
      </c>
      <c r="C364" s="1">
        <v>2015.0</v>
      </c>
      <c r="D364" s="1" t="s">
        <v>1410</v>
      </c>
      <c r="E364" s="1" t="s">
        <v>1411</v>
      </c>
      <c r="F364" s="1" t="s">
        <v>1395</v>
      </c>
      <c r="G364" s="1" t="s">
        <v>1412</v>
      </c>
      <c r="H364" s="1" t="s">
        <v>1413</v>
      </c>
      <c r="I364" s="1">
        <v>112.0</v>
      </c>
      <c r="J364" s="1">
        <v>18.0</v>
      </c>
      <c r="K364" s="2" t="s">
        <v>1414</v>
      </c>
      <c r="L364" s="2" t="s">
        <v>60</v>
      </c>
      <c r="M364" s="1" t="s">
        <v>1426</v>
      </c>
      <c r="N364" s="1" t="s">
        <v>62</v>
      </c>
      <c r="O364" s="1" t="s">
        <v>92</v>
      </c>
      <c r="P364" s="1" t="s">
        <v>466</v>
      </c>
      <c r="Q364" s="1">
        <v>19.856</v>
      </c>
      <c r="R364" s="1">
        <v>-88.7644</v>
      </c>
      <c r="S364" s="1" t="s">
        <v>148</v>
      </c>
      <c r="T364" s="2" t="s">
        <v>474</v>
      </c>
      <c r="U364" s="2" t="s">
        <v>96</v>
      </c>
      <c r="V364" s="3" t="s">
        <v>97</v>
      </c>
      <c r="W364" s="1" t="s">
        <v>468</v>
      </c>
      <c r="X364" s="1" t="s">
        <v>483</v>
      </c>
      <c r="Y364" s="6" t="s">
        <v>76</v>
      </c>
      <c r="Z364" s="3" t="s">
        <v>76</v>
      </c>
      <c r="AB364" s="1">
        <v>1.0</v>
      </c>
      <c r="AI364" s="1" t="s">
        <v>1416</v>
      </c>
      <c r="AJ364" s="1">
        <v>-1500.0</v>
      </c>
      <c r="AK364" s="1">
        <v>1500.0</v>
      </c>
      <c r="AL364" s="2" t="s">
        <v>73</v>
      </c>
      <c r="AM364" s="2" t="s">
        <v>72</v>
      </c>
      <c r="AN364" s="2" t="s">
        <v>132</v>
      </c>
      <c r="AO364" s="2" t="s">
        <v>60</v>
      </c>
      <c r="AP364" s="1" t="s">
        <v>471</v>
      </c>
      <c r="AQ364" s="2" t="s">
        <v>102</v>
      </c>
      <c r="AR364" s="2" t="s">
        <v>76</v>
      </c>
      <c r="AS364" s="1">
        <v>1254.0</v>
      </c>
      <c r="AT364" s="1">
        <v>1254.0</v>
      </c>
      <c r="AU364" s="1">
        <v>551.0</v>
      </c>
      <c r="AV364" s="1">
        <v>32.0</v>
      </c>
      <c r="AW364" s="1">
        <v>107.0</v>
      </c>
      <c r="AX364" s="1">
        <v>6228.0</v>
      </c>
      <c r="AY364" s="1">
        <v>36.0</v>
      </c>
      <c r="AZ364" s="1" t="s">
        <v>239</v>
      </c>
      <c r="BA364" s="1" t="s">
        <v>121</v>
      </c>
    </row>
    <row r="365">
      <c r="A365" s="1" t="s">
        <v>1409</v>
      </c>
      <c r="B365" s="1" t="s">
        <v>53</v>
      </c>
      <c r="C365" s="1">
        <v>2015.0</v>
      </c>
      <c r="D365" s="1" t="s">
        <v>1410</v>
      </c>
      <c r="E365" s="1" t="s">
        <v>1411</v>
      </c>
      <c r="F365" s="1" t="s">
        <v>1395</v>
      </c>
      <c r="G365" s="1" t="s">
        <v>1412</v>
      </c>
      <c r="H365" s="1" t="s">
        <v>1413</v>
      </c>
      <c r="I365" s="1">
        <v>112.0</v>
      </c>
      <c r="J365" s="1">
        <v>18.0</v>
      </c>
      <c r="K365" s="2" t="s">
        <v>1414</v>
      </c>
      <c r="L365" s="2" t="s">
        <v>60</v>
      </c>
      <c r="M365" s="1" t="s">
        <v>1427</v>
      </c>
      <c r="N365" s="1" t="s">
        <v>62</v>
      </c>
      <c r="O365" s="1" t="s">
        <v>92</v>
      </c>
      <c r="P365" s="1" t="s">
        <v>878</v>
      </c>
      <c r="Q365" s="1">
        <v>16.98567</v>
      </c>
      <c r="R365" s="1">
        <v>-89.674358</v>
      </c>
      <c r="S365" s="1" t="s">
        <v>148</v>
      </c>
      <c r="T365" s="2" t="s">
        <v>474</v>
      </c>
      <c r="U365" s="2" t="s">
        <v>96</v>
      </c>
      <c r="V365" s="3" t="s">
        <v>97</v>
      </c>
      <c r="W365" s="1" t="s">
        <v>468</v>
      </c>
      <c r="X365" s="1" t="s">
        <v>483</v>
      </c>
      <c r="Y365" s="6" t="s">
        <v>76</v>
      </c>
      <c r="Z365" s="3" t="s">
        <v>76</v>
      </c>
      <c r="AB365" s="1">
        <v>1.0</v>
      </c>
      <c r="AI365" s="1" t="s">
        <v>1416</v>
      </c>
      <c r="AJ365" s="1">
        <v>-2000.0</v>
      </c>
      <c r="AK365" s="1">
        <v>1950.0</v>
      </c>
      <c r="AL365" s="2" t="s">
        <v>73</v>
      </c>
      <c r="AM365" s="2" t="s">
        <v>72</v>
      </c>
      <c r="AN365" s="2" t="s">
        <v>132</v>
      </c>
      <c r="AO365" s="2" t="s">
        <v>60</v>
      </c>
      <c r="AP365" s="1" t="s">
        <v>471</v>
      </c>
      <c r="AQ365" s="2" t="s">
        <v>102</v>
      </c>
      <c r="AR365" s="2" t="s">
        <v>76</v>
      </c>
      <c r="AS365" s="1">
        <v>1757.0</v>
      </c>
      <c r="AT365" s="1">
        <v>1757.0</v>
      </c>
      <c r="AU365" s="1">
        <v>704.0</v>
      </c>
      <c r="AV365" s="1">
        <v>37.0</v>
      </c>
      <c r="AW365" s="1">
        <v>141.0</v>
      </c>
      <c r="AX365" s="1">
        <v>5662.0</v>
      </c>
      <c r="AY365" s="1">
        <v>118.0</v>
      </c>
      <c r="AZ365" s="1" t="s">
        <v>133</v>
      </c>
      <c r="BA365" s="1" t="s">
        <v>121</v>
      </c>
    </row>
    <row r="366">
      <c r="A366" s="1" t="s">
        <v>1428</v>
      </c>
      <c r="B366" s="1" t="s">
        <v>53</v>
      </c>
      <c r="C366" s="1">
        <v>2019.0</v>
      </c>
      <c r="D366" s="1" t="s">
        <v>1429</v>
      </c>
      <c r="E366" s="1" t="s">
        <v>1430</v>
      </c>
      <c r="F366" s="1" t="s">
        <v>1431</v>
      </c>
      <c r="G366" s="1" t="s">
        <v>1432</v>
      </c>
      <c r="H366" s="1" t="s">
        <v>1433</v>
      </c>
      <c r="I366" s="1">
        <v>2.0</v>
      </c>
      <c r="J366" s="1">
        <v>3.0</v>
      </c>
      <c r="L366" s="2" t="s">
        <v>60</v>
      </c>
      <c r="M366" s="1" t="s">
        <v>1434</v>
      </c>
      <c r="N366" s="1" t="s">
        <v>62</v>
      </c>
      <c r="O366" s="1" t="s">
        <v>521</v>
      </c>
      <c r="P366" s="1" t="s">
        <v>522</v>
      </c>
      <c r="Q366" s="1">
        <v>11.906</v>
      </c>
      <c r="R366" s="1">
        <v>-85.918</v>
      </c>
      <c r="S366" s="1" t="s">
        <v>148</v>
      </c>
      <c r="T366" s="2" t="s">
        <v>66</v>
      </c>
      <c r="U366" s="1" t="s">
        <v>823</v>
      </c>
      <c r="V366" s="3" t="s">
        <v>138</v>
      </c>
      <c r="W366" s="1" t="s">
        <v>344</v>
      </c>
      <c r="X366" s="1" t="s">
        <v>70</v>
      </c>
      <c r="Y366" s="5" t="s">
        <v>76</v>
      </c>
      <c r="Z366" s="3" t="s">
        <v>76</v>
      </c>
      <c r="AB366" s="1">
        <v>5.0</v>
      </c>
      <c r="AI366" s="11" t="s">
        <v>523</v>
      </c>
      <c r="AJ366" s="1">
        <v>850.0</v>
      </c>
      <c r="AK366" s="1">
        <v>2004.0</v>
      </c>
      <c r="AL366" s="2" t="s">
        <v>73</v>
      </c>
      <c r="AM366" s="2" t="s">
        <v>60</v>
      </c>
      <c r="AN366" s="2" t="s">
        <v>132</v>
      </c>
      <c r="AO366" s="2" t="s">
        <v>72</v>
      </c>
      <c r="AQ366" s="2" t="s">
        <v>102</v>
      </c>
      <c r="AR366" s="2" t="s">
        <v>60</v>
      </c>
      <c r="AS366" s="1">
        <v>1535.0</v>
      </c>
      <c r="AT366" s="1">
        <v>1535.0</v>
      </c>
      <c r="AU366" s="1">
        <v>863.0</v>
      </c>
      <c r="AV366" s="1">
        <v>2.0</v>
      </c>
      <c r="AW366" s="1">
        <v>16.0</v>
      </c>
      <c r="AX366" s="1">
        <v>9899.0</v>
      </c>
      <c r="AY366" s="1">
        <v>43.0</v>
      </c>
      <c r="AZ366" s="1" t="s">
        <v>525</v>
      </c>
      <c r="BA366" s="1" t="s">
        <v>104</v>
      </c>
    </row>
    <row r="367">
      <c r="A367" s="1" t="s">
        <v>1428</v>
      </c>
      <c r="B367" s="1" t="s">
        <v>53</v>
      </c>
      <c r="C367" s="1">
        <v>2019.0</v>
      </c>
      <c r="D367" s="1" t="s">
        <v>1429</v>
      </c>
      <c r="E367" s="1" t="s">
        <v>1430</v>
      </c>
      <c r="F367" s="1" t="s">
        <v>1431</v>
      </c>
      <c r="G367" s="1" t="s">
        <v>1432</v>
      </c>
      <c r="H367" s="1" t="s">
        <v>1433</v>
      </c>
      <c r="I367" s="1">
        <v>2.0</v>
      </c>
      <c r="J367" s="1">
        <v>3.0</v>
      </c>
      <c r="L367" s="2" t="s">
        <v>60</v>
      </c>
      <c r="M367" s="1" t="s">
        <v>1435</v>
      </c>
      <c r="N367" s="1" t="s">
        <v>62</v>
      </c>
      <c r="O367" s="1" t="s">
        <v>521</v>
      </c>
      <c r="P367" s="1" t="s">
        <v>522</v>
      </c>
      <c r="Q367" s="1">
        <v>11.906</v>
      </c>
      <c r="R367" s="1">
        <v>-85.918</v>
      </c>
      <c r="S367" s="1" t="s">
        <v>148</v>
      </c>
      <c r="T367" s="2" t="s">
        <v>149</v>
      </c>
      <c r="U367" s="1" t="s">
        <v>150</v>
      </c>
      <c r="V367" s="3" t="s">
        <v>97</v>
      </c>
      <c r="W367" s="1" t="s">
        <v>1436</v>
      </c>
      <c r="X367" s="1" t="s">
        <v>70</v>
      </c>
      <c r="Y367" s="6" t="s">
        <v>76</v>
      </c>
      <c r="Z367" s="3" t="s">
        <v>76</v>
      </c>
      <c r="AB367" s="1">
        <v>5.0</v>
      </c>
      <c r="AI367" s="11" t="s">
        <v>523</v>
      </c>
      <c r="AJ367" s="1">
        <v>850.0</v>
      </c>
      <c r="AK367" s="1">
        <v>2004.0</v>
      </c>
      <c r="AL367" s="2" t="s">
        <v>73</v>
      </c>
      <c r="AM367" s="2" t="s">
        <v>60</v>
      </c>
      <c r="AN367" s="2" t="s">
        <v>132</v>
      </c>
      <c r="AO367" s="2" t="s">
        <v>72</v>
      </c>
      <c r="AQ367" s="2" t="s">
        <v>102</v>
      </c>
      <c r="AR367" s="2" t="s">
        <v>60</v>
      </c>
      <c r="AS367" s="1">
        <v>1535.0</v>
      </c>
      <c r="AT367" s="1">
        <v>1535.0</v>
      </c>
      <c r="AU367" s="1">
        <v>863.0</v>
      </c>
      <c r="AV367" s="1">
        <v>2.0</v>
      </c>
      <c r="AW367" s="1">
        <v>16.0</v>
      </c>
      <c r="AX367" s="1">
        <v>9899.0</v>
      </c>
      <c r="AY367" s="1">
        <v>43.0</v>
      </c>
      <c r="AZ367" s="1" t="s">
        <v>525</v>
      </c>
      <c r="BA367" s="1" t="s">
        <v>104</v>
      </c>
    </row>
    <row r="368">
      <c r="A368" s="1" t="s">
        <v>1428</v>
      </c>
      <c r="B368" s="1" t="s">
        <v>53</v>
      </c>
      <c r="C368" s="1">
        <v>2019.0</v>
      </c>
      <c r="D368" s="1" t="s">
        <v>1429</v>
      </c>
      <c r="E368" s="1" t="s">
        <v>1430</v>
      </c>
      <c r="F368" s="1" t="s">
        <v>1431</v>
      </c>
      <c r="G368" s="1" t="s">
        <v>1432</v>
      </c>
      <c r="H368" s="1" t="s">
        <v>1433</v>
      </c>
      <c r="I368" s="1">
        <v>2.0</v>
      </c>
      <c r="J368" s="1">
        <v>3.0</v>
      </c>
      <c r="L368" s="2" t="s">
        <v>60</v>
      </c>
      <c r="M368" s="1" t="s">
        <v>1437</v>
      </c>
      <c r="N368" s="1" t="s">
        <v>62</v>
      </c>
      <c r="O368" s="1" t="s">
        <v>521</v>
      </c>
      <c r="P368" s="1" t="s">
        <v>522</v>
      </c>
      <c r="Q368" s="1">
        <v>11.906</v>
      </c>
      <c r="R368" s="1">
        <v>-85.918</v>
      </c>
      <c r="S368" s="1" t="s">
        <v>148</v>
      </c>
      <c r="T368" s="2" t="s">
        <v>321</v>
      </c>
      <c r="U368" s="3" t="s">
        <v>156</v>
      </c>
      <c r="V368" s="3" t="s">
        <v>788</v>
      </c>
      <c r="W368" s="1" t="s">
        <v>82</v>
      </c>
      <c r="X368" s="2" t="s">
        <v>158</v>
      </c>
      <c r="Y368" s="6" t="s">
        <v>76</v>
      </c>
      <c r="Z368" s="3" t="s">
        <v>76</v>
      </c>
      <c r="AB368" s="1">
        <v>5.0</v>
      </c>
      <c r="AI368" s="11" t="s">
        <v>523</v>
      </c>
      <c r="AJ368" s="1">
        <v>850.0</v>
      </c>
      <c r="AK368" s="1">
        <v>2004.0</v>
      </c>
      <c r="AL368" s="2" t="s">
        <v>73</v>
      </c>
      <c r="AM368" s="2" t="s">
        <v>60</v>
      </c>
      <c r="AN368" s="2" t="s">
        <v>132</v>
      </c>
      <c r="AO368" s="2" t="s">
        <v>72</v>
      </c>
      <c r="AQ368" s="2" t="s">
        <v>102</v>
      </c>
      <c r="AR368" s="2" t="s">
        <v>60</v>
      </c>
      <c r="AS368" s="1">
        <v>1535.0</v>
      </c>
      <c r="AT368" s="1">
        <v>1535.0</v>
      </c>
      <c r="AU368" s="1">
        <v>863.0</v>
      </c>
      <c r="AV368" s="1">
        <v>2.0</v>
      </c>
      <c r="AW368" s="1">
        <v>16.0</v>
      </c>
      <c r="AX368" s="1">
        <v>9899.0</v>
      </c>
      <c r="AY368" s="1">
        <v>43.0</v>
      </c>
      <c r="AZ368" s="1" t="s">
        <v>525</v>
      </c>
      <c r="BA368" s="1" t="s">
        <v>104</v>
      </c>
    </row>
    <row r="369">
      <c r="A369" s="1" t="s">
        <v>1428</v>
      </c>
      <c r="B369" s="1" t="s">
        <v>53</v>
      </c>
      <c r="C369" s="1">
        <v>2019.0</v>
      </c>
      <c r="D369" s="1" t="s">
        <v>1429</v>
      </c>
      <c r="E369" s="1" t="s">
        <v>1430</v>
      </c>
      <c r="F369" s="1" t="s">
        <v>1431</v>
      </c>
      <c r="G369" s="1" t="s">
        <v>1432</v>
      </c>
      <c r="H369" s="1" t="s">
        <v>1433</v>
      </c>
      <c r="I369" s="1">
        <v>2.0</v>
      </c>
      <c r="J369" s="1">
        <v>3.0</v>
      </c>
      <c r="L369" s="2" t="s">
        <v>60</v>
      </c>
      <c r="M369" s="1" t="s">
        <v>1438</v>
      </c>
      <c r="N369" s="1" t="s">
        <v>62</v>
      </c>
      <c r="O369" s="1" t="s">
        <v>521</v>
      </c>
      <c r="P369" s="1" t="s">
        <v>522</v>
      </c>
      <c r="Q369" s="1">
        <v>11.906</v>
      </c>
      <c r="R369" s="1">
        <v>-85.918</v>
      </c>
      <c r="S369" s="1" t="s">
        <v>148</v>
      </c>
      <c r="T369" s="2" t="s">
        <v>352</v>
      </c>
      <c r="U369" s="7" t="s">
        <v>353</v>
      </c>
      <c r="V369" s="3" t="s">
        <v>116</v>
      </c>
      <c r="W369" s="1" t="s">
        <v>344</v>
      </c>
      <c r="X369" s="1" t="s">
        <v>70</v>
      </c>
      <c r="Y369" s="6" t="s">
        <v>76</v>
      </c>
      <c r="Z369" s="3" t="s">
        <v>76</v>
      </c>
      <c r="AB369" s="1">
        <v>5.0</v>
      </c>
      <c r="AI369" s="11" t="s">
        <v>523</v>
      </c>
      <c r="AJ369" s="1">
        <v>850.0</v>
      </c>
      <c r="AK369" s="1">
        <v>2004.0</v>
      </c>
      <c r="AL369" s="2" t="s">
        <v>73</v>
      </c>
      <c r="AM369" s="2" t="s">
        <v>60</v>
      </c>
      <c r="AN369" s="2" t="s">
        <v>132</v>
      </c>
      <c r="AO369" s="2" t="s">
        <v>72</v>
      </c>
      <c r="AQ369" s="2" t="s">
        <v>102</v>
      </c>
      <c r="AR369" s="2" t="s">
        <v>60</v>
      </c>
      <c r="AS369" s="1">
        <v>1535.0</v>
      </c>
      <c r="AT369" s="1">
        <v>1535.0</v>
      </c>
      <c r="AU369" s="1">
        <v>863.0</v>
      </c>
      <c r="AV369" s="1">
        <v>2.0</v>
      </c>
      <c r="AW369" s="1">
        <v>16.0</v>
      </c>
      <c r="AX369" s="1">
        <v>9899.0</v>
      </c>
      <c r="AY369" s="1">
        <v>43.0</v>
      </c>
      <c r="AZ369" s="1" t="s">
        <v>525</v>
      </c>
      <c r="BA369" s="1" t="s">
        <v>104</v>
      </c>
    </row>
    <row r="370">
      <c r="A370" s="1" t="s">
        <v>1183</v>
      </c>
      <c r="B370" s="1" t="s">
        <v>53</v>
      </c>
      <c r="C370" s="1">
        <v>2009.0</v>
      </c>
      <c r="D370" s="1" t="s">
        <v>1184</v>
      </c>
      <c r="E370" s="1" t="s">
        <v>1185</v>
      </c>
      <c r="F370" s="1" t="s">
        <v>1186</v>
      </c>
      <c r="G370" s="1" t="s">
        <v>1187</v>
      </c>
      <c r="H370" s="1" t="s">
        <v>1188</v>
      </c>
      <c r="I370" s="1">
        <v>195.0</v>
      </c>
      <c r="J370" s="1">
        <v>43862.0</v>
      </c>
      <c r="K370" s="2" t="s">
        <v>1189</v>
      </c>
      <c r="L370" s="2" t="s">
        <v>60</v>
      </c>
      <c r="M370" s="1" t="s">
        <v>1439</v>
      </c>
      <c r="N370" s="1" t="s">
        <v>62</v>
      </c>
      <c r="O370" s="1" t="s">
        <v>521</v>
      </c>
      <c r="P370" s="1" t="s">
        <v>1440</v>
      </c>
      <c r="Q370" s="1">
        <v>12.045139</v>
      </c>
      <c r="R370" s="1">
        <v>-83.927561</v>
      </c>
      <c r="S370" s="1" t="s">
        <v>148</v>
      </c>
      <c r="T370" s="2" t="s">
        <v>66</v>
      </c>
      <c r="U370" s="3" t="s">
        <v>1441</v>
      </c>
      <c r="V370" s="3" t="s">
        <v>788</v>
      </c>
      <c r="W370" s="1" t="s">
        <v>1442</v>
      </c>
      <c r="X370" s="1" t="s">
        <v>70</v>
      </c>
      <c r="Y370" s="5" t="s">
        <v>76</v>
      </c>
      <c r="Z370" s="3" t="s">
        <v>76</v>
      </c>
      <c r="AB370" s="1">
        <v>5.0</v>
      </c>
      <c r="AI370" s="1" t="s">
        <v>1192</v>
      </c>
      <c r="AJ370" s="1">
        <v>-6070.0</v>
      </c>
      <c r="AK370" s="1">
        <v>-870.0</v>
      </c>
      <c r="AL370" s="2" t="s">
        <v>153</v>
      </c>
      <c r="AM370" s="2" t="s">
        <v>72</v>
      </c>
      <c r="AN370" s="2" t="s">
        <v>400</v>
      </c>
      <c r="AO370" s="2" t="s">
        <v>72</v>
      </c>
      <c r="AQ370" s="2" t="s">
        <v>75</v>
      </c>
      <c r="AR370" s="2" t="s">
        <v>76</v>
      </c>
      <c r="AS370" s="1">
        <v>3416.0</v>
      </c>
      <c r="AT370" s="1">
        <v>3416.0</v>
      </c>
      <c r="AU370" s="1">
        <v>1440.0</v>
      </c>
      <c r="AV370" s="1">
        <v>70.0</v>
      </c>
      <c r="AW370" s="1">
        <v>259.0</v>
      </c>
      <c r="AX370" s="1">
        <v>5332.0</v>
      </c>
      <c r="AY370" s="1">
        <v>8.0</v>
      </c>
      <c r="AZ370" s="1" t="s">
        <v>120</v>
      </c>
      <c r="BA370" s="1" t="s">
        <v>121</v>
      </c>
    </row>
    <row r="371">
      <c r="A371" s="1" t="s">
        <v>1183</v>
      </c>
      <c r="B371" s="1" t="s">
        <v>53</v>
      </c>
      <c r="C371" s="1">
        <v>2009.0</v>
      </c>
      <c r="D371" s="1" t="s">
        <v>1184</v>
      </c>
      <c r="E371" s="1" t="s">
        <v>1185</v>
      </c>
      <c r="F371" s="1" t="s">
        <v>1186</v>
      </c>
      <c r="G371" s="1" t="s">
        <v>1187</v>
      </c>
      <c r="H371" s="1" t="s">
        <v>1188</v>
      </c>
      <c r="I371" s="1">
        <v>195.0</v>
      </c>
      <c r="J371" s="1">
        <v>43862.0</v>
      </c>
      <c r="K371" s="2" t="s">
        <v>1189</v>
      </c>
      <c r="L371" s="2" t="s">
        <v>60</v>
      </c>
      <c r="M371" s="1" t="s">
        <v>1443</v>
      </c>
      <c r="N371" s="1" t="s">
        <v>62</v>
      </c>
      <c r="O371" s="1" t="s">
        <v>521</v>
      </c>
      <c r="P371" s="1" t="s">
        <v>1191</v>
      </c>
      <c r="Q371" s="1">
        <v>12.045139</v>
      </c>
      <c r="R371" s="1">
        <v>-83.927561</v>
      </c>
      <c r="S371" s="1" t="s">
        <v>148</v>
      </c>
      <c r="T371" s="2" t="s">
        <v>189</v>
      </c>
      <c r="U371" s="2" t="s">
        <v>1266</v>
      </c>
      <c r="V371" s="3" t="s">
        <v>97</v>
      </c>
      <c r="W371" s="1" t="s">
        <v>1444</v>
      </c>
      <c r="X371" s="1" t="s">
        <v>70</v>
      </c>
      <c r="Y371" s="6" t="s">
        <v>76</v>
      </c>
      <c r="Z371" s="3" t="s">
        <v>76</v>
      </c>
      <c r="AB371" s="1">
        <v>5.0</v>
      </c>
      <c r="AI371" s="1" t="s">
        <v>1192</v>
      </c>
      <c r="AJ371" s="1">
        <v>-6070.0</v>
      </c>
      <c r="AK371" s="1">
        <v>-870.0</v>
      </c>
      <c r="AL371" s="2" t="s">
        <v>153</v>
      </c>
      <c r="AM371" s="2" t="s">
        <v>72</v>
      </c>
      <c r="AN371" s="2" t="s">
        <v>400</v>
      </c>
      <c r="AO371" s="2" t="s">
        <v>72</v>
      </c>
      <c r="AQ371" s="2" t="s">
        <v>75</v>
      </c>
      <c r="AR371" s="2" t="s">
        <v>76</v>
      </c>
      <c r="AS371" s="1">
        <v>3416.0</v>
      </c>
      <c r="AT371" s="1">
        <v>3416.0</v>
      </c>
      <c r="AU371" s="1">
        <v>1440.0</v>
      </c>
      <c r="AV371" s="1">
        <v>70.0</v>
      </c>
      <c r="AW371" s="1">
        <v>259.0</v>
      </c>
      <c r="AX371" s="1">
        <v>5332.0</v>
      </c>
      <c r="AY371" s="1">
        <v>8.0</v>
      </c>
      <c r="AZ371" s="1" t="s">
        <v>120</v>
      </c>
      <c r="BA371" s="1" t="s">
        <v>121</v>
      </c>
    </row>
    <row r="372">
      <c r="A372" s="1" t="s">
        <v>1183</v>
      </c>
      <c r="B372" s="1" t="s">
        <v>53</v>
      </c>
      <c r="C372" s="1">
        <v>2009.0</v>
      </c>
      <c r="D372" s="1" t="s">
        <v>1184</v>
      </c>
      <c r="E372" s="1" t="s">
        <v>1185</v>
      </c>
      <c r="F372" s="1" t="s">
        <v>1186</v>
      </c>
      <c r="G372" s="1" t="s">
        <v>1187</v>
      </c>
      <c r="H372" s="1" t="s">
        <v>1188</v>
      </c>
      <c r="I372" s="1">
        <v>195.0</v>
      </c>
      <c r="J372" s="1">
        <v>43862.0</v>
      </c>
      <c r="K372" s="2" t="s">
        <v>1189</v>
      </c>
      <c r="L372" s="2" t="s">
        <v>60</v>
      </c>
      <c r="M372" s="1" t="s">
        <v>1445</v>
      </c>
      <c r="N372" s="1" t="s">
        <v>62</v>
      </c>
      <c r="O372" s="1" t="s">
        <v>521</v>
      </c>
      <c r="P372" s="1" t="s">
        <v>1440</v>
      </c>
      <c r="Q372" s="1">
        <v>12.045139</v>
      </c>
      <c r="R372" s="1">
        <v>-83.927561</v>
      </c>
      <c r="S372" s="1" t="s">
        <v>148</v>
      </c>
      <c r="T372" s="2" t="s">
        <v>599</v>
      </c>
      <c r="U372" s="1" t="s">
        <v>156</v>
      </c>
      <c r="V372" s="3" t="s">
        <v>788</v>
      </c>
      <c r="W372" s="2" t="s">
        <v>72</v>
      </c>
      <c r="X372" s="2" t="s">
        <v>72</v>
      </c>
      <c r="Y372" s="6" t="s">
        <v>76</v>
      </c>
      <c r="Z372" s="3" t="s">
        <v>76</v>
      </c>
      <c r="AB372" s="1">
        <v>5.0</v>
      </c>
      <c r="AI372" s="1" t="s">
        <v>1192</v>
      </c>
      <c r="AJ372" s="1">
        <v>-1880.0</v>
      </c>
      <c r="AK372" s="1">
        <v>-870.0</v>
      </c>
      <c r="AL372" s="2" t="s">
        <v>153</v>
      </c>
      <c r="AM372" s="2" t="s">
        <v>72</v>
      </c>
      <c r="AN372" s="2" t="s">
        <v>400</v>
      </c>
      <c r="AO372" s="2" t="s">
        <v>72</v>
      </c>
      <c r="AQ372" s="2" t="s">
        <v>75</v>
      </c>
      <c r="AR372" s="2" t="s">
        <v>76</v>
      </c>
      <c r="AS372" s="1">
        <v>3416.0</v>
      </c>
      <c r="AT372" s="1">
        <v>3416.0</v>
      </c>
      <c r="AU372" s="1">
        <v>1440.0</v>
      </c>
      <c r="AV372" s="1">
        <v>70.0</v>
      </c>
      <c r="AW372" s="1">
        <v>259.0</v>
      </c>
      <c r="AX372" s="1">
        <v>5332.0</v>
      </c>
      <c r="AY372" s="1">
        <v>8.0</v>
      </c>
      <c r="AZ372" s="1" t="s">
        <v>120</v>
      </c>
      <c r="BA372" s="1" t="s">
        <v>121</v>
      </c>
    </row>
    <row r="373">
      <c r="A373" s="1" t="s">
        <v>1446</v>
      </c>
      <c r="B373" s="1" t="s">
        <v>53</v>
      </c>
      <c r="C373" s="1">
        <v>2015.0</v>
      </c>
      <c r="D373" s="1" t="s">
        <v>1447</v>
      </c>
      <c r="E373" s="1" t="s">
        <v>1448</v>
      </c>
      <c r="F373" s="1" t="s">
        <v>1186</v>
      </c>
      <c r="G373" s="1" t="s">
        <v>1449</v>
      </c>
      <c r="H373" s="1" t="s">
        <v>1450</v>
      </c>
      <c r="I373" s="1">
        <v>365.0</v>
      </c>
      <c r="K373" s="2" t="s">
        <v>1451</v>
      </c>
      <c r="L373" s="2" t="s">
        <v>60</v>
      </c>
      <c r="M373" s="1" t="s">
        <v>1452</v>
      </c>
      <c r="N373" s="1" t="s">
        <v>62</v>
      </c>
      <c r="O373" s="1" t="s">
        <v>92</v>
      </c>
      <c r="P373" s="1" t="s">
        <v>1453</v>
      </c>
      <c r="Q373" s="1">
        <v>17.718838</v>
      </c>
      <c r="R373" s="1">
        <v>-91.695387</v>
      </c>
      <c r="S373" s="1" t="s">
        <v>1454</v>
      </c>
      <c r="T373" s="2" t="s">
        <v>135</v>
      </c>
      <c r="U373" s="2" t="s">
        <v>1455</v>
      </c>
      <c r="V373" s="3" t="s">
        <v>97</v>
      </c>
      <c r="W373" s="1" t="s">
        <v>1456</v>
      </c>
      <c r="X373" s="1" t="s">
        <v>256</v>
      </c>
      <c r="Y373" s="6" t="s">
        <v>76</v>
      </c>
      <c r="Z373" s="3" t="s">
        <v>76</v>
      </c>
      <c r="AB373" s="1">
        <v>7.0</v>
      </c>
      <c r="AC373" s="1">
        <v>3.0</v>
      </c>
      <c r="AI373" s="1" t="s">
        <v>1457</v>
      </c>
      <c r="AJ373" s="1">
        <v>-65000.0</v>
      </c>
      <c r="AK373" s="1">
        <v>980.0</v>
      </c>
      <c r="AL373" s="2" t="s">
        <v>100</v>
      </c>
      <c r="AM373" s="2" t="s">
        <v>76</v>
      </c>
      <c r="AN373" s="2" t="s">
        <v>72</v>
      </c>
      <c r="AO373" s="2" t="s">
        <v>72</v>
      </c>
      <c r="AQ373" s="2" t="s">
        <v>75</v>
      </c>
      <c r="AR373" s="2" t="s">
        <v>76</v>
      </c>
      <c r="AS373" s="1">
        <v>2096.0</v>
      </c>
      <c r="AT373" s="1">
        <v>2096.0</v>
      </c>
      <c r="AU373" s="1">
        <v>892.0</v>
      </c>
      <c r="AV373" s="1">
        <v>57.0</v>
      </c>
      <c r="AW373" s="1">
        <v>205.0</v>
      </c>
      <c r="AX373" s="1">
        <v>5426.0</v>
      </c>
      <c r="AY373" s="1">
        <v>15.0</v>
      </c>
      <c r="AZ373" s="1" t="s">
        <v>1401</v>
      </c>
      <c r="BA373" s="1" t="s">
        <v>121</v>
      </c>
    </row>
    <row r="374">
      <c r="A374" s="1" t="s">
        <v>1446</v>
      </c>
      <c r="B374" s="1" t="s">
        <v>53</v>
      </c>
      <c r="C374" s="1">
        <v>2015.0</v>
      </c>
      <c r="D374" s="1" t="s">
        <v>1447</v>
      </c>
      <c r="E374" s="1" t="s">
        <v>1448</v>
      </c>
      <c r="F374" s="1" t="s">
        <v>1186</v>
      </c>
      <c r="G374" s="1" t="s">
        <v>1449</v>
      </c>
      <c r="H374" s="1" t="s">
        <v>1450</v>
      </c>
      <c r="I374" s="1">
        <v>365.0</v>
      </c>
      <c r="K374" s="2" t="s">
        <v>1451</v>
      </c>
      <c r="L374" s="2" t="s">
        <v>60</v>
      </c>
      <c r="M374" s="1" t="s">
        <v>1458</v>
      </c>
      <c r="N374" s="1" t="s">
        <v>62</v>
      </c>
      <c r="O374" s="1" t="s">
        <v>92</v>
      </c>
      <c r="P374" s="1" t="s">
        <v>1453</v>
      </c>
      <c r="Q374" s="1">
        <v>17.718838</v>
      </c>
      <c r="R374" s="1">
        <v>-91.695387</v>
      </c>
      <c r="S374" s="1" t="s">
        <v>1454</v>
      </c>
      <c r="T374" s="2" t="s">
        <v>1459</v>
      </c>
      <c r="U374" s="1" t="s">
        <v>1460</v>
      </c>
      <c r="V374" s="3" t="s">
        <v>97</v>
      </c>
      <c r="W374" s="1" t="s">
        <v>1461</v>
      </c>
      <c r="X374" s="1" t="s">
        <v>279</v>
      </c>
      <c r="Y374" s="6" t="s">
        <v>76</v>
      </c>
      <c r="Z374" s="3" t="s">
        <v>76</v>
      </c>
      <c r="AB374" s="1">
        <v>7.0</v>
      </c>
      <c r="AC374" s="1">
        <v>3.0</v>
      </c>
      <c r="AI374" s="1" t="s">
        <v>1457</v>
      </c>
      <c r="AJ374" s="1">
        <v>-65000.0</v>
      </c>
      <c r="AK374" s="1">
        <v>980.0</v>
      </c>
      <c r="AL374" s="2" t="s">
        <v>100</v>
      </c>
      <c r="AM374" s="2" t="s">
        <v>76</v>
      </c>
      <c r="AN374" s="2" t="s">
        <v>72</v>
      </c>
      <c r="AO374" s="2" t="s">
        <v>72</v>
      </c>
      <c r="AQ374" s="2" t="s">
        <v>75</v>
      </c>
      <c r="AR374" s="2" t="s">
        <v>76</v>
      </c>
      <c r="AS374" s="1">
        <v>2096.0</v>
      </c>
      <c r="AT374" s="1">
        <v>2096.0</v>
      </c>
      <c r="AU374" s="1">
        <v>892.0</v>
      </c>
      <c r="AV374" s="1">
        <v>57.0</v>
      </c>
      <c r="AW374" s="1">
        <v>205.0</v>
      </c>
      <c r="AX374" s="1">
        <v>5426.0</v>
      </c>
      <c r="AY374" s="1">
        <v>15.0</v>
      </c>
      <c r="AZ374" s="1" t="s">
        <v>1401</v>
      </c>
      <c r="BA374" s="1" t="s">
        <v>121</v>
      </c>
    </row>
    <row r="375">
      <c r="A375" s="1" t="s">
        <v>1446</v>
      </c>
      <c r="B375" s="1" t="s">
        <v>53</v>
      </c>
      <c r="C375" s="1">
        <v>2015.0</v>
      </c>
      <c r="D375" s="1" t="s">
        <v>1447</v>
      </c>
      <c r="E375" s="1" t="s">
        <v>1448</v>
      </c>
      <c r="F375" s="1" t="s">
        <v>1186</v>
      </c>
      <c r="G375" s="1" t="s">
        <v>1449</v>
      </c>
      <c r="H375" s="1" t="s">
        <v>1450</v>
      </c>
      <c r="I375" s="1">
        <v>365.0</v>
      </c>
      <c r="K375" s="2" t="s">
        <v>1451</v>
      </c>
      <c r="L375" s="2" t="s">
        <v>60</v>
      </c>
      <c r="M375" s="1" t="s">
        <v>1462</v>
      </c>
      <c r="N375" s="1" t="s">
        <v>62</v>
      </c>
      <c r="O375" s="1" t="s">
        <v>92</v>
      </c>
      <c r="P375" s="1" t="s">
        <v>1453</v>
      </c>
      <c r="Q375" s="1">
        <v>17.718838</v>
      </c>
      <c r="R375" s="1">
        <v>-91.695387</v>
      </c>
      <c r="S375" s="1" t="s">
        <v>1454</v>
      </c>
      <c r="T375" s="2" t="s">
        <v>293</v>
      </c>
      <c r="U375" s="3" t="s">
        <v>1353</v>
      </c>
      <c r="V375" s="3" t="s">
        <v>788</v>
      </c>
      <c r="W375" s="1" t="s">
        <v>1463</v>
      </c>
      <c r="X375" s="1" t="s">
        <v>70</v>
      </c>
      <c r="Y375" s="5" t="s">
        <v>60</v>
      </c>
      <c r="Z375" s="3" t="s">
        <v>118</v>
      </c>
      <c r="AB375" s="1">
        <v>7.0</v>
      </c>
      <c r="AC375" s="1">
        <v>3.0</v>
      </c>
      <c r="AI375" s="1" t="s">
        <v>1457</v>
      </c>
      <c r="AJ375" s="1">
        <v>-65000.0</v>
      </c>
      <c r="AK375" s="1">
        <v>980.0</v>
      </c>
      <c r="AL375" s="2" t="s">
        <v>100</v>
      </c>
      <c r="AM375" s="2" t="s">
        <v>76</v>
      </c>
      <c r="AN375" s="2" t="s">
        <v>72</v>
      </c>
      <c r="AO375" s="2" t="s">
        <v>72</v>
      </c>
      <c r="AQ375" s="2" t="s">
        <v>75</v>
      </c>
      <c r="AR375" s="2" t="s">
        <v>76</v>
      </c>
      <c r="AS375" s="1">
        <v>2096.0</v>
      </c>
      <c r="AT375" s="1">
        <v>2096.0</v>
      </c>
      <c r="AU375" s="1">
        <v>892.0</v>
      </c>
      <c r="AV375" s="1">
        <v>57.0</v>
      </c>
      <c r="AW375" s="1">
        <v>205.0</v>
      </c>
      <c r="AX375" s="1">
        <v>5426.0</v>
      </c>
      <c r="AY375" s="1">
        <v>15.0</v>
      </c>
      <c r="AZ375" s="1" t="s">
        <v>1401</v>
      </c>
      <c r="BA375" s="1" t="s">
        <v>121</v>
      </c>
    </row>
    <row r="376">
      <c r="A376" s="1" t="s">
        <v>1446</v>
      </c>
      <c r="B376" s="1" t="s">
        <v>53</v>
      </c>
      <c r="C376" s="1">
        <v>2015.0</v>
      </c>
      <c r="D376" s="1" t="s">
        <v>1447</v>
      </c>
      <c r="E376" s="1" t="s">
        <v>1448</v>
      </c>
      <c r="F376" s="1" t="s">
        <v>1186</v>
      </c>
      <c r="G376" s="1" t="s">
        <v>1449</v>
      </c>
      <c r="H376" s="1" t="s">
        <v>1450</v>
      </c>
      <c r="I376" s="1">
        <v>365.0</v>
      </c>
      <c r="K376" s="2" t="s">
        <v>1451</v>
      </c>
      <c r="L376" s="2" t="s">
        <v>60</v>
      </c>
      <c r="M376" s="1" t="s">
        <v>1464</v>
      </c>
      <c r="N376" s="1" t="s">
        <v>62</v>
      </c>
      <c r="O376" s="1" t="s">
        <v>92</v>
      </c>
      <c r="P376" s="1" t="s">
        <v>1453</v>
      </c>
      <c r="Q376" s="1">
        <v>17.718838</v>
      </c>
      <c r="R376" s="1">
        <v>-91.695387</v>
      </c>
      <c r="S376" s="1" t="s">
        <v>1454</v>
      </c>
      <c r="T376" s="2" t="s">
        <v>275</v>
      </c>
      <c r="U376" s="1" t="s">
        <v>1460</v>
      </c>
      <c r="V376" s="3" t="s">
        <v>97</v>
      </c>
      <c r="W376" s="1" t="s">
        <v>278</v>
      </c>
      <c r="X376" s="1" t="s">
        <v>279</v>
      </c>
      <c r="Y376" s="6" t="s">
        <v>76</v>
      </c>
      <c r="Z376" s="3" t="s">
        <v>76</v>
      </c>
      <c r="AB376" s="1">
        <v>7.0</v>
      </c>
      <c r="AC376" s="1">
        <v>3.0</v>
      </c>
      <c r="AI376" s="1" t="s">
        <v>1457</v>
      </c>
      <c r="AJ376" s="1">
        <v>-65000.0</v>
      </c>
      <c r="AK376" s="1">
        <v>980.0</v>
      </c>
      <c r="AL376" s="2" t="s">
        <v>100</v>
      </c>
      <c r="AM376" s="2" t="s">
        <v>76</v>
      </c>
      <c r="AN376" s="2" t="s">
        <v>72</v>
      </c>
      <c r="AO376" s="2" t="s">
        <v>72</v>
      </c>
      <c r="AQ376" s="2" t="s">
        <v>75</v>
      </c>
      <c r="AR376" s="2" t="s">
        <v>76</v>
      </c>
      <c r="AS376" s="1">
        <v>2096.0</v>
      </c>
      <c r="AT376" s="1">
        <v>2096.0</v>
      </c>
      <c r="AU376" s="1">
        <v>892.0</v>
      </c>
      <c r="AV376" s="1">
        <v>57.0</v>
      </c>
      <c r="AW376" s="1">
        <v>205.0</v>
      </c>
      <c r="AX376" s="1">
        <v>5426.0</v>
      </c>
      <c r="AY376" s="1">
        <v>15.0</v>
      </c>
      <c r="AZ376" s="1" t="s">
        <v>1401</v>
      </c>
      <c r="BA376" s="1" t="s">
        <v>121</v>
      </c>
    </row>
    <row r="377">
      <c r="A377" s="1" t="s">
        <v>1465</v>
      </c>
      <c r="B377" s="1" t="s">
        <v>53</v>
      </c>
      <c r="C377" s="1">
        <v>2016.0</v>
      </c>
      <c r="D377" s="1" t="s">
        <v>1466</v>
      </c>
      <c r="E377" s="1" t="s">
        <v>1467</v>
      </c>
      <c r="F377" s="1" t="s">
        <v>1186</v>
      </c>
      <c r="G377" s="1" t="s">
        <v>1468</v>
      </c>
      <c r="H377" s="1" t="s">
        <v>1469</v>
      </c>
      <c r="I377" s="1">
        <v>418.0</v>
      </c>
      <c r="K377" s="2" t="s">
        <v>1470</v>
      </c>
      <c r="L377" s="2" t="s">
        <v>76</v>
      </c>
      <c r="M377" s="1" t="s">
        <v>1465</v>
      </c>
      <c r="N377" s="1" t="s">
        <v>62</v>
      </c>
      <c r="O377" s="1" t="s">
        <v>92</v>
      </c>
      <c r="P377" s="1" t="s">
        <v>1453</v>
      </c>
      <c r="Q377" s="1">
        <v>17.718838</v>
      </c>
      <c r="R377" s="1">
        <v>-91.695387</v>
      </c>
      <c r="S377" s="1" t="s">
        <v>1454</v>
      </c>
      <c r="T377" s="2" t="s">
        <v>382</v>
      </c>
      <c r="U377" s="2" t="s">
        <v>1471</v>
      </c>
      <c r="V377" s="3" t="s">
        <v>68</v>
      </c>
      <c r="W377" s="1" t="s">
        <v>1472</v>
      </c>
      <c r="X377" s="2" t="s">
        <v>544</v>
      </c>
      <c r="Y377" s="6" t="s">
        <v>76</v>
      </c>
      <c r="Z377" s="3" t="s">
        <v>76</v>
      </c>
      <c r="AB377" s="1">
        <v>2.0</v>
      </c>
      <c r="AC377" s="1">
        <v>3.0</v>
      </c>
      <c r="AI377" s="2" t="s">
        <v>1473</v>
      </c>
      <c r="AJ377" s="1">
        <v>-121000.0</v>
      </c>
      <c r="AK377" s="1">
        <v>2000.0</v>
      </c>
      <c r="AL377" s="2" t="s">
        <v>73</v>
      </c>
      <c r="AM377" s="2" t="s">
        <v>72</v>
      </c>
      <c r="AN377" s="2" t="s">
        <v>72</v>
      </c>
      <c r="AO377" s="2" t="s">
        <v>72</v>
      </c>
      <c r="AQ377" s="2" t="s">
        <v>75</v>
      </c>
      <c r="AR377" s="2" t="s">
        <v>76</v>
      </c>
      <c r="AS377" s="1">
        <v>2096.0</v>
      </c>
      <c r="AT377" s="1">
        <v>2096.0</v>
      </c>
      <c r="AU377" s="1">
        <v>892.0</v>
      </c>
      <c r="AV377" s="1">
        <v>57.0</v>
      </c>
      <c r="AW377" s="1">
        <v>205.0</v>
      </c>
      <c r="AX377" s="1">
        <v>5426.0</v>
      </c>
      <c r="AY377" s="1">
        <v>15.0</v>
      </c>
      <c r="AZ377" s="1" t="s">
        <v>1401</v>
      </c>
      <c r="BA377" s="1" t="s">
        <v>121</v>
      </c>
    </row>
    <row r="378">
      <c r="A378" s="1" t="s">
        <v>1474</v>
      </c>
      <c r="B378" s="1" t="s">
        <v>53</v>
      </c>
      <c r="C378" s="1">
        <v>2019.0</v>
      </c>
      <c r="D378" s="1" t="s">
        <v>1475</v>
      </c>
      <c r="E378" s="1" t="s">
        <v>1476</v>
      </c>
      <c r="F378" s="1" t="s">
        <v>1477</v>
      </c>
      <c r="G378" s="1" t="s">
        <v>1478</v>
      </c>
      <c r="H378" s="1" t="s">
        <v>1479</v>
      </c>
      <c r="I378" s="1">
        <v>502.0</v>
      </c>
      <c r="J378" s="1" t="s">
        <v>1480</v>
      </c>
      <c r="K378" s="2" t="s">
        <v>1481</v>
      </c>
      <c r="L378" s="2" t="s">
        <v>60</v>
      </c>
      <c r="M378" s="1" t="s">
        <v>1482</v>
      </c>
      <c r="N378" s="1" t="s">
        <v>62</v>
      </c>
      <c r="O378" s="1" t="s">
        <v>187</v>
      </c>
      <c r="P378" s="1" t="s">
        <v>1483</v>
      </c>
      <c r="Q378" s="1">
        <v>17.841587</v>
      </c>
      <c r="R378" s="1">
        <v>-89.018687</v>
      </c>
      <c r="S378" s="1" t="s">
        <v>1484</v>
      </c>
      <c r="T378" s="2" t="s">
        <v>80</v>
      </c>
      <c r="U378" s="3" t="s">
        <v>81</v>
      </c>
      <c r="V378" s="3" t="s">
        <v>68</v>
      </c>
      <c r="W378" s="2" t="s">
        <v>72</v>
      </c>
      <c r="X378" s="2" t="s">
        <v>72</v>
      </c>
      <c r="Y378" s="6" t="s">
        <v>76</v>
      </c>
      <c r="Z378" s="3" t="s">
        <v>84</v>
      </c>
      <c r="AB378" s="1">
        <v>5.0</v>
      </c>
      <c r="AI378" s="1" t="s">
        <v>399</v>
      </c>
      <c r="AJ378" s="1">
        <v>-1700.0</v>
      </c>
      <c r="AK378" s="1">
        <v>1950.0</v>
      </c>
      <c r="AL378" s="2" t="s">
        <v>100</v>
      </c>
      <c r="AM378" s="2" t="s">
        <v>76</v>
      </c>
      <c r="AN378" s="2" t="s">
        <v>72</v>
      </c>
      <c r="AO378" s="2" t="s">
        <v>72</v>
      </c>
      <c r="AQ378" s="2" t="s">
        <v>75</v>
      </c>
      <c r="AR378" s="2" t="s">
        <v>76</v>
      </c>
      <c r="AS378" s="1">
        <v>1441.0</v>
      </c>
      <c r="AT378" s="1">
        <v>1441.0</v>
      </c>
      <c r="AU378" s="1">
        <v>575.0</v>
      </c>
      <c r="AV378" s="1">
        <v>35.0</v>
      </c>
      <c r="AW378" s="1">
        <v>118.0</v>
      </c>
      <c r="AX378" s="1">
        <v>5597.0</v>
      </c>
      <c r="AY378" s="1">
        <v>150.0</v>
      </c>
      <c r="AZ378" s="1" t="s">
        <v>133</v>
      </c>
      <c r="BA378" s="1" t="s">
        <v>121</v>
      </c>
    </row>
    <row r="379">
      <c r="A379" s="1" t="s">
        <v>1474</v>
      </c>
      <c r="B379" s="1" t="s">
        <v>53</v>
      </c>
      <c r="C379" s="1">
        <v>2019.0</v>
      </c>
      <c r="D379" s="1" t="s">
        <v>1475</v>
      </c>
      <c r="E379" s="1" t="s">
        <v>1476</v>
      </c>
      <c r="F379" s="1" t="s">
        <v>1477</v>
      </c>
      <c r="G379" s="1" t="s">
        <v>1478</v>
      </c>
      <c r="H379" s="1" t="s">
        <v>1479</v>
      </c>
      <c r="I379" s="1">
        <v>502.0</v>
      </c>
      <c r="J379" s="1" t="s">
        <v>1480</v>
      </c>
      <c r="K379" s="2" t="s">
        <v>1481</v>
      </c>
      <c r="L379" s="2" t="s">
        <v>60</v>
      </c>
      <c r="M379" s="1" t="s">
        <v>1485</v>
      </c>
      <c r="N379" s="1" t="s">
        <v>62</v>
      </c>
      <c r="O379" s="1" t="s">
        <v>187</v>
      </c>
      <c r="P379" s="1" t="s">
        <v>1483</v>
      </c>
      <c r="Q379" s="1">
        <v>17.841587</v>
      </c>
      <c r="R379" s="1">
        <v>-89.018687</v>
      </c>
      <c r="S379" s="1" t="s">
        <v>1484</v>
      </c>
      <c r="T379" s="2" t="s">
        <v>321</v>
      </c>
      <c r="U379" s="3" t="s">
        <v>81</v>
      </c>
      <c r="V379" s="3" t="s">
        <v>68</v>
      </c>
      <c r="W379" s="2" t="s">
        <v>72</v>
      </c>
      <c r="X379" s="2" t="s">
        <v>72</v>
      </c>
      <c r="Y379" s="6" t="s">
        <v>76</v>
      </c>
      <c r="Z379" s="3" t="s">
        <v>84</v>
      </c>
      <c r="AB379" s="1">
        <v>5.0</v>
      </c>
      <c r="AI379" s="1" t="s">
        <v>399</v>
      </c>
      <c r="AJ379" s="1">
        <v>-1700.0</v>
      </c>
      <c r="AK379" s="1">
        <v>1950.0</v>
      </c>
      <c r="AL379" s="2" t="s">
        <v>100</v>
      </c>
      <c r="AM379" s="2" t="s">
        <v>76</v>
      </c>
      <c r="AN379" s="2" t="s">
        <v>72</v>
      </c>
      <c r="AO379" s="2" t="s">
        <v>72</v>
      </c>
      <c r="AQ379" s="2" t="s">
        <v>75</v>
      </c>
      <c r="AR379" s="2" t="s">
        <v>76</v>
      </c>
      <c r="AS379" s="1">
        <v>1441.0</v>
      </c>
      <c r="AT379" s="1">
        <v>1441.0</v>
      </c>
      <c r="AU379" s="1">
        <v>575.0</v>
      </c>
      <c r="AV379" s="1">
        <v>35.0</v>
      </c>
      <c r="AW379" s="1">
        <v>118.0</v>
      </c>
      <c r="AX379" s="1">
        <v>5597.0</v>
      </c>
      <c r="AY379" s="1">
        <v>150.0</v>
      </c>
      <c r="AZ379" s="1" t="s">
        <v>133</v>
      </c>
      <c r="BA379" s="1" t="s">
        <v>121</v>
      </c>
    </row>
    <row r="380">
      <c r="A380" s="1" t="s">
        <v>1474</v>
      </c>
      <c r="B380" s="1" t="s">
        <v>53</v>
      </c>
      <c r="C380" s="1">
        <v>2019.0</v>
      </c>
      <c r="D380" s="1" t="s">
        <v>1475</v>
      </c>
      <c r="E380" s="1" t="s">
        <v>1476</v>
      </c>
      <c r="F380" s="1" t="s">
        <v>1477</v>
      </c>
      <c r="G380" s="1" t="s">
        <v>1478</v>
      </c>
      <c r="H380" s="1" t="s">
        <v>1479</v>
      </c>
      <c r="I380" s="1">
        <v>502.0</v>
      </c>
      <c r="J380" s="1" t="s">
        <v>1480</v>
      </c>
      <c r="K380" s="2" t="s">
        <v>1481</v>
      </c>
      <c r="L380" s="2" t="s">
        <v>60</v>
      </c>
      <c r="M380" s="1" t="s">
        <v>1486</v>
      </c>
      <c r="N380" s="1" t="s">
        <v>62</v>
      </c>
      <c r="O380" s="1" t="s">
        <v>187</v>
      </c>
      <c r="P380" s="1" t="s">
        <v>1483</v>
      </c>
      <c r="Q380" s="1">
        <v>17.841587</v>
      </c>
      <c r="R380" s="1">
        <v>-89.018687</v>
      </c>
      <c r="S380" s="1" t="s">
        <v>1484</v>
      </c>
      <c r="T380" s="3" t="s">
        <v>66</v>
      </c>
      <c r="U380" s="3" t="s">
        <v>67</v>
      </c>
      <c r="V380" s="3" t="s">
        <v>68</v>
      </c>
      <c r="W380" s="1" t="s">
        <v>1487</v>
      </c>
      <c r="X380" s="2" t="s">
        <v>72</v>
      </c>
      <c r="Y380" s="5" t="s">
        <v>60</v>
      </c>
      <c r="Z380" s="3" t="s">
        <v>345</v>
      </c>
      <c r="AB380" s="1">
        <v>5.0</v>
      </c>
      <c r="AI380" s="1" t="s">
        <v>399</v>
      </c>
      <c r="AJ380" s="1">
        <v>-1700.0</v>
      </c>
      <c r="AK380" s="1">
        <v>1950.0</v>
      </c>
      <c r="AL380" s="2" t="s">
        <v>100</v>
      </c>
      <c r="AM380" s="2" t="s">
        <v>76</v>
      </c>
      <c r="AN380" s="2" t="s">
        <v>72</v>
      </c>
      <c r="AO380" s="2" t="s">
        <v>72</v>
      </c>
      <c r="AQ380" s="2" t="s">
        <v>75</v>
      </c>
      <c r="AR380" s="2" t="s">
        <v>76</v>
      </c>
      <c r="AS380" s="1">
        <v>1441.0</v>
      </c>
      <c r="AT380" s="1">
        <v>1441.0</v>
      </c>
      <c r="AU380" s="1">
        <v>575.0</v>
      </c>
      <c r="AV380" s="1">
        <v>35.0</v>
      </c>
      <c r="AW380" s="1">
        <v>118.0</v>
      </c>
      <c r="AX380" s="1">
        <v>5597.0</v>
      </c>
      <c r="AY380" s="1">
        <v>150.0</v>
      </c>
      <c r="AZ380" s="1" t="s">
        <v>133</v>
      </c>
      <c r="BA380" s="1" t="s">
        <v>121</v>
      </c>
    </row>
    <row r="381">
      <c r="A381" s="1" t="s">
        <v>1474</v>
      </c>
      <c r="B381" s="1" t="s">
        <v>53</v>
      </c>
      <c r="C381" s="1">
        <v>2019.0</v>
      </c>
      <c r="D381" s="1" t="s">
        <v>1475</v>
      </c>
      <c r="E381" s="1" t="s">
        <v>1476</v>
      </c>
      <c r="F381" s="1" t="s">
        <v>1477</v>
      </c>
      <c r="G381" s="1" t="s">
        <v>1478</v>
      </c>
      <c r="H381" s="1" t="s">
        <v>1479</v>
      </c>
      <c r="I381" s="1">
        <v>502.0</v>
      </c>
      <c r="J381" s="1" t="s">
        <v>1480</v>
      </c>
      <c r="K381" s="2" t="s">
        <v>1481</v>
      </c>
      <c r="L381" s="2" t="s">
        <v>60</v>
      </c>
      <c r="M381" s="1" t="s">
        <v>1488</v>
      </c>
      <c r="N381" s="1" t="s">
        <v>62</v>
      </c>
      <c r="O381" s="1" t="s">
        <v>187</v>
      </c>
      <c r="P381" s="1" t="s">
        <v>1483</v>
      </c>
      <c r="Q381" s="1">
        <v>17.841587</v>
      </c>
      <c r="R381" s="1">
        <v>-89.018687</v>
      </c>
      <c r="S381" s="1" t="s">
        <v>1484</v>
      </c>
      <c r="T381" s="2" t="s">
        <v>293</v>
      </c>
      <c r="U381" s="3" t="s">
        <v>67</v>
      </c>
      <c r="V381" s="3" t="s">
        <v>68</v>
      </c>
      <c r="W381" s="1" t="s">
        <v>1489</v>
      </c>
      <c r="X381" s="2" t="s">
        <v>72</v>
      </c>
      <c r="Y381" s="5" t="s">
        <v>76</v>
      </c>
      <c r="Z381" s="3" t="s">
        <v>84</v>
      </c>
      <c r="AB381" s="1">
        <v>5.0</v>
      </c>
      <c r="AI381" s="1" t="s">
        <v>399</v>
      </c>
      <c r="AJ381" s="1">
        <v>-1700.0</v>
      </c>
      <c r="AK381" s="1">
        <v>1950.0</v>
      </c>
      <c r="AL381" s="2" t="s">
        <v>100</v>
      </c>
      <c r="AM381" s="2" t="s">
        <v>76</v>
      </c>
      <c r="AN381" s="2" t="s">
        <v>72</v>
      </c>
      <c r="AO381" s="2" t="s">
        <v>72</v>
      </c>
      <c r="AQ381" s="2" t="s">
        <v>75</v>
      </c>
      <c r="AR381" s="2" t="s">
        <v>76</v>
      </c>
      <c r="AS381" s="1">
        <v>1441.0</v>
      </c>
      <c r="AT381" s="1">
        <v>1441.0</v>
      </c>
      <c r="AU381" s="1">
        <v>575.0</v>
      </c>
      <c r="AV381" s="1">
        <v>35.0</v>
      </c>
      <c r="AW381" s="1">
        <v>118.0</v>
      </c>
      <c r="AX381" s="1">
        <v>5597.0</v>
      </c>
      <c r="AY381" s="1">
        <v>150.0</v>
      </c>
      <c r="AZ381" s="1" t="s">
        <v>133</v>
      </c>
      <c r="BA381" s="1" t="s">
        <v>121</v>
      </c>
    </row>
    <row r="382">
      <c r="A382" s="1" t="s">
        <v>1474</v>
      </c>
      <c r="B382" s="1" t="s">
        <v>53</v>
      </c>
      <c r="C382" s="1">
        <v>2019.0</v>
      </c>
      <c r="D382" s="1" t="s">
        <v>1475</v>
      </c>
      <c r="E382" s="1" t="s">
        <v>1476</v>
      </c>
      <c r="F382" s="1" t="s">
        <v>1477</v>
      </c>
      <c r="G382" s="1" t="s">
        <v>1478</v>
      </c>
      <c r="H382" s="1" t="s">
        <v>1479</v>
      </c>
      <c r="I382" s="1">
        <v>502.0</v>
      </c>
      <c r="J382" s="1" t="s">
        <v>1480</v>
      </c>
      <c r="K382" s="2" t="s">
        <v>1481</v>
      </c>
      <c r="L382" s="2" t="s">
        <v>60</v>
      </c>
      <c r="M382" s="1" t="s">
        <v>1490</v>
      </c>
      <c r="N382" s="1" t="s">
        <v>62</v>
      </c>
      <c r="O382" s="1" t="s">
        <v>187</v>
      </c>
      <c r="P382" s="1" t="s">
        <v>1483</v>
      </c>
      <c r="Q382" s="1">
        <v>17.841587</v>
      </c>
      <c r="R382" s="1">
        <v>-89.018687</v>
      </c>
      <c r="S382" s="1" t="s">
        <v>1484</v>
      </c>
      <c r="T382" s="2" t="s">
        <v>382</v>
      </c>
      <c r="U382" s="1" t="s">
        <v>173</v>
      </c>
      <c r="V382" s="3" t="s">
        <v>68</v>
      </c>
      <c r="W382" s="1" t="s">
        <v>1491</v>
      </c>
      <c r="X382" s="1" t="s">
        <v>968</v>
      </c>
      <c r="Y382" s="6" t="s">
        <v>76</v>
      </c>
      <c r="Z382" s="3" t="s">
        <v>173</v>
      </c>
      <c r="AB382" s="1">
        <v>5.0</v>
      </c>
      <c r="AI382" s="1" t="s">
        <v>399</v>
      </c>
      <c r="AJ382" s="1">
        <v>-1700.0</v>
      </c>
      <c r="AK382" s="1">
        <v>1950.0</v>
      </c>
      <c r="AL382" s="2" t="s">
        <v>100</v>
      </c>
      <c r="AM382" s="2" t="s">
        <v>76</v>
      </c>
      <c r="AN382" s="2" t="s">
        <v>72</v>
      </c>
      <c r="AO382" s="2" t="s">
        <v>72</v>
      </c>
      <c r="AQ382" s="2" t="s">
        <v>75</v>
      </c>
      <c r="AR382" s="2" t="s">
        <v>76</v>
      </c>
      <c r="AS382" s="1">
        <v>1441.0</v>
      </c>
      <c r="AT382" s="1">
        <v>1441.0</v>
      </c>
      <c r="AU382" s="1">
        <v>575.0</v>
      </c>
      <c r="AV382" s="1">
        <v>35.0</v>
      </c>
      <c r="AW382" s="1">
        <v>118.0</v>
      </c>
      <c r="AX382" s="1">
        <v>5597.0</v>
      </c>
      <c r="AY382" s="1">
        <v>150.0</v>
      </c>
      <c r="AZ382" s="1" t="s">
        <v>133</v>
      </c>
      <c r="BA382" s="1" t="s">
        <v>121</v>
      </c>
    </row>
    <row r="383">
      <c r="A383" s="1" t="s">
        <v>1474</v>
      </c>
      <c r="B383" s="1" t="s">
        <v>53</v>
      </c>
      <c r="C383" s="1">
        <v>2019.0</v>
      </c>
      <c r="D383" s="1" t="s">
        <v>1475</v>
      </c>
      <c r="E383" s="1" t="s">
        <v>1476</v>
      </c>
      <c r="F383" s="1" t="s">
        <v>1477</v>
      </c>
      <c r="G383" s="1" t="s">
        <v>1478</v>
      </c>
      <c r="H383" s="1" t="s">
        <v>1479</v>
      </c>
      <c r="I383" s="1">
        <v>502.0</v>
      </c>
      <c r="J383" s="1" t="s">
        <v>1480</v>
      </c>
      <c r="K383" s="2" t="s">
        <v>1481</v>
      </c>
      <c r="L383" s="2" t="s">
        <v>60</v>
      </c>
      <c r="M383" s="1" t="s">
        <v>1492</v>
      </c>
      <c r="N383" s="1" t="s">
        <v>62</v>
      </c>
      <c r="O383" s="1" t="s">
        <v>187</v>
      </c>
      <c r="P383" s="1" t="s">
        <v>1483</v>
      </c>
      <c r="Q383" s="1">
        <v>17.841587</v>
      </c>
      <c r="R383" s="1">
        <v>-89.018687</v>
      </c>
      <c r="S383" s="1" t="s">
        <v>1484</v>
      </c>
      <c r="T383" s="2" t="s">
        <v>194</v>
      </c>
      <c r="U383" s="1" t="s">
        <v>173</v>
      </c>
      <c r="V383" s="3" t="s">
        <v>68</v>
      </c>
      <c r="W383" s="1" t="s">
        <v>286</v>
      </c>
      <c r="X383" s="1" t="s">
        <v>70</v>
      </c>
      <c r="Y383" s="6" t="s">
        <v>76</v>
      </c>
      <c r="Z383" s="3" t="s">
        <v>173</v>
      </c>
      <c r="AB383" s="1">
        <v>5.0</v>
      </c>
      <c r="AI383" s="1" t="s">
        <v>399</v>
      </c>
      <c r="AJ383" s="1">
        <v>-1700.0</v>
      </c>
      <c r="AK383" s="1">
        <v>1950.0</v>
      </c>
      <c r="AL383" s="2" t="s">
        <v>100</v>
      </c>
      <c r="AM383" s="2" t="s">
        <v>76</v>
      </c>
      <c r="AN383" s="2" t="s">
        <v>72</v>
      </c>
      <c r="AO383" s="2" t="s">
        <v>72</v>
      </c>
      <c r="AQ383" s="2" t="s">
        <v>75</v>
      </c>
      <c r="AR383" s="2" t="s">
        <v>76</v>
      </c>
      <c r="AS383" s="1">
        <v>1441.0</v>
      </c>
      <c r="AT383" s="1">
        <v>1441.0</v>
      </c>
      <c r="AU383" s="1">
        <v>575.0</v>
      </c>
      <c r="AV383" s="1">
        <v>35.0</v>
      </c>
      <c r="AW383" s="1">
        <v>118.0</v>
      </c>
      <c r="AX383" s="1">
        <v>5597.0</v>
      </c>
      <c r="AY383" s="1">
        <v>150.0</v>
      </c>
      <c r="AZ383" s="1" t="s">
        <v>133</v>
      </c>
      <c r="BA383" s="1" t="s">
        <v>121</v>
      </c>
    </row>
    <row r="384">
      <c r="A384" s="1" t="s">
        <v>1493</v>
      </c>
      <c r="B384" s="1" t="s">
        <v>53</v>
      </c>
      <c r="C384" s="1">
        <v>2012.0</v>
      </c>
      <c r="D384" s="1" t="s">
        <v>1494</v>
      </c>
      <c r="E384" s="1" t="s">
        <v>1495</v>
      </c>
      <c r="F384" s="1" t="s">
        <v>1395</v>
      </c>
      <c r="G384" s="1" t="s">
        <v>1496</v>
      </c>
      <c r="H384" s="1" t="s">
        <v>1497</v>
      </c>
      <c r="I384" s="1">
        <v>109.0</v>
      </c>
      <c r="J384" s="1">
        <v>31.0</v>
      </c>
      <c r="K384" s="2" t="s">
        <v>1498</v>
      </c>
      <c r="L384" s="2" t="s">
        <v>76</v>
      </c>
      <c r="M384" s="1" t="s">
        <v>1493</v>
      </c>
      <c r="N384" s="1" t="s">
        <v>62</v>
      </c>
      <c r="O384" s="1" t="s">
        <v>167</v>
      </c>
      <c r="P384" s="1" t="s">
        <v>1499</v>
      </c>
      <c r="Q384" s="1">
        <v>17.224425</v>
      </c>
      <c r="R384" s="1">
        <v>-89.613073</v>
      </c>
      <c r="S384" s="1" t="s">
        <v>148</v>
      </c>
      <c r="T384" s="2" t="s">
        <v>275</v>
      </c>
      <c r="U384" s="1" t="s">
        <v>72</v>
      </c>
      <c r="V384" s="3" t="s">
        <v>277</v>
      </c>
      <c r="W384" s="2" t="s">
        <v>72</v>
      </c>
      <c r="X384" s="1" t="s">
        <v>279</v>
      </c>
      <c r="Y384" s="6" t="s">
        <v>76</v>
      </c>
      <c r="Z384" s="3" t="s">
        <v>76</v>
      </c>
      <c r="AA384" s="1">
        <v>1.0</v>
      </c>
      <c r="AB384" s="1">
        <v>1.0</v>
      </c>
      <c r="AI384" s="1" t="s">
        <v>1500</v>
      </c>
      <c r="AJ384" s="1">
        <v>-7010.0</v>
      </c>
      <c r="AK384" s="1">
        <v>1950.0</v>
      </c>
      <c r="AL384" s="2" t="s">
        <v>100</v>
      </c>
      <c r="AM384" s="2" t="s">
        <v>76</v>
      </c>
      <c r="AN384" s="2" t="s">
        <v>72</v>
      </c>
      <c r="AO384" s="2" t="s">
        <v>72</v>
      </c>
      <c r="AQ384" s="2" t="s">
        <v>75</v>
      </c>
      <c r="AR384" s="2" t="s">
        <v>76</v>
      </c>
      <c r="AS384" s="1">
        <v>1644.0</v>
      </c>
      <c r="AT384" s="1">
        <v>1644.0</v>
      </c>
      <c r="AU384" s="1">
        <v>633.0</v>
      </c>
      <c r="AV384" s="1">
        <v>38.0</v>
      </c>
      <c r="AW384" s="1">
        <v>135.0</v>
      </c>
      <c r="AX384" s="1">
        <v>5432.0</v>
      </c>
      <c r="AY384" s="1">
        <v>194.0</v>
      </c>
      <c r="AZ384" s="1" t="s">
        <v>133</v>
      </c>
      <c r="BA384" s="1" t="s">
        <v>121</v>
      </c>
    </row>
    <row r="385">
      <c r="A385" s="1" t="s">
        <v>1474</v>
      </c>
      <c r="B385" s="1" t="s">
        <v>53</v>
      </c>
      <c r="C385" s="1">
        <v>2019.0</v>
      </c>
      <c r="D385" s="1" t="s">
        <v>1475</v>
      </c>
      <c r="E385" s="1" t="s">
        <v>1476</v>
      </c>
      <c r="F385" s="1" t="s">
        <v>1477</v>
      </c>
      <c r="G385" s="1" t="s">
        <v>1478</v>
      </c>
      <c r="H385" s="1" t="s">
        <v>1479</v>
      </c>
      <c r="I385" s="1">
        <v>502.0</v>
      </c>
      <c r="J385" s="1" t="s">
        <v>1480</v>
      </c>
      <c r="K385" s="2" t="s">
        <v>1481</v>
      </c>
      <c r="L385" s="2" t="s">
        <v>60</v>
      </c>
      <c r="M385" s="1" t="s">
        <v>1501</v>
      </c>
      <c r="N385" s="1" t="s">
        <v>62</v>
      </c>
      <c r="O385" s="1" t="s">
        <v>187</v>
      </c>
      <c r="P385" s="1" t="s">
        <v>1483</v>
      </c>
      <c r="Q385" s="1">
        <v>17.841587</v>
      </c>
      <c r="R385" s="1">
        <v>-89.018687</v>
      </c>
      <c r="S385" s="1" t="s">
        <v>1484</v>
      </c>
      <c r="T385" s="2" t="s">
        <v>189</v>
      </c>
      <c r="U385" s="1" t="s">
        <v>173</v>
      </c>
      <c r="V385" s="3" t="s">
        <v>68</v>
      </c>
      <c r="W385" s="1" t="s">
        <v>284</v>
      </c>
      <c r="X385" s="1" t="s">
        <v>70</v>
      </c>
      <c r="Y385" s="6" t="s">
        <v>76</v>
      </c>
      <c r="Z385" s="3" t="s">
        <v>173</v>
      </c>
      <c r="AB385" s="1">
        <v>5.0</v>
      </c>
      <c r="AI385" s="1" t="s">
        <v>399</v>
      </c>
      <c r="AJ385" s="1">
        <v>-1700.0</v>
      </c>
      <c r="AK385" s="1">
        <v>1950.0</v>
      </c>
      <c r="AL385" s="2" t="s">
        <v>100</v>
      </c>
      <c r="AM385" s="2" t="s">
        <v>76</v>
      </c>
      <c r="AN385" s="2" t="s">
        <v>72</v>
      </c>
      <c r="AO385" s="2" t="s">
        <v>72</v>
      </c>
      <c r="AQ385" s="2" t="s">
        <v>75</v>
      </c>
      <c r="AR385" s="2" t="s">
        <v>76</v>
      </c>
      <c r="AS385" s="1">
        <v>1441.0</v>
      </c>
      <c r="AT385" s="1">
        <v>1441.0</v>
      </c>
      <c r="AU385" s="1">
        <v>575.0</v>
      </c>
      <c r="AV385" s="1">
        <v>35.0</v>
      </c>
      <c r="AW385" s="1">
        <v>118.0</v>
      </c>
      <c r="AX385" s="1">
        <v>5597.0</v>
      </c>
      <c r="AY385" s="1">
        <v>150.0</v>
      </c>
      <c r="AZ385" s="1" t="s">
        <v>133</v>
      </c>
      <c r="BA385" s="1" t="s">
        <v>121</v>
      </c>
    </row>
    <row r="386">
      <c r="A386" s="1" t="s">
        <v>1474</v>
      </c>
      <c r="B386" s="1" t="s">
        <v>53</v>
      </c>
      <c r="C386" s="1">
        <v>2019.0</v>
      </c>
      <c r="D386" s="1" t="s">
        <v>1475</v>
      </c>
      <c r="E386" s="1" t="s">
        <v>1476</v>
      </c>
      <c r="F386" s="1" t="s">
        <v>1477</v>
      </c>
      <c r="G386" s="1" t="s">
        <v>1478</v>
      </c>
      <c r="H386" s="1" t="s">
        <v>1479</v>
      </c>
      <c r="I386" s="1">
        <v>502.0</v>
      </c>
      <c r="J386" s="1" t="s">
        <v>1480</v>
      </c>
      <c r="K386" s="2" t="s">
        <v>1481</v>
      </c>
      <c r="L386" s="2" t="s">
        <v>60</v>
      </c>
      <c r="M386" s="1" t="s">
        <v>1502</v>
      </c>
      <c r="N386" s="1" t="s">
        <v>62</v>
      </c>
      <c r="O386" s="1" t="s">
        <v>187</v>
      </c>
      <c r="P386" s="1" t="s">
        <v>1483</v>
      </c>
      <c r="Q386" s="1">
        <v>17.841587</v>
      </c>
      <c r="R386" s="1">
        <v>-89.018687</v>
      </c>
      <c r="S386" s="1" t="s">
        <v>1484</v>
      </c>
      <c r="T386" s="2" t="s">
        <v>135</v>
      </c>
      <c r="U386" s="3" t="s">
        <v>67</v>
      </c>
      <c r="V386" s="3" t="s">
        <v>68</v>
      </c>
      <c r="W386" s="1" t="s">
        <v>1503</v>
      </c>
      <c r="X386" s="1" t="s">
        <v>256</v>
      </c>
      <c r="Y386" s="6" t="s">
        <v>76</v>
      </c>
      <c r="Z386" s="3" t="s">
        <v>411</v>
      </c>
      <c r="AB386" s="1">
        <v>5.0</v>
      </c>
      <c r="AI386" s="1" t="s">
        <v>399</v>
      </c>
      <c r="AJ386" s="1">
        <v>-1700.0</v>
      </c>
      <c r="AK386" s="1">
        <v>1950.0</v>
      </c>
      <c r="AL386" s="2" t="s">
        <v>100</v>
      </c>
      <c r="AM386" s="2" t="s">
        <v>76</v>
      </c>
      <c r="AN386" s="2" t="s">
        <v>72</v>
      </c>
      <c r="AO386" s="2" t="s">
        <v>72</v>
      </c>
      <c r="AQ386" s="2" t="s">
        <v>75</v>
      </c>
      <c r="AR386" s="2" t="s">
        <v>76</v>
      </c>
      <c r="AS386" s="1">
        <v>1441.0</v>
      </c>
      <c r="AT386" s="1">
        <v>1441.0</v>
      </c>
      <c r="AU386" s="1">
        <v>575.0</v>
      </c>
      <c r="AV386" s="1">
        <v>35.0</v>
      </c>
      <c r="AW386" s="1">
        <v>118.0</v>
      </c>
      <c r="AX386" s="1">
        <v>5597.0</v>
      </c>
      <c r="AY386" s="1">
        <v>150.0</v>
      </c>
      <c r="AZ386" s="1" t="s">
        <v>133</v>
      </c>
      <c r="BA386" s="1" t="s">
        <v>121</v>
      </c>
    </row>
    <row r="387">
      <c r="A387" s="1" t="s">
        <v>1474</v>
      </c>
      <c r="B387" s="1" t="s">
        <v>53</v>
      </c>
      <c r="C387" s="1">
        <v>2019.0</v>
      </c>
      <c r="D387" s="1" t="s">
        <v>1475</v>
      </c>
      <c r="E387" s="1" t="s">
        <v>1476</v>
      </c>
      <c r="F387" s="1" t="s">
        <v>1477</v>
      </c>
      <c r="G387" s="1" t="s">
        <v>1478</v>
      </c>
      <c r="H387" s="1" t="s">
        <v>1479</v>
      </c>
      <c r="I387" s="1">
        <v>502.0</v>
      </c>
      <c r="J387" s="1" t="s">
        <v>1480</v>
      </c>
      <c r="K387" s="2" t="s">
        <v>1481</v>
      </c>
      <c r="L387" s="2" t="s">
        <v>60</v>
      </c>
      <c r="M387" s="1" t="s">
        <v>1504</v>
      </c>
      <c r="N387" s="1" t="s">
        <v>62</v>
      </c>
      <c r="O387" s="1" t="s">
        <v>187</v>
      </c>
      <c r="P387" s="1" t="s">
        <v>1483</v>
      </c>
      <c r="Q387" s="1">
        <v>17.841587</v>
      </c>
      <c r="R387" s="1">
        <v>-89.018687</v>
      </c>
      <c r="S387" s="1" t="s">
        <v>1484</v>
      </c>
      <c r="T387" s="2" t="s">
        <v>169</v>
      </c>
      <c r="U387" s="1" t="s">
        <v>173</v>
      </c>
      <c r="V387" s="3" t="s">
        <v>68</v>
      </c>
      <c r="W387" s="1" t="s">
        <v>1044</v>
      </c>
      <c r="X387" s="1" t="s">
        <v>70</v>
      </c>
      <c r="Y387" s="6" t="s">
        <v>76</v>
      </c>
      <c r="Z387" s="3" t="s">
        <v>173</v>
      </c>
      <c r="AB387" s="1">
        <v>5.0</v>
      </c>
      <c r="AI387" s="1" t="s">
        <v>399</v>
      </c>
      <c r="AJ387" s="1">
        <v>-1700.0</v>
      </c>
      <c r="AK387" s="1">
        <v>1950.0</v>
      </c>
      <c r="AL387" s="2" t="s">
        <v>100</v>
      </c>
      <c r="AM387" s="2" t="s">
        <v>76</v>
      </c>
      <c r="AN387" s="2" t="s">
        <v>72</v>
      </c>
      <c r="AO387" s="2" t="s">
        <v>72</v>
      </c>
      <c r="AQ387" s="2" t="s">
        <v>75</v>
      </c>
      <c r="AR387" s="2" t="s">
        <v>76</v>
      </c>
      <c r="AS387" s="1">
        <v>1441.0</v>
      </c>
      <c r="AT387" s="1">
        <v>1441.0</v>
      </c>
      <c r="AU387" s="1">
        <v>575.0</v>
      </c>
      <c r="AV387" s="1">
        <v>35.0</v>
      </c>
      <c r="AW387" s="1">
        <v>118.0</v>
      </c>
      <c r="AX387" s="1">
        <v>5597.0</v>
      </c>
      <c r="AY387" s="1">
        <v>150.0</v>
      </c>
      <c r="AZ387" s="1" t="s">
        <v>133</v>
      </c>
      <c r="BA387" s="1" t="s">
        <v>121</v>
      </c>
    </row>
    <row r="388">
      <c r="A388" s="1" t="s">
        <v>1474</v>
      </c>
      <c r="B388" s="1" t="s">
        <v>53</v>
      </c>
      <c r="C388" s="1">
        <v>2019.0</v>
      </c>
      <c r="D388" s="1" t="s">
        <v>1475</v>
      </c>
      <c r="E388" s="1" t="s">
        <v>1476</v>
      </c>
      <c r="F388" s="1" t="s">
        <v>1477</v>
      </c>
      <c r="G388" s="1" t="s">
        <v>1478</v>
      </c>
      <c r="H388" s="1" t="s">
        <v>1479</v>
      </c>
      <c r="I388" s="1">
        <v>502.0</v>
      </c>
      <c r="J388" s="1" t="s">
        <v>1480</v>
      </c>
      <c r="K388" s="2" t="s">
        <v>1481</v>
      </c>
      <c r="L388" s="2" t="s">
        <v>60</v>
      </c>
      <c r="M388" s="1" t="s">
        <v>1505</v>
      </c>
      <c r="N388" s="1" t="s">
        <v>62</v>
      </c>
      <c r="O388" s="1" t="s">
        <v>187</v>
      </c>
      <c r="P388" s="1" t="s">
        <v>1506</v>
      </c>
      <c r="Q388" s="1">
        <v>17.886007</v>
      </c>
      <c r="R388" s="1">
        <v>-88.899136</v>
      </c>
      <c r="S388" s="1" t="s">
        <v>1484</v>
      </c>
      <c r="T388" s="2" t="s">
        <v>382</v>
      </c>
      <c r="U388" s="1" t="s">
        <v>173</v>
      </c>
      <c r="V388" s="3" t="s">
        <v>68</v>
      </c>
      <c r="W388" s="1" t="s">
        <v>1491</v>
      </c>
      <c r="X388" s="1" t="s">
        <v>968</v>
      </c>
      <c r="Y388" s="6" t="s">
        <v>76</v>
      </c>
      <c r="Z388" s="3" t="s">
        <v>173</v>
      </c>
      <c r="AB388" s="1">
        <v>3.0</v>
      </c>
      <c r="AI388" s="1" t="s">
        <v>399</v>
      </c>
      <c r="AJ388" s="1">
        <v>270.0</v>
      </c>
      <c r="AK388" s="1">
        <v>1950.0</v>
      </c>
      <c r="AL388" s="2" t="s">
        <v>100</v>
      </c>
      <c r="AM388" s="2" t="s">
        <v>76</v>
      </c>
      <c r="AN388" s="2" t="s">
        <v>72</v>
      </c>
      <c r="AO388" s="2" t="s">
        <v>72</v>
      </c>
      <c r="AQ388" s="2" t="s">
        <v>75</v>
      </c>
      <c r="AR388" s="2" t="s">
        <v>76</v>
      </c>
      <c r="AS388" s="1">
        <v>1475.0</v>
      </c>
      <c r="AT388" s="1">
        <v>1475.0</v>
      </c>
      <c r="AU388" s="1">
        <v>592.0</v>
      </c>
      <c r="AV388" s="1">
        <v>37.0</v>
      </c>
      <c r="AW388" s="1">
        <v>119.0</v>
      </c>
      <c r="AX388" s="1">
        <v>5493.0</v>
      </c>
      <c r="AY388" s="1">
        <v>62.0</v>
      </c>
      <c r="AZ388" s="1" t="s">
        <v>133</v>
      </c>
      <c r="BA388" s="1" t="s">
        <v>121</v>
      </c>
    </row>
    <row r="389">
      <c r="A389" s="1" t="s">
        <v>1474</v>
      </c>
      <c r="B389" s="1" t="s">
        <v>53</v>
      </c>
      <c r="C389" s="1">
        <v>2019.0</v>
      </c>
      <c r="D389" s="1" t="s">
        <v>1475</v>
      </c>
      <c r="E389" s="1" t="s">
        <v>1476</v>
      </c>
      <c r="F389" s="1" t="s">
        <v>1477</v>
      </c>
      <c r="G389" s="1" t="s">
        <v>1478</v>
      </c>
      <c r="H389" s="1" t="s">
        <v>1479</v>
      </c>
      <c r="I389" s="1">
        <v>502.0</v>
      </c>
      <c r="J389" s="1" t="s">
        <v>1480</v>
      </c>
      <c r="K389" s="2" t="s">
        <v>1481</v>
      </c>
      <c r="L389" s="2" t="s">
        <v>60</v>
      </c>
      <c r="M389" s="1" t="s">
        <v>1507</v>
      </c>
      <c r="N389" s="1" t="s">
        <v>62</v>
      </c>
      <c r="O389" s="1" t="s">
        <v>187</v>
      </c>
      <c r="P389" s="1" t="s">
        <v>1506</v>
      </c>
      <c r="Q389" s="1">
        <v>17.886007</v>
      </c>
      <c r="R389" s="1">
        <v>-88.899136</v>
      </c>
      <c r="S389" s="1" t="s">
        <v>1484</v>
      </c>
      <c r="T389" s="2" t="s">
        <v>194</v>
      </c>
      <c r="U389" s="1" t="s">
        <v>173</v>
      </c>
      <c r="V389" s="3" t="s">
        <v>68</v>
      </c>
      <c r="W389" s="1" t="s">
        <v>286</v>
      </c>
      <c r="X389" s="1" t="s">
        <v>70</v>
      </c>
      <c r="Y389" s="6" t="s">
        <v>76</v>
      </c>
      <c r="Z389" s="3" t="s">
        <v>173</v>
      </c>
      <c r="AB389" s="1">
        <v>3.0</v>
      </c>
      <c r="AI389" s="1" t="s">
        <v>399</v>
      </c>
      <c r="AJ389" s="1">
        <v>270.0</v>
      </c>
      <c r="AK389" s="1">
        <v>1950.0</v>
      </c>
      <c r="AL389" s="2" t="s">
        <v>100</v>
      </c>
      <c r="AM389" s="2" t="s">
        <v>76</v>
      </c>
      <c r="AN389" s="2" t="s">
        <v>72</v>
      </c>
      <c r="AO389" s="2" t="s">
        <v>72</v>
      </c>
      <c r="AQ389" s="2" t="s">
        <v>75</v>
      </c>
      <c r="AR389" s="2" t="s">
        <v>76</v>
      </c>
      <c r="AS389" s="1">
        <v>1475.0</v>
      </c>
      <c r="AT389" s="1">
        <v>1475.0</v>
      </c>
      <c r="AU389" s="1">
        <v>592.0</v>
      </c>
      <c r="AV389" s="1">
        <v>37.0</v>
      </c>
      <c r="AW389" s="1">
        <v>119.0</v>
      </c>
      <c r="AX389" s="1">
        <v>5493.0</v>
      </c>
      <c r="AY389" s="1">
        <v>62.0</v>
      </c>
      <c r="AZ389" s="1" t="s">
        <v>133</v>
      </c>
      <c r="BA389" s="1" t="s">
        <v>121</v>
      </c>
    </row>
    <row r="390">
      <c r="A390" s="1" t="s">
        <v>1474</v>
      </c>
      <c r="B390" s="1" t="s">
        <v>53</v>
      </c>
      <c r="C390" s="1">
        <v>2019.0</v>
      </c>
      <c r="D390" s="1" t="s">
        <v>1475</v>
      </c>
      <c r="E390" s="1" t="s">
        <v>1476</v>
      </c>
      <c r="F390" s="1" t="s">
        <v>1477</v>
      </c>
      <c r="G390" s="1" t="s">
        <v>1478</v>
      </c>
      <c r="H390" s="1" t="s">
        <v>1479</v>
      </c>
      <c r="I390" s="1">
        <v>502.0</v>
      </c>
      <c r="J390" s="1" t="s">
        <v>1480</v>
      </c>
      <c r="K390" s="2" t="s">
        <v>1481</v>
      </c>
      <c r="L390" s="2" t="s">
        <v>60</v>
      </c>
      <c r="M390" s="1" t="s">
        <v>1508</v>
      </c>
      <c r="N390" s="1" t="s">
        <v>62</v>
      </c>
      <c r="O390" s="1" t="s">
        <v>187</v>
      </c>
      <c r="P390" s="1" t="s">
        <v>1506</v>
      </c>
      <c r="Q390" s="1">
        <v>17.886007</v>
      </c>
      <c r="R390" s="1">
        <v>-88.899136</v>
      </c>
      <c r="S390" s="1" t="s">
        <v>1484</v>
      </c>
      <c r="T390" s="2" t="s">
        <v>189</v>
      </c>
      <c r="U390" s="1" t="s">
        <v>173</v>
      </c>
      <c r="V390" s="3" t="s">
        <v>68</v>
      </c>
      <c r="W390" s="1" t="s">
        <v>284</v>
      </c>
      <c r="X390" s="1" t="s">
        <v>70</v>
      </c>
      <c r="Y390" s="6" t="s">
        <v>76</v>
      </c>
      <c r="Z390" s="3" t="s">
        <v>173</v>
      </c>
      <c r="AB390" s="1">
        <v>3.0</v>
      </c>
      <c r="AI390" s="1" t="s">
        <v>399</v>
      </c>
      <c r="AJ390" s="1">
        <v>270.0</v>
      </c>
      <c r="AK390" s="1">
        <v>1950.0</v>
      </c>
      <c r="AL390" s="2" t="s">
        <v>100</v>
      </c>
      <c r="AM390" s="2" t="s">
        <v>76</v>
      </c>
      <c r="AN390" s="2" t="s">
        <v>72</v>
      </c>
      <c r="AO390" s="2" t="s">
        <v>72</v>
      </c>
      <c r="AQ390" s="2" t="s">
        <v>75</v>
      </c>
      <c r="AR390" s="2" t="s">
        <v>76</v>
      </c>
      <c r="AS390" s="1">
        <v>1475.0</v>
      </c>
      <c r="AT390" s="1">
        <v>1475.0</v>
      </c>
      <c r="AU390" s="1">
        <v>592.0</v>
      </c>
      <c r="AV390" s="1">
        <v>37.0</v>
      </c>
      <c r="AW390" s="1">
        <v>119.0</v>
      </c>
      <c r="AX390" s="1">
        <v>5493.0</v>
      </c>
      <c r="AY390" s="1">
        <v>62.0</v>
      </c>
      <c r="AZ390" s="1" t="s">
        <v>133</v>
      </c>
      <c r="BA390" s="1" t="s">
        <v>121</v>
      </c>
    </row>
    <row r="391">
      <c r="A391" s="1" t="s">
        <v>1474</v>
      </c>
      <c r="B391" s="1" t="s">
        <v>53</v>
      </c>
      <c r="C391" s="1">
        <v>2019.0</v>
      </c>
      <c r="D391" s="1" t="s">
        <v>1475</v>
      </c>
      <c r="E391" s="1" t="s">
        <v>1476</v>
      </c>
      <c r="F391" s="1" t="s">
        <v>1477</v>
      </c>
      <c r="G391" s="1" t="s">
        <v>1478</v>
      </c>
      <c r="H391" s="1" t="s">
        <v>1479</v>
      </c>
      <c r="I391" s="1">
        <v>502.0</v>
      </c>
      <c r="J391" s="1" t="s">
        <v>1480</v>
      </c>
      <c r="K391" s="2" t="s">
        <v>1481</v>
      </c>
      <c r="L391" s="2" t="s">
        <v>60</v>
      </c>
      <c r="M391" s="1" t="s">
        <v>1509</v>
      </c>
      <c r="N391" s="1" t="s">
        <v>62</v>
      </c>
      <c r="O391" s="1" t="s">
        <v>187</v>
      </c>
      <c r="P391" s="1" t="s">
        <v>1506</v>
      </c>
      <c r="Q391" s="1">
        <v>17.886007</v>
      </c>
      <c r="R391" s="1">
        <v>-88.899136</v>
      </c>
      <c r="S391" s="1" t="s">
        <v>1484</v>
      </c>
      <c r="T391" s="2" t="s">
        <v>135</v>
      </c>
      <c r="U391" s="3" t="s">
        <v>67</v>
      </c>
      <c r="V391" s="3" t="s">
        <v>68</v>
      </c>
      <c r="W391" s="1" t="s">
        <v>1503</v>
      </c>
      <c r="X391" s="1" t="s">
        <v>256</v>
      </c>
      <c r="Y391" s="6" t="s">
        <v>76</v>
      </c>
      <c r="Z391" s="8" t="s">
        <v>411</v>
      </c>
      <c r="AB391" s="1">
        <v>3.0</v>
      </c>
      <c r="AI391" s="1" t="s">
        <v>399</v>
      </c>
      <c r="AJ391" s="1">
        <v>270.0</v>
      </c>
      <c r="AK391" s="1">
        <v>1950.0</v>
      </c>
      <c r="AL391" s="2" t="s">
        <v>100</v>
      </c>
      <c r="AM391" s="2" t="s">
        <v>76</v>
      </c>
      <c r="AN391" s="2" t="s">
        <v>72</v>
      </c>
      <c r="AO391" s="2" t="s">
        <v>72</v>
      </c>
      <c r="AQ391" s="2" t="s">
        <v>75</v>
      </c>
      <c r="AR391" s="2" t="s">
        <v>76</v>
      </c>
      <c r="AS391" s="1">
        <v>1475.0</v>
      </c>
      <c r="AT391" s="1">
        <v>1475.0</v>
      </c>
      <c r="AU391" s="1">
        <v>592.0</v>
      </c>
      <c r="AV391" s="1">
        <v>37.0</v>
      </c>
      <c r="AW391" s="1">
        <v>119.0</v>
      </c>
      <c r="AX391" s="1">
        <v>5493.0</v>
      </c>
      <c r="AY391" s="1">
        <v>62.0</v>
      </c>
      <c r="AZ391" s="1" t="s">
        <v>133</v>
      </c>
      <c r="BA391" s="1" t="s">
        <v>121</v>
      </c>
    </row>
    <row r="392">
      <c r="A392" s="1" t="s">
        <v>1474</v>
      </c>
      <c r="B392" s="1" t="s">
        <v>53</v>
      </c>
      <c r="C392" s="1">
        <v>2019.0</v>
      </c>
      <c r="D392" s="1" t="s">
        <v>1475</v>
      </c>
      <c r="E392" s="1" t="s">
        <v>1476</v>
      </c>
      <c r="F392" s="1" t="s">
        <v>1477</v>
      </c>
      <c r="G392" s="1" t="s">
        <v>1478</v>
      </c>
      <c r="H392" s="1" t="s">
        <v>1479</v>
      </c>
      <c r="I392" s="1">
        <v>502.0</v>
      </c>
      <c r="J392" s="1" t="s">
        <v>1480</v>
      </c>
      <c r="K392" s="2" t="s">
        <v>1481</v>
      </c>
      <c r="L392" s="2" t="s">
        <v>60</v>
      </c>
      <c r="M392" s="1" t="s">
        <v>1510</v>
      </c>
      <c r="N392" s="1" t="s">
        <v>62</v>
      </c>
      <c r="O392" s="1" t="s">
        <v>187</v>
      </c>
      <c r="P392" s="1" t="s">
        <v>1506</v>
      </c>
      <c r="Q392" s="1">
        <v>17.886007</v>
      </c>
      <c r="R392" s="1">
        <v>-88.899136</v>
      </c>
      <c r="S392" s="1" t="s">
        <v>1484</v>
      </c>
      <c r="T392" s="2" t="s">
        <v>169</v>
      </c>
      <c r="U392" s="1" t="s">
        <v>173</v>
      </c>
      <c r="V392" s="3" t="s">
        <v>68</v>
      </c>
      <c r="W392" s="1" t="s">
        <v>1044</v>
      </c>
      <c r="X392" s="1" t="s">
        <v>70</v>
      </c>
      <c r="Y392" s="6" t="s">
        <v>76</v>
      </c>
      <c r="Z392" s="3" t="s">
        <v>173</v>
      </c>
      <c r="AB392" s="1">
        <v>3.0</v>
      </c>
      <c r="AI392" s="1" t="s">
        <v>399</v>
      </c>
      <c r="AJ392" s="1">
        <v>270.0</v>
      </c>
      <c r="AK392" s="1">
        <v>1950.0</v>
      </c>
      <c r="AL392" s="2" t="s">
        <v>100</v>
      </c>
      <c r="AM392" s="2" t="s">
        <v>76</v>
      </c>
      <c r="AN392" s="2" t="s">
        <v>72</v>
      </c>
      <c r="AO392" s="2" t="s">
        <v>72</v>
      </c>
      <c r="AQ392" s="2" t="s">
        <v>75</v>
      </c>
      <c r="AR392" s="2" t="s">
        <v>76</v>
      </c>
      <c r="AS392" s="1">
        <v>1475.0</v>
      </c>
      <c r="AT392" s="1">
        <v>1475.0</v>
      </c>
      <c r="AU392" s="1">
        <v>592.0</v>
      </c>
      <c r="AV392" s="1">
        <v>37.0</v>
      </c>
      <c r="AW392" s="1">
        <v>119.0</v>
      </c>
      <c r="AX392" s="1">
        <v>5493.0</v>
      </c>
      <c r="AY392" s="1">
        <v>62.0</v>
      </c>
      <c r="AZ392" s="1" t="s">
        <v>133</v>
      </c>
      <c r="BA392" s="1" t="s">
        <v>121</v>
      </c>
    </row>
    <row r="393">
      <c r="A393" s="1" t="s">
        <v>1474</v>
      </c>
      <c r="B393" s="1" t="s">
        <v>53</v>
      </c>
      <c r="C393" s="1">
        <v>2019.0</v>
      </c>
      <c r="D393" s="1" t="s">
        <v>1475</v>
      </c>
      <c r="E393" s="1" t="s">
        <v>1476</v>
      </c>
      <c r="F393" s="1" t="s">
        <v>1477</v>
      </c>
      <c r="G393" s="1" t="s">
        <v>1478</v>
      </c>
      <c r="H393" s="1" t="s">
        <v>1479</v>
      </c>
      <c r="I393" s="1">
        <v>502.0</v>
      </c>
      <c r="J393" s="1" t="s">
        <v>1480</v>
      </c>
      <c r="K393" s="2" t="s">
        <v>1481</v>
      </c>
      <c r="L393" s="2" t="s">
        <v>60</v>
      </c>
      <c r="M393" s="1" t="s">
        <v>1511</v>
      </c>
      <c r="N393" s="1" t="s">
        <v>62</v>
      </c>
      <c r="O393" s="1" t="s">
        <v>187</v>
      </c>
      <c r="P393" s="1" t="s">
        <v>1506</v>
      </c>
      <c r="Q393" s="1">
        <v>17.886007</v>
      </c>
      <c r="R393" s="1">
        <v>-88.899136</v>
      </c>
      <c r="S393" s="1" t="s">
        <v>1484</v>
      </c>
      <c r="T393" s="3" t="s">
        <v>66</v>
      </c>
      <c r="U393" s="3" t="s">
        <v>67</v>
      </c>
      <c r="V393" s="3" t="s">
        <v>68</v>
      </c>
      <c r="W393" s="1" t="s">
        <v>1487</v>
      </c>
      <c r="X393" s="2" t="s">
        <v>72</v>
      </c>
      <c r="Y393" s="5" t="s">
        <v>60</v>
      </c>
      <c r="Z393" s="3" t="s">
        <v>345</v>
      </c>
      <c r="AB393" s="1">
        <v>3.0</v>
      </c>
      <c r="AI393" s="1" t="s">
        <v>399</v>
      </c>
      <c r="AJ393" s="1">
        <v>270.0</v>
      </c>
      <c r="AK393" s="1">
        <v>1950.0</v>
      </c>
      <c r="AL393" s="2" t="s">
        <v>100</v>
      </c>
      <c r="AM393" s="2" t="s">
        <v>76</v>
      </c>
      <c r="AN393" s="2" t="s">
        <v>72</v>
      </c>
      <c r="AO393" s="2" t="s">
        <v>72</v>
      </c>
      <c r="AQ393" s="2" t="s">
        <v>75</v>
      </c>
      <c r="AR393" s="2" t="s">
        <v>76</v>
      </c>
      <c r="AS393" s="1">
        <v>1475.0</v>
      </c>
      <c r="AT393" s="1">
        <v>1475.0</v>
      </c>
      <c r="AU393" s="1">
        <v>592.0</v>
      </c>
      <c r="AV393" s="1">
        <v>37.0</v>
      </c>
      <c r="AW393" s="1">
        <v>119.0</v>
      </c>
      <c r="AX393" s="1">
        <v>5493.0</v>
      </c>
      <c r="AY393" s="1">
        <v>62.0</v>
      </c>
      <c r="AZ393" s="1" t="s">
        <v>133</v>
      </c>
      <c r="BA393" s="1" t="s">
        <v>121</v>
      </c>
    </row>
    <row r="394">
      <c r="A394" s="1" t="s">
        <v>1474</v>
      </c>
      <c r="B394" s="1" t="s">
        <v>53</v>
      </c>
      <c r="C394" s="1">
        <v>2019.0</v>
      </c>
      <c r="D394" s="1" t="s">
        <v>1475</v>
      </c>
      <c r="E394" s="1" t="s">
        <v>1476</v>
      </c>
      <c r="F394" s="1" t="s">
        <v>1477</v>
      </c>
      <c r="G394" s="1" t="s">
        <v>1478</v>
      </c>
      <c r="H394" s="1" t="s">
        <v>1479</v>
      </c>
      <c r="I394" s="1">
        <v>502.0</v>
      </c>
      <c r="J394" s="1" t="s">
        <v>1480</v>
      </c>
      <c r="K394" s="2" t="s">
        <v>1481</v>
      </c>
      <c r="L394" s="2" t="s">
        <v>60</v>
      </c>
      <c r="M394" s="1" t="s">
        <v>1512</v>
      </c>
      <c r="N394" s="1" t="s">
        <v>62</v>
      </c>
      <c r="O394" s="1" t="s">
        <v>187</v>
      </c>
      <c r="P394" s="1" t="s">
        <v>1506</v>
      </c>
      <c r="Q394" s="1">
        <v>17.886007</v>
      </c>
      <c r="R394" s="1">
        <v>-88.899136</v>
      </c>
      <c r="S394" s="1" t="s">
        <v>1484</v>
      </c>
      <c r="T394" s="2" t="s">
        <v>293</v>
      </c>
      <c r="U394" s="1" t="s">
        <v>823</v>
      </c>
      <c r="V394" s="3" t="s">
        <v>138</v>
      </c>
      <c r="W394" s="1" t="s">
        <v>1489</v>
      </c>
      <c r="X394" s="2" t="s">
        <v>72</v>
      </c>
      <c r="Y394" s="5" t="s">
        <v>76</v>
      </c>
      <c r="Z394" s="3" t="s">
        <v>76</v>
      </c>
      <c r="AB394" s="1">
        <v>3.0</v>
      </c>
      <c r="AI394" s="1" t="s">
        <v>399</v>
      </c>
      <c r="AJ394" s="1">
        <v>270.0</v>
      </c>
      <c r="AK394" s="1">
        <v>1950.0</v>
      </c>
      <c r="AL394" s="2" t="s">
        <v>100</v>
      </c>
      <c r="AM394" s="2" t="s">
        <v>76</v>
      </c>
      <c r="AN394" s="2" t="s">
        <v>72</v>
      </c>
      <c r="AO394" s="2" t="s">
        <v>72</v>
      </c>
      <c r="AQ394" s="2" t="s">
        <v>75</v>
      </c>
      <c r="AR394" s="2" t="s">
        <v>76</v>
      </c>
      <c r="AS394" s="1">
        <v>1475.0</v>
      </c>
      <c r="AT394" s="1">
        <v>1475.0</v>
      </c>
      <c r="AU394" s="1">
        <v>592.0</v>
      </c>
      <c r="AV394" s="1">
        <v>37.0</v>
      </c>
      <c r="AW394" s="1">
        <v>119.0</v>
      </c>
      <c r="AX394" s="1">
        <v>5493.0</v>
      </c>
      <c r="AY394" s="1">
        <v>62.0</v>
      </c>
      <c r="AZ394" s="1" t="s">
        <v>133</v>
      </c>
      <c r="BA394" s="1" t="s">
        <v>121</v>
      </c>
    </row>
    <row r="395">
      <c r="A395" s="1" t="s">
        <v>1474</v>
      </c>
      <c r="B395" s="1" t="s">
        <v>53</v>
      </c>
      <c r="C395" s="1">
        <v>2019.0</v>
      </c>
      <c r="D395" s="1" t="s">
        <v>1475</v>
      </c>
      <c r="E395" s="1" t="s">
        <v>1476</v>
      </c>
      <c r="F395" s="1" t="s">
        <v>1477</v>
      </c>
      <c r="G395" s="1" t="s">
        <v>1478</v>
      </c>
      <c r="H395" s="1" t="s">
        <v>1479</v>
      </c>
      <c r="I395" s="1">
        <v>502.0</v>
      </c>
      <c r="J395" s="1" t="s">
        <v>1480</v>
      </c>
      <c r="K395" s="2" t="s">
        <v>1481</v>
      </c>
      <c r="L395" s="2" t="s">
        <v>60</v>
      </c>
      <c r="M395" s="1" t="s">
        <v>1513</v>
      </c>
      <c r="N395" s="1" t="s">
        <v>62</v>
      </c>
      <c r="O395" s="1" t="s">
        <v>187</v>
      </c>
      <c r="P395" s="1" t="s">
        <v>1506</v>
      </c>
      <c r="Q395" s="1">
        <v>17.886007</v>
      </c>
      <c r="R395" s="1">
        <v>-88.899136</v>
      </c>
      <c r="S395" s="1" t="s">
        <v>1484</v>
      </c>
      <c r="T395" s="2" t="s">
        <v>293</v>
      </c>
      <c r="U395" s="3" t="s">
        <v>823</v>
      </c>
      <c r="V395" s="3" t="s">
        <v>138</v>
      </c>
      <c r="W395" s="2" t="s">
        <v>72</v>
      </c>
      <c r="X395" s="2" t="s">
        <v>72</v>
      </c>
      <c r="Y395" s="6" t="s">
        <v>76</v>
      </c>
      <c r="Z395" s="3" t="s">
        <v>76</v>
      </c>
      <c r="AB395" s="1">
        <v>3.0</v>
      </c>
      <c r="AI395" s="1" t="s">
        <v>399</v>
      </c>
      <c r="AJ395" s="1">
        <v>270.0</v>
      </c>
      <c r="AK395" s="1">
        <v>1950.0</v>
      </c>
      <c r="AL395" s="2" t="s">
        <v>100</v>
      </c>
      <c r="AM395" s="2" t="s">
        <v>76</v>
      </c>
      <c r="AN395" s="2" t="s">
        <v>72</v>
      </c>
      <c r="AO395" s="2" t="s">
        <v>72</v>
      </c>
      <c r="AQ395" s="2" t="s">
        <v>75</v>
      </c>
      <c r="AR395" s="2" t="s">
        <v>76</v>
      </c>
      <c r="AS395" s="1">
        <v>1475.0</v>
      </c>
      <c r="AT395" s="1">
        <v>1475.0</v>
      </c>
      <c r="AU395" s="1">
        <v>592.0</v>
      </c>
      <c r="AV395" s="1">
        <v>37.0</v>
      </c>
      <c r="AW395" s="1">
        <v>119.0</v>
      </c>
      <c r="AX395" s="1">
        <v>5493.0</v>
      </c>
      <c r="AY395" s="1">
        <v>62.0</v>
      </c>
      <c r="AZ395" s="1" t="s">
        <v>133</v>
      </c>
      <c r="BA395" s="1" t="s">
        <v>121</v>
      </c>
    </row>
    <row r="396">
      <c r="A396" s="1" t="s">
        <v>1474</v>
      </c>
      <c r="B396" s="1" t="s">
        <v>53</v>
      </c>
      <c r="C396" s="1">
        <v>2019.0</v>
      </c>
      <c r="D396" s="1" t="s">
        <v>1475</v>
      </c>
      <c r="E396" s="1" t="s">
        <v>1476</v>
      </c>
      <c r="F396" s="1" t="s">
        <v>1477</v>
      </c>
      <c r="G396" s="1" t="s">
        <v>1478</v>
      </c>
      <c r="H396" s="1" t="s">
        <v>1479</v>
      </c>
      <c r="I396" s="1">
        <v>502.0</v>
      </c>
      <c r="J396" s="1" t="s">
        <v>1480</v>
      </c>
      <c r="K396" s="2" t="s">
        <v>1481</v>
      </c>
      <c r="L396" s="2" t="s">
        <v>60</v>
      </c>
      <c r="M396" s="1" t="s">
        <v>1514</v>
      </c>
      <c r="N396" s="1" t="s">
        <v>62</v>
      </c>
      <c r="O396" s="1" t="s">
        <v>187</v>
      </c>
      <c r="P396" s="1" t="s">
        <v>1506</v>
      </c>
      <c r="Q396" s="1">
        <v>17.886007</v>
      </c>
      <c r="R396" s="1">
        <v>-88.899136</v>
      </c>
      <c r="S396" s="1" t="s">
        <v>1484</v>
      </c>
      <c r="T396" s="2" t="s">
        <v>293</v>
      </c>
      <c r="U396" s="3" t="s">
        <v>823</v>
      </c>
      <c r="V396" s="3" t="s">
        <v>138</v>
      </c>
      <c r="W396" s="2" t="s">
        <v>72</v>
      </c>
      <c r="X396" s="2" t="s">
        <v>72</v>
      </c>
      <c r="Y396" s="6" t="s">
        <v>76</v>
      </c>
      <c r="Z396" s="3" t="s">
        <v>76</v>
      </c>
      <c r="AB396" s="1">
        <v>3.0</v>
      </c>
      <c r="AI396" s="1" t="s">
        <v>399</v>
      </c>
      <c r="AJ396" s="1">
        <v>270.0</v>
      </c>
      <c r="AK396" s="1">
        <v>1950.0</v>
      </c>
      <c r="AL396" s="2" t="s">
        <v>100</v>
      </c>
      <c r="AM396" s="2" t="s">
        <v>76</v>
      </c>
      <c r="AN396" s="2" t="s">
        <v>72</v>
      </c>
      <c r="AO396" s="2" t="s">
        <v>72</v>
      </c>
      <c r="AQ396" s="2" t="s">
        <v>75</v>
      </c>
      <c r="AR396" s="2" t="s">
        <v>76</v>
      </c>
      <c r="AS396" s="1">
        <v>1475.0</v>
      </c>
      <c r="AT396" s="1">
        <v>1475.0</v>
      </c>
      <c r="AU396" s="1">
        <v>592.0</v>
      </c>
      <c r="AV396" s="1">
        <v>37.0</v>
      </c>
      <c r="AW396" s="1">
        <v>119.0</v>
      </c>
      <c r="AX396" s="1">
        <v>5493.0</v>
      </c>
      <c r="AY396" s="1">
        <v>62.0</v>
      </c>
      <c r="AZ396" s="1" t="s">
        <v>133</v>
      </c>
      <c r="BA396" s="1" t="s">
        <v>121</v>
      </c>
    </row>
    <row r="397">
      <c r="A397" s="1" t="s">
        <v>1515</v>
      </c>
      <c r="B397" s="1" t="s">
        <v>53</v>
      </c>
      <c r="C397" s="1">
        <v>1987.0</v>
      </c>
      <c r="D397" s="1" t="s">
        <v>1516</v>
      </c>
      <c r="E397" s="1" t="s">
        <v>1517</v>
      </c>
      <c r="F397" s="1" t="s">
        <v>303</v>
      </c>
      <c r="G397" s="1" t="s">
        <v>1518</v>
      </c>
      <c r="H397" s="1" t="s">
        <v>1519</v>
      </c>
      <c r="I397" s="1">
        <v>28.0</v>
      </c>
      <c r="J397" s="1">
        <v>3.0</v>
      </c>
      <c r="K397" s="2" t="s">
        <v>1520</v>
      </c>
      <c r="L397" s="2" t="s">
        <v>76</v>
      </c>
      <c r="M397" s="1" t="s">
        <v>1515</v>
      </c>
      <c r="N397" s="1" t="s">
        <v>62</v>
      </c>
      <c r="O397" s="1" t="s">
        <v>167</v>
      </c>
      <c r="P397" s="1" t="s">
        <v>878</v>
      </c>
      <c r="Q397" s="1">
        <v>16.983333</v>
      </c>
      <c r="R397" s="1">
        <v>-89.666667</v>
      </c>
      <c r="S397" s="1" t="s">
        <v>148</v>
      </c>
      <c r="T397" s="2" t="s">
        <v>66</v>
      </c>
      <c r="U397" s="1" t="s">
        <v>823</v>
      </c>
      <c r="V397" s="3" t="s">
        <v>68</v>
      </c>
      <c r="W397" s="2" t="s">
        <v>72</v>
      </c>
      <c r="X397" s="1" t="s">
        <v>70</v>
      </c>
      <c r="Y397" s="5" t="s">
        <v>76</v>
      </c>
      <c r="Z397" s="3" t="s">
        <v>76</v>
      </c>
      <c r="AA397" s="1">
        <v>1.0</v>
      </c>
      <c r="AI397" s="2" t="s">
        <v>72</v>
      </c>
      <c r="AJ397" s="2" t="s">
        <v>72</v>
      </c>
      <c r="AK397" s="2" t="s">
        <v>72</v>
      </c>
      <c r="AL397" s="2" t="s">
        <v>100</v>
      </c>
      <c r="AM397" s="2" t="s">
        <v>72</v>
      </c>
      <c r="AN397" s="2" t="s">
        <v>72</v>
      </c>
      <c r="AO397" s="2" t="s">
        <v>101</v>
      </c>
      <c r="AQ397" s="2" t="s">
        <v>75</v>
      </c>
      <c r="AR397" s="2" t="s">
        <v>76</v>
      </c>
      <c r="AS397" s="1">
        <v>1756.0</v>
      </c>
      <c r="AT397" s="1">
        <v>1756.0</v>
      </c>
      <c r="AU397" s="1">
        <v>708.0</v>
      </c>
      <c r="AV397" s="1">
        <v>37.0</v>
      </c>
      <c r="AW397" s="1">
        <v>139.0</v>
      </c>
      <c r="AX397" s="1">
        <v>5736.0</v>
      </c>
      <c r="AY397" s="1">
        <v>114.0</v>
      </c>
      <c r="AZ397" s="1" t="s">
        <v>133</v>
      </c>
      <c r="BA397" s="1" t="s">
        <v>121</v>
      </c>
    </row>
    <row r="398">
      <c r="A398" s="1" t="s">
        <v>300</v>
      </c>
      <c r="B398" s="1" t="s">
        <v>53</v>
      </c>
      <c r="C398" s="1">
        <v>1993.0</v>
      </c>
      <c r="D398" s="1" t="s">
        <v>301</v>
      </c>
      <c r="E398" s="1" t="s">
        <v>302</v>
      </c>
      <c r="F398" s="1" t="s">
        <v>303</v>
      </c>
      <c r="G398" s="1" t="s">
        <v>304</v>
      </c>
      <c r="H398" s="1" t="s">
        <v>305</v>
      </c>
      <c r="I398" s="1">
        <v>40.0</v>
      </c>
      <c r="J398" s="1">
        <v>1.0</v>
      </c>
      <c r="K398" s="2" t="s">
        <v>306</v>
      </c>
      <c r="L398" s="2" t="s">
        <v>60</v>
      </c>
      <c r="M398" s="1" t="s">
        <v>1521</v>
      </c>
      <c r="N398" s="1" t="s">
        <v>62</v>
      </c>
      <c r="O398" s="1" t="s">
        <v>112</v>
      </c>
      <c r="P398" s="1" t="s">
        <v>308</v>
      </c>
      <c r="Q398" s="1">
        <v>9.483333</v>
      </c>
      <c r="R398" s="1">
        <v>-83.483333</v>
      </c>
      <c r="S398" s="1" t="s">
        <v>148</v>
      </c>
      <c r="T398" s="2" t="s">
        <v>80</v>
      </c>
      <c r="U398" s="3" t="s">
        <v>81</v>
      </c>
      <c r="V398" s="3" t="s">
        <v>68</v>
      </c>
      <c r="W398" s="1" t="s">
        <v>319</v>
      </c>
      <c r="X398" s="1" t="s">
        <v>1522</v>
      </c>
      <c r="Y398" s="6" t="s">
        <v>76</v>
      </c>
      <c r="Z398" s="3" t="s">
        <v>84</v>
      </c>
      <c r="AB398" s="1">
        <v>6.0</v>
      </c>
      <c r="AI398" s="2" t="s">
        <v>72</v>
      </c>
      <c r="AJ398" s="1">
        <v>-8190.0</v>
      </c>
      <c r="AK398" s="1">
        <v>1989.0</v>
      </c>
      <c r="AL398" s="2" t="s">
        <v>73</v>
      </c>
      <c r="AM398" s="2" t="s">
        <v>72</v>
      </c>
      <c r="AN398" s="2" t="s">
        <v>72</v>
      </c>
      <c r="AO398" s="2" t="s">
        <v>72</v>
      </c>
      <c r="AP398" s="1" t="s">
        <v>280</v>
      </c>
      <c r="AQ398" s="2" t="s">
        <v>102</v>
      </c>
      <c r="AR398" s="2" t="s">
        <v>76</v>
      </c>
      <c r="AS398" s="1">
        <v>2460.0</v>
      </c>
      <c r="AT398" s="1">
        <v>2460.0</v>
      </c>
      <c r="AU398" s="1">
        <v>1018.0</v>
      </c>
      <c r="AV398" s="1">
        <v>19.0</v>
      </c>
      <c r="AW398" s="1">
        <v>83.0</v>
      </c>
      <c r="AX398" s="1">
        <v>6914.0</v>
      </c>
      <c r="AY398" s="1">
        <v>3512.0</v>
      </c>
      <c r="AZ398" s="1" t="s">
        <v>154</v>
      </c>
      <c r="BA398" s="1" t="s">
        <v>121</v>
      </c>
    </row>
    <row r="399">
      <c r="A399" s="1" t="s">
        <v>300</v>
      </c>
      <c r="B399" s="1" t="s">
        <v>53</v>
      </c>
      <c r="C399" s="1">
        <v>1993.0</v>
      </c>
      <c r="D399" s="1" t="s">
        <v>301</v>
      </c>
      <c r="E399" s="1" t="s">
        <v>302</v>
      </c>
      <c r="F399" s="1" t="s">
        <v>303</v>
      </c>
      <c r="G399" s="1" t="s">
        <v>304</v>
      </c>
      <c r="H399" s="1" t="s">
        <v>305</v>
      </c>
      <c r="I399" s="1">
        <v>40.0</v>
      </c>
      <c r="J399" s="1">
        <v>1.0</v>
      </c>
      <c r="K399" s="2" t="s">
        <v>306</v>
      </c>
      <c r="L399" s="2" t="s">
        <v>60</v>
      </c>
      <c r="M399" s="1" t="s">
        <v>1523</v>
      </c>
      <c r="N399" s="1" t="s">
        <v>62</v>
      </c>
      <c r="O399" s="1" t="s">
        <v>112</v>
      </c>
      <c r="P399" s="1" t="s">
        <v>308</v>
      </c>
      <c r="Q399" s="1">
        <v>9.483333</v>
      </c>
      <c r="R399" s="1">
        <v>-83.483333</v>
      </c>
      <c r="S399" s="1" t="s">
        <v>148</v>
      </c>
      <c r="T399" s="2" t="s">
        <v>66</v>
      </c>
      <c r="U399" s="2" t="s">
        <v>1524</v>
      </c>
      <c r="V399" s="3" t="s">
        <v>788</v>
      </c>
      <c r="W399" s="1" t="s">
        <v>1525</v>
      </c>
      <c r="X399" s="1" t="s">
        <v>70</v>
      </c>
      <c r="Y399" s="5" t="s">
        <v>76</v>
      </c>
      <c r="Z399" s="3" t="s">
        <v>76</v>
      </c>
      <c r="AB399" s="1">
        <v>6.0</v>
      </c>
      <c r="AI399" s="2" t="s">
        <v>72</v>
      </c>
      <c r="AJ399" s="1">
        <v>-8190.0</v>
      </c>
      <c r="AK399" s="1">
        <v>1989.0</v>
      </c>
      <c r="AL399" s="2" t="s">
        <v>73</v>
      </c>
      <c r="AM399" s="2" t="s">
        <v>72</v>
      </c>
      <c r="AN399" s="2" t="s">
        <v>72</v>
      </c>
      <c r="AO399" s="2" t="s">
        <v>72</v>
      </c>
      <c r="AP399" s="1" t="s">
        <v>280</v>
      </c>
      <c r="AQ399" s="2" t="s">
        <v>102</v>
      </c>
      <c r="AR399" s="2" t="s">
        <v>76</v>
      </c>
      <c r="AS399" s="1">
        <v>2460.0</v>
      </c>
      <c r="AT399" s="1">
        <v>2460.0</v>
      </c>
      <c r="AU399" s="1">
        <v>1018.0</v>
      </c>
      <c r="AV399" s="1">
        <v>19.0</v>
      </c>
      <c r="AW399" s="1">
        <v>83.0</v>
      </c>
      <c r="AX399" s="1">
        <v>6914.0</v>
      </c>
      <c r="AY399" s="1">
        <v>3512.0</v>
      </c>
      <c r="AZ399" s="1" t="s">
        <v>154</v>
      </c>
      <c r="BA399" s="1" t="s">
        <v>121</v>
      </c>
    </row>
    <row r="400">
      <c r="A400" s="1" t="s">
        <v>1526</v>
      </c>
      <c r="B400" s="1" t="s">
        <v>53</v>
      </c>
      <c r="C400" s="1">
        <v>1994.0</v>
      </c>
      <c r="D400" s="1" t="s">
        <v>1527</v>
      </c>
      <c r="E400" s="1" t="s">
        <v>1528</v>
      </c>
      <c r="F400" s="1" t="s">
        <v>303</v>
      </c>
      <c r="G400" s="1" t="s">
        <v>1529</v>
      </c>
      <c r="H400" s="1" t="s">
        <v>1530</v>
      </c>
      <c r="I400" s="1">
        <v>41.0</v>
      </c>
      <c r="J400" s="1">
        <v>1.0</v>
      </c>
      <c r="K400" s="2" t="s">
        <v>1531</v>
      </c>
      <c r="L400" s="2" t="s">
        <v>60</v>
      </c>
      <c r="M400" s="1" t="s">
        <v>1532</v>
      </c>
      <c r="N400" s="1" t="s">
        <v>62</v>
      </c>
      <c r="O400" s="1" t="s">
        <v>187</v>
      </c>
      <c r="P400" s="1" t="s">
        <v>188</v>
      </c>
      <c r="Q400" s="1">
        <v>17.937719</v>
      </c>
      <c r="R400" s="1">
        <v>-88.366374</v>
      </c>
      <c r="S400" s="1" t="s">
        <v>114</v>
      </c>
      <c r="T400" s="2" t="s">
        <v>927</v>
      </c>
      <c r="U400" s="1" t="s">
        <v>1533</v>
      </c>
      <c r="V400" s="3" t="s">
        <v>97</v>
      </c>
      <c r="W400" s="1" t="s">
        <v>1534</v>
      </c>
      <c r="X400" s="1" t="s">
        <v>70</v>
      </c>
      <c r="Y400" s="6" t="s">
        <v>76</v>
      </c>
      <c r="Z400" s="3" t="s">
        <v>76</v>
      </c>
      <c r="AB400" s="1">
        <v>5.0</v>
      </c>
      <c r="AI400" s="2" t="s">
        <v>72</v>
      </c>
      <c r="AJ400" s="1">
        <v>-5340.0</v>
      </c>
      <c r="AK400" s="1">
        <v>1950.0</v>
      </c>
      <c r="AL400" s="2" t="s">
        <v>73</v>
      </c>
      <c r="AM400" s="2" t="s">
        <v>72</v>
      </c>
      <c r="AN400" s="2" t="s">
        <v>72</v>
      </c>
      <c r="AO400" s="2" t="s">
        <v>72</v>
      </c>
      <c r="AQ400" s="2" t="s">
        <v>75</v>
      </c>
      <c r="AR400" s="2" t="s">
        <v>76</v>
      </c>
      <c r="AS400" s="1">
        <v>1641.0</v>
      </c>
      <c r="AT400" s="1">
        <v>1641.0</v>
      </c>
      <c r="AU400" s="1">
        <v>627.0</v>
      </c>
      <c r="AV400" s="1">
        <v>42.0</v>
      </c>
      <c r="AW400" s="1">
        <v>136.0</v>
      </c>
      <c r="AX400" s="1">
        <v>5337.0</v>
      </c>
      <c r="AY400" s="1">
        <v>15.0</v>
      </c>
      <c r="AZ400" s="1" t="s">
        <v>133</v>
      </c>
      <c r="BA400" s="1" t="s">
        <v>121</v>
      </c>
    </row>
    <row r="401">
      <c r="A401" s="1" t="s">
        <v>1526</v>
      </c>
      <c r="B401" s="1" t="s">
        <v>53</v>
      </c>
      <c r="C401" s="1">
        <v>1994.0</v>
      </c>
      <c r="D401" s="1" t="s">
        <v>1527</v>
      </c>
      <c r="E401" s="1" t="s">
        <v>1528</v>
      </c>
      <c r="F401" s="1" t="s">
        <v>303</v>
      </c>
      <c r="G401" s="1" t="s">
        <v>1529</v>
      </c>
      <c r="H401" s="1" t="s">
        <v>1530</v>
      </c>
      <c r="I401" s="1">
        <v>41.0</v>
      </c>
      <c r="J401" s="1">
        <v>1.0</v>
      </c>
      <c r="K401" s="2" t="s">
        <v>1531</v>
      </c>
      <c r="L401" s="2" t="s">
        <v>60</v>
      </c>
      <c r="M401" s="1" t="s">
        <v>1535</v>
      </c>
      <c r="N401" s="1" t="s">
        <v>62</v>
      </c>
      <c r="O401" s="1" t="s">
        <v>187</v>
      </c>
      <c r="P401" s="1" t="s">
        <v>188</v>
      </c>
      <c r="Q401" s="1">
        <v>17.937719</v>
      </c>
      <c r="R401" s="1">
        <v>-88.366374</v>
      </c>
      <c r="S401" s="1" t="s">
        <v>114</v>
      </c>
      <c r="T401" s="2" t="s">
        <v>204</v>
      </c>
      <c r="U401" s="1" t="s">
        <v>1533</v>
      </c>
      <c r="V401" s="3" t="s">
        <v>97</v>
      </c>
      <c r="W401" s="1" t="s">
        <v>1534</v>
      </c>
      <c r="X401" s="1" t="s">
        <v>70</v>
      </c>
      <c r="Y401" s="6" t="s">
        <v>76</v>
      </c>
      <c r="Z401" s="3" t="s">
        <v>76</v>
      </c>
      <c r="AB401" s="1">
        <v>5.0</v>
      </c>
      <c r="AI401" s="2" t="s">
        <v>72</v>
      </c>
      <c r="AJ401" s="1">
        <v>-5340.0</v>
      </c>
      <c r="AK401" s="1">
        <v>1950.0</v>
      </c>
      <c r="AL401" s="2" t="s">
        <v>73</v>
      </c>
      <c r="AM401" s="2" t="s">
        <v>72</v>
      </c>
      <c r="AN401" s="2" t="s">
        <v>72</v>
      </c>
      <c r="AO401" s="2" t="s">
        <v>72</v>
      </c>
      <c r="AQ401" s="2" t="s">
        <v>75</v>
      </c>
      <c r="AR401" s="2" t="s">
        <v>76</v>
      </c>
      <c r="AS401" s="1">
        <v>1641.0</v>
      </c>
      <c r="AT401" s="1">
        <v>1641.0</v>
      </c>
      <c r="AU401" s="1">
        <v>627.0</v>
      </c>
      <c r="AV401" s="1">
        <v>42.0</v>
      </c>
      <c r="AW401" s="1">
        <v>136.0</v>
      </c>
      <c r="AX401" s="1">
        <v>5337.0</v>
      </c>
      <c r="AY401" s="1">
        <v>15.0</v>
      </c>
      <c r="AZ401" s="1" t="s">
        <v>133</v>
      </c>
      <c r="BA401" s="1" t="s">
        <v>121</v>
      </c>
    </row>
    <row r="402">
      <c r="A402" s="1" t="s">
        <v>1526</v>
      </c>
      <c r="B402" s="1" t="s">
        <v>53</v>
      </c>
      <c r="C402" s="1">
        <v>1994.0</v>
      </c>
      <c r="D402" s="1" t="s">
        <v>1527</v>
      </c>
      <c r="E402" s="1" t="s">
        <v>1528</v>
      </c>
      <c r="F402" s="1" t="s">
        <v>303</v>
      </c>
      <c r="G402" s="1" t="s">
        <v>1529</v>
      </c>
      <c r="H402" s="1" t="s">
        <v>1530</v>
      </c>
      <c r="I402" s="1">
        <v>41.0</v>
      </c>
      <c r="J402" s="1">
        <v>1.0</v>
      </c>
      <c r="K402" s="2" t="s">
        <v>1531</v>
      </c>
      <c r="L402" s="2" t="s">
        <v>60</v>
      </c>
      <c r="M402" s="1" t="s">
        <v>1536</v>
      </c>
      <c r="N402" s="1" t="s">
        <v>62</v>
      </c>
      <c r="O402" s="1" t="s">
        <v>187</v>
      </c>
      <c r="P402" s="1" t="s">
        <v>188</v>
      </c>
      <c r="Q402" s="1">
        <v>17.937719</v>
      </c>
      <c r="R402" s="1">
        <v>-88.366374</v>
      </c>
      <c r="S402" s="1" t="s">
        <v>114</v>
      </c>
      <c r="T402" s="2" t="s">
        <v>275</v>
      </c>
      <c r="U402" s="1" t="s">
        <v>276</v>
      </c>
      <c r="V402" s="3" t="s">
        <v>97</v>
      </c>
      <c r="W402" s="1" t="s">
        <v>278</v>
      </c>
      <c r="X402" s="1" t="s">
        <v>279</v>
      </c>
      <c r="Y402" s="6" t="s">
        <v>76</v>
      </c>
      <c r="Z402" s="3" t="s">
        <v>76</v>
      </c>
      <c r="AB402" s="1">
        <v>5.0</v>
      </c>
      <c r="AI402" s="2" t="s">
        <v>72</v>
      </c>
      <c r="AJ402" s="1">
        <v>-5340.0</v>
      </c>
      <c r="AK402" s="1">
        <v>1950.0</v>
      </c>
      <c r="AL402" s="2" t="s">
        <v>73</v>
      </c>
      <c r="AM402" s="2" t="s">
        <v>72</v>
      </c>
      <c r="AN402" s="2" t="s">
        <v>72</v>
      </c>
      <c r="AO402" s="2" t="s">
        <v>72</v>
      </c>
      <c r="AQ402" s="2" t="s">
        <v>75</v>
      </c>
      <c r="AR402" s="2" t="s">
        <v>76</v>
      </c>
      <c r="AS402" s="1">
        <v>1641.0</v>
      </c>
      <c r="AT402" s="1">
        <v>1641.0</v>
      </c>
      <c r="AU402" s="1">
        <v>627.0</v>
      </c>
      <c r="AV402" s="1">
        <v>42.0</v>
      </c>
      <c r="AW402" s="1">
        <v>136.0</v>
      </c>
      <c r="AX402" s="1">
        <v>5337.0</v>
      </c>
      <c r="AY402" s="1">
        <v>15.0</v>
      </c>
      <c r="AZ402" s="1" t="s">
        <v>133</v>
      </c>
      <c r="BA402" s="1" t="s">
        <v>121</v>
      </c>
    </row>
    <row r="403">
      <c r="A403" s="1" t="s">
        <v>1526</v>
      </c>
      <c r="B403" s="1" t="s">
        <v>53</v>
      </c>
      <c r="C403" s="1">
        <v>1994.0</v>
      </c>
      <c r="D403" s="1" t="s">
        <v>1527</v>
      </c>
      <c r="E403" s="1" t="s">
        <v>1528</v>
      </c>
      <c r="F403" s="1" t="s">
        <v>303</v>
      </c>
      <c r="G403" s="1" t="s">
        <v>1529</v>
      </c>
      <c r="H403" s="1" t="s">
        <v>1530</v>
      </c>
      <c r="I403" s="1">
        <v>41.0</v>
      </c>
      <c r="J403" s="1">
        <v>1.0</v>
      </c>
      <c r="K403" s="2" t="s">
        <v>1531</v>
      </c>
      <c r="L403" s="2" t="s">
        <v>60</v>
      </c>
      <c r="M403" s="1" t="s">
        <v>1537</v>
      </c>
      <c r="N403" s="1" t="s">
        <v>62</v>
      </c>
      <c r="O403" s="1" t="s">
        <v>187</v>
      </c>
      <c r="P403" s="1" t="s">
        <v>188</v>
      </c>
      <c r="Q403" s="1">
        <v>17.937719</v>
      </c>
      <c r="R403" s="1">
        <v>-88.366374</v>
      </c>
      <c r="S403" s="1" t="s">
        <v>114</v>
      </c>
      <c r="T403" s="2" t="s">
        <v>614</v>
      </c>
      <c r="U403" s="1" t="s">
        <v>1533</v>
      </c>
      <c r="V403" s="3" t="s">
        <v>97</v>
      </c>
      <c r="W403" s="1" t="s">
        <v>1534</v>
      </c>
      <c r="X403" s="1" t="s">
        <v>70</v>
      </c>
      <c r="Y403" s="6" t="s">
        <v>76</v>
      </c>
      <c r="Z403" s="3" t="s">
        <v>76</v>
      </c>
      <c r="AB403" s="1">
        <v>5.0</v>
      </c>
      <c r="AI403" s="2" t="s">
        <v>72</v>
      </c>
      <c r="AJ403" s="1">
        <v>-5340.0</v>
      </c>
      <c r="AK403" s="1">
        <v>1950.0</v>
      </c>
      <c r="AL403" s="2" t="s">
        <v>73</v>
      </c>
      <c r="AM403" s="2" t="s">
        <v>72</v>
      </c>
      <c r="AN403" s="2" t="s">
        <v>72</v>
      </c>
      <c r="AO403" s="2" t="s">
        <v>72</v>
      </c>
      <c r="AQ403" s="2" t="s">
        <v>75</v>
      </c>
      <c r="AR403" s="2" t="s">
        <v>76</v>
      </c>
      <c r="AS403" s="1">
        <v>1641.0</v>
      </c>
      <c r="AT403" s="1">
        <v>1641.0</v>
      </c>
      <c r="AU403" s="1">
        <v>627.0</v>
      </c>
      <c r="AV403" s="1">
        <v>42.0</v>
      </c>
      <c r="AW403" s="1">
        <v>136.0</v>
      </c>
      <c r="AX403" s="1">
        <v>5337.0</v>
      </c>
      <c r="AY403" s="1">
        <v>15.0</v>
      </c>
      <c r="AZ403" s="1" t="s">
        <v>133</v>
      </c>
      <c r="BA403" s="1" t="s">
        <v>121</v>
      </c>
    </row>
    <row r="404">
      <c r="A404" s="1" t="s">
        <v>1538</v>
      </c>
      <c r="B404" s="1" t="s">
        <v>53</v>
      </c>
      <c r="C404" s="1">
        <v>1996.0</v>
      </c>
      <c r="D404" s="1" t="s">
        <v>1539</v>
      </c>
      <c r="E404" s="1" t="s">
        <v>1540</v>
      </c>
      <c r="F404" s="1" t="s">
        <v>303</v>
      </c>
      <c r="G404" s="1" t="s">
        <v>1541</v>
      </c>
      <c r="H404" s="1" t="s">
        <v>1542</v>
      </c>
      <c r="I404" s="1">
        <v>46.0</v>
      </c>
      <c r="J404" s="1">
        <v>1.0</v>
      </c>
      <c r="K404" s="2" t="s">
        <v>1543</v>
      </c>
      <c r="L404" s="2" t="s">
        <v>60</v>
      </c>
      <c r="M404" s="1" t="s">
        <v>1544</v>
      </c>
      <c r="N404" s="1" t="s">
        <v>62</v>
      </c>
      <c r="O404" s="1" t="s">
        <v>92</v>
      </c>
      <c r="P404" s="1" t="s">
        <v>235</v>
      </c>
      <c r="Q404" s="1">
        <v>20.633333</v>
      </c>
      <c r="R404" s="1">
        <v>-87.616667</v>
      </c>
      <c r="S404" s="1" t="s">
        <v>148</v>
      </c>
      <c r="T404" s="2" t="s">
        <v>95</v>
      </c>
      <c r="U404" s="2" t="s">
        <v>96</v>
      </c>
      <c r="V404" s="3" t="s">
        <v>97</v>
      </c>
      <c r="W404" s="1" t="s">
        <v>1545</v>
      </c>
      <c r="X404" s="1" t="s">
        <v>728</v>
      </c>
      <c r="Y404" s="6" t="s">
        <v>76</v>
      </c>
      <c r="Z404" s="3" t="s">
        <v>76</v>
      </c>
      <c r="AB404" s="1">
        <v>9.0</v>
      </c>
      <c r="AI404" s="1" t="s">
        <v>1546</v>
      </c>
      <c r="AJ404" s="1">
        <v>-1550.0</v>
      </c>
      <c r="AK404" s="1">
        <v>1950.0</v>
      </c>
      <c r="AL404" s="2" t="s">
        <v>100</v>
      </c>
      <c r="AM404" s="2" t="s">
        <v>76</v>
      </c>
      <c r="AN404" s="1" t="s">
        <v>74</v>
      </c>
      <c r="AO404" s="2" t="s">
        <v>60</v>
      </c>
      <c r="AQ404" s="2" t="s">
        <v>102</v>
      </c>
      <c r="AR404" s="2" t="s">
        <v>76</v>
      </c>
      <c r="AS404" s="1">
        <v>1188.0</v>
      </c>
      <c r="AT404" s="1">
        <v>1188.0</v>
      </c>
      <c r="AU404" s="1">
        <v>508.0</v>
      </c>
      <c r="AV404" s="1">
        <v>44.0</v>
      </c>
      <c r="AW404" s="1">
        <v>136.0</v>
      </c>
      <c r="AX404" s="1">
        <v>5407.0</v>
      </c>
      <c r="AY404" s="1">
        <v>20.0</v>
      </c>
      <c r="AZ404" s="1" t="s">
        <v>239</v>
      </c>
      <c r="BA404" s="1" t="s">
        <v>121</v>
      </c>
    </row>
    <row r="405">
      <c r="A405" s="1" t="s">
        <v>1538</v>
      </c>
      <c r="B405" s="1" t="s">
        <v>53</v>
      </c>
      <c r="C405" s="1">
        <v>1996.0</v>
      </c>
      <c r="D405" s="1" t="s">
        <v>1539</v>
      </c>
      <c r="E405" s="1" t="s">
        <v>1540</v>
      </c>
      <c r="F405" s="1" t="s">
        <v>303</v>
      </c>
      <c r="G405" s="1" t="s">
        <v>1541</v>
      </c>
      <c r="H405" s="1" t="s">
        <v>1542</v>
      </c>
      <c r="I405" s="1">
        <v>46.0</v>
      </c>
      <c r="J405" s="1">
        <v>1.0</v>
      </c>
      <c r="K405" s="2" t="s">
        <v>1543</v>
      </c>
      <c r="L405" s="2" t="s">
        <v>60</v>
      </c>
      <c r="M405" s="1" t="s">
        <v>1547</v>
      </c>
      <c r="N405" s="1" t="s">
        <v>62</v>
      </c>
      <c r="O405" s="1" t="s">
        <v>92</v>
      </c>
      <c r="P405" s="1" t="s">
        <v>235</v>
      </c>
      <c r="Q405" s="1">
        <v>20.633333</v>
      </c>
      <c r="R405" s="1">
        <v>-87.616667</v>
      </c>
      <c r="S405" s="1" t="s">
        <v>148</v>
      </c>
      <c r="T405" s="2" t="s">
        <v>95</v>
      </c>
      <c r="U405" s="2" t="s">
        <v>96</v>
      </c>
      <c r="V405" s="3" t="s">
        <v>97</v>
      </c>
      <c r="W405" s="1" t="s">
        <v>1545</v>
      </c>
      <c r="X405" s="1" t="s">
        <v>728</v>
      </c>
      <c r="Y405" s="6" t="s">
        <v>76</v>
      </c>
      <c r="Z405" s="3" t="s">
        <v>76</v>
      </c>
      <c r="AB405" s="1">
        <v>9.0</v>
      </c>
      <c r="AI405" s="1" t="s">
        <v>1546</v>
      </c>
      <c r="AJ405" s="1">
        <v>-1550.0</v>
      </c>
      <c r="AK405" s="1">
        <v>1950.0</v>
      </c>
      <c r="AL405" s="2" t="s">
        <v>100</v>
      </c>
      <c r="AM405" s="2" t="s">
        <v>76</v>
      </c>
      <c r="AN405" s="1" t="s">
        <v>74</v>
      </c>
      <c r="AO405" s="2" t="s">
        <v>60</v>
      </c>
      <c r="AQ405" s="2" t="s">
        <v>102</v>
      </c>
      <c r="AR405" s="2" t="s">
        <v>76</v>
      </c>
      <c r="AS405" s="1">
        <v>1188.0</v>
      </c>
      <c r="AT405" s="1">
        <v>1188.0</v>
      </c>
      <c r="AU405" s="1">
        <v>508.0</v>
      </c>
      <c r="AV405" s="1">
        <v>44.0</v>
      </c>
      <c r="AW405" s="1">
        <v>136.0</v>
      </c>
      <c r="AX405" s="1">
        <v>5407.0</v>
      </c>
      <c r="AY405" s="1">
        <v>20.0</v>
      </c>
      <c r="AZ405" s="1" t="s">
        <v>239</v>
      </c>
      <c r="BA405" s="1" t="s">
        <v>121</v>
      </c>
    </row>
    <row r="406">
      <c r="A406" s="1" t="s">
        <v>1538</v>
      </c>
      <c r="B406" s="1" t="s">
        <v>53</v>
      </c>
      <c r="C406" s="1">
        <v>1996.0</v>
      </c>
      <c r="D406" s="1" t="s">
        <v>1539</v>
      </c>
      <c r="E406" s="1" t="s">
        <v>1540</v>
      </c>
      <c r="F406" s="1" t="s">
        <v>303</v>
      </c>
      <c r="G406" s="1" t="s">
        <v>1541</v>
      </c>
      <c r="H406" s="1" t="s">
        <v>1542</v>
      </c>
      <c r="I406" s="1">
        <v>46.0</v>
      </c>
      <c r="J406" s="1">
        <v>1.0</v>
      </c>
      <c r="K406" s="2" t="s">
        <v>1543</v>
      </c>
      <c r="L406" s="2" t="s">
        <v>60</v>
      </c>
      <c r="M406" s="1" t="s">
        <v>1548</v>
      </c>
      <c r="N406" s="1" t="s">
        <v>62</v>
      </c>
      <c r="O406" s="1" t="s">
        <v>92</v>
      </c>
      <c r="P406" s="1" t="s">
        <v>235</v>
      </c>
      <c r="Q406" s="1">
        <v>20.633333</v>
      </c>
      <c r="R406" s="1">
        <v>-87.616667</v>
      </c>
      <c r="S406" s="1" t="s">
        <v>148</v>
      </c>
      <c r="T406" s="2" t="s">
        <v>95</v>
      </c>
      <c r="U406" s="2" t="s">
        <v>96</v>
      </c>
      <c r="V406" s="3" t="s">
        <v>97</v>
      </c>
      <c r="W406" s="1" t="s">
        <v>1545</v>
      </c>
      <c r="X406" s="1" t="s">
        <v>728</v>
      </c>
      <c r="Y406" s="6" t="s">
        <v>76</v>
      </c>
      <c r="Z406" s="3" t="s">
        <v>76</v>
      </c>
      <c r="AB406" s="1">
        <v>9.0</v>
      </c>
      <c r="AI406" s="1" t="s">
        <v>1546</v>
      </c>
      <c r="AJ406" s="1">
        <v>-1550.0</v>
      </c>
      <c r="AK406" s="1">
        <v>1950.0</v>
      </c>
      <c r="AL406" s="2" t="s">
        <v>100</v>
      </c>
      <c r="AM406" s="2" t="s">
        <v>76</v>
      </c>
      <c r="AN406" s="1" t="s">
        <v>74</v>
      </c>
      <c r="AO406" s="2" t="s">
        <v>60</v>
      </c>
      <c r="AQ406" s="2" t="s">
        <v>102</v>
      </c>
      <c r="AR406" s="2" t="s">
        <v>76</v>
      </c>
      <c r="AS406" s="1">
        <v>1188.0</v>
      </c>
      <c r="AT406" s="1">
        <v>1188.0</v>
      </c>
      <c r="AU406" s="1">
        <v>508.0</v>
      </c>
      <c r="AV406" s="1">
        <v>44.0</v>
      </c>
      <c r="AW406" s="1">
        <v>136.0</v>
      </c>
      <c r="AX406" s="1">
        <v>5407.0</v>
      </c>
      <c r="AY406" s="1">
        <v>20.0</v>
      </c>
      <c r="AZ406" s="1" t="s">
        <v>239</v>
      </c>
      <c r="BA406" s="1" t="s">
        <v>121</v>
      </c>
    </row>
    <row r="407">
      <c r="A407" s="1" t="s">
        <v>566</v>
      </c>
      <c r="B407" s="1" t="s">
        <v>53</v>
      </c>
      <c r="C407" s="1">
        <v>1998.0</v>
      </c>
      <c r="D407" s="1" t="s">
        <v>567</v>
      </c>
      <c r="E407" s="1" t="s">
        <v>568</v>
      </c>
      <c r="F407" s="1" t="s">
        <v>303</v>
      </c>
      <c r="G407" s="1" t="s">
        <v>569</v>
      </c>
      <c r="H407" s="1" t="s">
        <v>570</v>
      </c>
      <c r="I407" s="1">
        <v>49.0</v>
      </c>
      <c r="J407" s="1">
        <v>1.0</v>
      </c>
      <c r="K407" s="2" t="s">
        <v>571</v>
      </c>
      <c r="L407" s="2" t="s">
        <v>60</v>
      </c>
      <c r="M407" s="1" t="s">
        <v>1549</v>
      </c>
      <c r="N407" s="1" t="s">
        <v>62</v>
      </c>
      <c r="O407" s="1" t="s">
        <v>92</v>
      </c>
      <c r="P407" s="1" t="s">
        <v>453</v>
      </c>
      <c r="Q407" s="1">
        <v>20.491511</v>
      </c>
      <c r="R407" s="1">
        <v>-87.738733</v>
      </c>
      <c r="S407" s="1" t="s">
        <v>148</v>
      </c>
      <c r="T407" s="2" t="s">
        <v>66</v>
      </c>
      <c r="U407" s="1" t="s">
        <v>823</v>
      </c>
      <c r="V407" s="3" t="s">
        <v>68</v>
      </c>
      <c r="W407" s="1" t="s">
        <v>1369</v>
      </c>
      <c r="X407" s="1" t="s">
        <v>70</v>
      </c>
      <c r="Y407" s="5" t="s">
        <v>60</v>
      </c>
      <c r="Z407" s="3" t="s">
        <v>345</v>
      </c>
      <c r="AB407" s="1">
        <v>8.0</v>
      </c>
      <c r="AI407" s="2" t="s">
        <v>72</v>
      </c>
      <c r="AJ407" s="1">
        <v>-6050.0</v>
      </c>
      <c r="AK407" s="1">
        <v>1950.0</v>
      </c>
      <c r="AL407" s="2" t="s">
        <v>73</v>
      </c>
      <c r="AM407" s="2" t="s">
        <v>72</v>
      </c>
      <c r="AN407" s="1" t="s">
        <v>74</v>
      </c>
      <c r="AO407" s="2" t="s">
        <v>60</v>
      </c>
      <c r="AQ407" s="2" t="s">
        <v>576</v>
      </c>
      <c r="AR407" s="2" t="s">
        <v>76</v>
      </c>
      <c r="AS407" s="1">
        <v>1151.0</v>
      </c>
      <c r="AT407" s="1">
        <v>1151.0</v>
      </c>
      <c r="AU407" s="1">
        <v>500.0</v>
      </c>
      <c r="AV407" s="1">
        <v>42.0</v>
      </c>
      <c r="AW407" s="1">
        <v>129.0</v>
      </c>
      <c r="AX407" s="1">
        <v>5567.0</v>
      </c>
      <c r="AY407" s="1">
        <v>14.0</v>
      </c>
      <c r="AZ407" s="1" t="s">
        <v>239</v>
      </c>
      <c r="BA407" s="1" t="s">
        <v>121</v>
      </c>
    </row>
    <row r="408">
      <c r="A408" s="1" t="s">
        <v>1550</v>
      </c>
      <c r="B408" s="1" t="s">
        <v>53</v>
      </c>
      <c r="C408" s="1">
        <v>2002.0</v>
      </c>
      <c r="D408" s="1" t="s">
        <v>1551</v>
      </c>
      <c r="E408" s="1" t="s">
        <v>1552</v>
      </c>
      <c r="F408" s="1" t="s">
        <v>303</v>
      </c>
      <c r="G408" s="1" t="s">
        <v>1553</v>
      </c>
      <c r="H408" s="1" t="s">
        <v>1554</v>
      </c>
      <c r="I408" s="1">
        <v>57.0</v>
      </c>
      <c r="K408" s="2" t="s">
        <v>1555</v>
      </c>
      <c r="L408" s="2" t="s">
        <v>60</v>
      </c>
      <c r="M408" s="1" t="s">
        <v>1556</v>
      </c>
      <c r="N408" s="1" t="s">
        <v>62</v>
      </c>
      <c r="O408" s="1" t="s">
        <v>167</v>
      </c>
      <c r="P408" s="1" t="s">
        <v>878</v>
      </c>
      <c r="Q408" s="1">
        <v>16.98567</v>
      </c>
      <c r="R408" s="1">
        <v>-89.674358</v>
      </c>
      <c r="S408" s="1" t="s">
        <v>148</v>
      </c>
      <c r="T408" s="2" t="s">
        <v>95</v>
      </c>
      <c r="U408" s="1" t="s">
        <v>1557</v>
      </c>
      <c r="V408" s="3" t="s">
        <v>97</v>
      </c>
      <c r="W408" s="1" t="s">
        <v>264</v>
      </c>
      <c r="X408" s="1" t="s">
        <v>728</v>
      </c>
      <c r="Y408" s="6" t="s">
        <v>76</v>
      </c>
      <c r="Z408" s="3" t="s">
        <v>76</v>
      </c>
      <c r="AB408" s="1">
        <v>17.0</v>
      </c>
      <c r="AI408" s="1" t="s">
        <v>1558</v>
      </c>
      <c r="AJ408" s="1">
        <v>-1550.0</v>
      </c>
      <c r="AK408" s="1">
        <v>1999.0</v>
      </c>
      <c r="AL408" s="3" t="s">
        <v>153</v>
      </c>
      <c r="AM408" s="2" t="s">
        <v>72</v>
      </c>
      <c r="AN408" s="1" t="s">
        <v>400</v>
      </c>
      <c r="AO408" s="2" t="s">
        <v>76</v>
      </c>
      <c r="AQ408" s="2" t="s">
        <v>102</v>
      </c>
      <c r="AR408" s="2" t="s">
        <v>76</v>
      </c>
      <c r="AS408" s="1">
        <v>1757.0</v>
      </c>
      <c r="AT408" s="1">
        <v>1757.0</v>
      </c>
      <c r="AU408" s="1">
        <v>704.0</v>
      </c>
      <c r="AV408" s="1">
        <v>37.0</v>
      </c>
      <c r="AW408" s="1">
        <v>141.0</v>
      </c>
      <c r="AX408" s="1">
        <v>5662.0</v>
      </c>
      <c r="AY408" s="1">
        <v>118.0</v>
      </c>
      <c r="AZ408" s="1" t="s">
        <v>133</v>
      </c>
      <c r="BA408" s="1" t="s">
        <v>121</v>
      </c>
    </row>
    <row r="409">
      <c r="A409" s="1" t="s">
        <v>1550</v>
      </c>
      <c r="B409" s="1" t="s">
        <v>53</v>
      </c>
      <c r="C409" s="1">
        <v>2002.0</v>
      </c>
      <c r="D409" s="1" t="s">
        <v>1551</v>
      </c>
      <c r="E409" s="1" t="s">
        <v>1552</v>
      </c>
      <c r="F409" s="1" t="s">
        <v>303</v>
      </c>
      <c r="G409" s="1" t="s">
        <v>1559</v>
      </c>
      <c r="H409" s="1" t="s">
        <v>1554</v>
      </c>
      <c r="I409" s="1">
        <v>57.0</v>
      </c>
      <c r="K409" s="2" t="s">
        <v>1555</v>
      </c>
      <c r="L409" s="2" t="s">
        <v>60</v>
      </c>
      <c r="M409" s="1" t="s">
        <v>1560</v>
      </c>
      <c r="N409" s="1" t="s">
        <v>62</v>
      </c>
      <c r="O409" s="1" t="s">
        <v>167</v>
      </c>
      <c r="P409" s="1" t="s">
        <v>878</v>
      </c>
      <c r="Q409" s="1">
        <v>16.98567</v>
      </c>
      <c r="R409" s="1">
        <v>-89.674358</v>
      </c>
      <c r="S409" s="1" t="s">
        <v>148</v>
      </c>
      <c r="T409" s="2" t="s">
        <v>194</v>
      </c>
      <c r="U409" s="1" t="s">
        <v>173</v>
      </c>
      <c r="V409" s="3" t="s">
        <v>68</v>
      </c>
      <c r="W409" s="1" t="s">
        <v>888</v>
      </c>
      <c r="X409" s="1" t="s">
        <v>70</v>
      </c>
      <c r="Y409" s="6" t="s">
        <v>76</v>
      </c>
      <c r="Z409" s="3" t="s">
        <v>173</v>
      </c>
      <c r="AB409" s="1">
        <v>17.0</v>
      </c>
      <c r="AI409" s="1" t="s">
        <v>1558</v>
      </c>
      <c r="AJ409" s="1">
        <v>-1550.0</v>
      </c>
      <c r="AK409" s="1">
        <v>1999.0</v>
      </c>
      <c r="AL409" s="3" t="s">
        <v>153</v>
      </c>
      <c r="AM409" s="2" t="s">
        <v>72</v>
      </c>
      <c r="AN409" s="1" t="s">
        <v>400</v>
      </c>
      <c r="AO409" s="2" t="s">
        <v>76</v>
      </c>
      <c r="AQ409" s="2" t="s">
        <v>102</v>
      </c>
      <c r="AR409" s="2" t="s">
        <v>76</v>
      </c>
      <c r="AS409" s="1">
        <v>1757.0</v>
      </c>
      <c r="AT409" s="1">
        <v>1757.0</v>
      </c>
      <c r="AU409" s="1">
        <v>704.0</v>
      </c>
      <c r="AV409" s="1">
        <v>37.0</v>
      </c>
      <c r="AW409" s="1">
        <v>141.0</v>
      </c>
      <c r="AX409" s="1">
        <v>5662.0</v>
      </c>
      <c r="AY409" s="1">
        <v>118.0</v>
      </c>
      <c r="AZ409" s="1" t="s">
        <v>133</v>
      </c>
      <c r="BA409" s="1" t="s">
        <v>121</v>
      </c>
    </row>
    <row r="410">
      <c r="A410" s="1" t="s">
        <v>1550</v>
      </c>
      <c r="B410" s="1" t="s">
        <v>53</v>
      </c>
      <c r="C410" s="1">
        <v>2002.0</v>
      </c>
      <c r="D410" s="1" t="s">
        <v>1551</v>
      </c>
      <c r="E410" s="1" t="s">
        <v>1552</v>
      </c>
      <c r="F410" s="1" t="s">
        <v>303</v>
      </c>
      <c r="G410" s="1" t="s">
        <v>1559</v>
      </c>
      <c r="H410" s="1" t="s">
        <v>1554</v>
      </c>
      <c r="I410" s="1">
        <v>57.0</v>
      </c>
      <c r="K410" s="2" t="s">
        <v>1555</v>
      </c>
      <c r="L410" s="2" t="s">
        <v>60</v>
      </c>
      <c r="M410" s="1" t="s">
        <v>1561</v>
      </c>
      <c r="N410" s="1" t="s">
        <v>62</v>
      </c>
      <c r="O410" s="1" t="s">
        <v>167</v>
      </c>
      <c r="P410" s="1" t="s">
        <v>878</v>
      </c>
      <c r="Q410" s="1">
        <v>16.98567</v>
      </c>
      <c r="R410" s="1">
        <v>-89.674358</v>
      </c>
      <c r="S410" s="1" t="s">
        <v>148</v>
      </c>
      <c r="T410" s="2" t="s">
        <v>189</v>
      </c>
      <c r="U410" s="1" t="s">
        <v>173</v>
      </c>
      <c r="V410" s="3" t="s">
        <v>68</v>
      </c>
      <c r="W410" s="1" t="s">
        <v>879</v>
      </c>
      <c r="X410" s="1" t="s">
        <v>70</v>
      </c>
      <c r="Y410" s="6" t="s">
        <v>76</v>
      </c>
      <c r="Z410" s="3" t="s">
        <v>173</v>
      </c>
      <c r="AB410" s="1">
        <v>17.0</v>
      </c>
      <c r="AI410" s="1" t="s">
        <v>1558</v>
      </c>
      <c r="AJ410" s="1">
        <v>-1550.0</v>
      </c>
      <c r="AK410" s="1">
        <v>1999.0</v>
      </c>
      <c r="AL410" s="3" t="s">
        <v>153</v>
      </c>
      <c r="AM410" s="2" t="s">
        <v>72</v>
      </c>
      <c r="AN410" s="1" t="s">
        <v>400</v>
      </c>
      <c r="AO410" s="2" t="s">
        <v>76</v>
      </c>
      <c r="AQ410" s="2" t="s">
        <v>102</v>
      </c>
      <c r="AR410" s="2" t="s">
        <v>76</v>
      </c>
      <c r="AS410" s="1">
        <v>1757.0</v>
      </c>
      <c r="AT410" s="1">
        <v>1757.0</v>
      </c>
      <c r="AU410" s="1">
        <v>704.0</v>
      </c>
      <c r="AV410" s="1">
        <v>37.0</v>
      </c>
      <c r="AW410" s="1">
        <v>141.0</v>
      </c>
      <c r="AX410" s="1">
        <v>5662.0</v>
      </c>
      <c r="AY410" s="1">
        <v>118.0</v>
      </c>
      <c r="AZ410" s="1" t="s">
        <v>133</v>
      </c>
      <c r="BA410" s="1" t="s">
        <v>121</v>
      </c>
    </row>
    <row r="411">
      <c r="A411" s="1" t="s">
        <v>1562</v>
      </c>
      <c r="B411" s="1" t="s">
        <v>53</v>
      </c>
      <c r="C411" s="1">
        <v>2003.0</v>
      </c>
      <c r="D411" s="1" t="s">
        <v>1563</v>
      </c>
      <c r="E411" s="1" t="s">
        <v>1564</v>
      </c>
      <c r="F411" s="1" t="s">
        <v>303</v>
      </c>
      <c r="G411" s="1" t="s">
        <v>1565</v>
      </c>
      <c r="H411" s="1" t="s">
        <v>1566</v>
      </c>
      <c r="I411" s="1">
        <v>59.0</v>
      </c>
      <c r="J411" s="1">
        <v>1.0</v>
      </c>
      <c r="K411" s="2" t="s">
        <v>1567</v>
      </c>
      <c r="L411" s="2" t="s">
        <v>60</v>
      </c>
      <c r="M411" s="1" t="s">
        <v>1568</v>
      </c>
      <c r="N411" s="1" t="s">
        <v>62</v>
      </c>
      <c r="O411" s="1" t="s">
        <v>146</v>
      </c>
      <c r="P411" s="1" t="s">
        <v>1569</v>
      </c>
      <c r="Q411" s="1">
        <v>8.705533</v>
      </c>
      <c r="R411" s="1">
        <v>-79.762489</v>
      </c>
      <c r="S411" s="1" t="s">
        <v>148</v>
      </c>
      <c r="T411" s="2" t="s">
        <v>66</v>
      </c>
      <c r="U411" s="3" t="s">
        <v>67</v>
      </c>
      <c r="V411" s="3" t="s">
        <v>68</v>
      </c>
      <c r="W411" s="2" t="s">
        <v>72</v>
      </c>
      <c r="X411" s="1" t="s">
        <v>70</v>
      </c>
      <c r="Y411" s="5" t="s">
        <v>76</v>
      </c>
      <c r="Z411" s="3" t="s">
        <v>1570</v>
      </c>
      <c r="AB411" s="1">
        <v>6.0</v>
      </c>
      <c r="AI411" s="2" t="s">
        <v>72</v>
      </c>
      <c r="AJ411" s="1">
        <v>-5550.0</v>
      </c>
      <c r="AK411" s="1">
        <v>1950.0</v>
      </c>
      <c r="AL411" s="2" t="s">
        <v>73</v>
      </c>
      <c r="AM411" s="2" t="s">
        <v>72</v>
      </c>
      <c r="AN411" s="2" t="s">
        <v>72</v>
      </c>
      <c r="AO411" s="2" t="s">
        <v>72</v>
      </c>
      <c r="AQ411" s="2" t="s">
        <v>75</v>
      </c>
      <c r="AR411" s="2" t="s">
        <v>76</v>
      </c>
      <c r="AS411" s="1">
        <v>1983.0</v>
      </c>
      <c r="AT411" s="1">
        <v>1983.0</v>
      </c>
      <c r="AU411" s="1">
        <v>781.0</v>
      </c>
      <c r="AV411" s="1">
        <v>9.0</v>
      </c>
      <c r="AW411" s="1">
        <v>50.0</v>
      </c>
      <c r="AX411" s="1">
        <v>6225.0</v>
      </c>
      <c r="AY411" s="1">
        <v>23.0</v>
      </c>
      <c r="AZ411" s="1" t="s">
        <v>120</v>
      </c>
      <c r="BA411" s="1" t="s">
        <v>121</v>
      </c>
    </row>
    <row r="412">
      <c r="A412" s="1" t="s">
        <v>1562</v>
      </c>
      <c r="B412" s="1" t="s">
        <v>53</v>
      </c>
      <c r="C412" s="1">
        <v>2003.0</v>
      </c>
      <c r="D412" s="1" t="s">
        <v>1563</v>
      </c>
      <c r="E412" s="1" t="s">
        <v>1564</v>
      </c>
      <c r="F412" s="1" t="s">
        <v>303</v>
      </c>
      <c r="G412" s="1" t="s">
        <v>1565</v>
      </c>
      <c r="H412" s="1" t="s">
        <v>1566</v>
      </c>
      <c r="I412" s="1">
        <v>59.0</v>
      </c>
      <c r="J412" s="1">
        <v>1.0</v>
      </c>
      <c r="K412" s="2" t="s">
        <v>1567</v>
      </c>
      <c r="L412" s="2" t="s">
        <v>60</v>
      </c>
      <c r="M412" s="1" t="s">
        <v>1571</v>
      </c>
      <c r="N412" s="1" t="s">
        <v>62</v>
      </c>
      <c r="O412" s="1" t="s">
        <v>146</v>
      </c>
      <c r="P412" s="1" t="s">
        <v>1569</v>
      </c>
      <c r="Q412" s="1">
        <v>8.705533</v>
      </c>
      <c r="R412" s="1">
        <v>-79.762489</v>
      </c>
      <c r="S412" s="1" t="s">
        <v>148</v>
      </c>
      <c r="T412" s="2" t="s">
        <v>293</v>
      </c>
      <c r="U412" s="3" t="s">
        <v>67</v>
      </c>
      <c r="V412" s="3" t="s">
        <v>68</v>
      </c>
      <c r="W412" s="2" t="s">
        <v>72</v>
      </c>
      <c r="X412" s="1" t="s">
        <v>70</v>
      </c>
      <c r="Y412" s="5" t="s">
        <v>76</v>
      </c>
      <c r="Z412" s="3" t="s">
        <v>1570</v>
      </c>
      <c r="AI412" s="2" t="s">
        <v>72</v>
      </c>
      <c r="AJ412" s="2" t="s">
        <v>72</v>
      </c>
      <c r="AK412" s="2" t="s">
        <v>72</v>
      </c>
      <c r="AL412" s="2" t="s">
        <v>73</v>
      </c>
      <c r="AM412" s="2" t="s">
        <v>72</v>
      </c>
      <c r="AN412" s="2" t="s">
        <v>72</v>
      </c>
      <c r="AO412" s="2" t="s">
        <v>72</v>
      </c>
      <c r="AQ412" s="2" t="s">
        <v>75</v>
      </c>
      <c r="AR412" s="2" t="s">
        <v>76</v>
      </c>
      <c r="AS412" s="1">
        <v>1983.0</v>
      </c>
      <c r="AT412" s="1">
        <v>1983.0</v>
      </c>
      <c r="AU412" s="1">
        <v>781.0</v>
      </c>
      <c r="AV412" s="1">
        <v>9.0</v>
      </c>
      <c r="AW412" s="1">
        <v>50.0</v>
      </c>
      <c r="AX412" s="1">
        <v>6225.0</v>
      </c>
      <c r="AY412" s="1">
        <v>23.0</v>
      </c>
      <c r="AZ412" s="1" t="s">
        <v>120</v>
      </c>
      <c r="BA412" s="1" t="s">
        <v>121</v>
      </c>
    </row>
    <row r="413">
      <c r="A413" s="1" t="s">
        <v>1562</v>
      </c>
      <c r="B413" s="1" t="s">
        <v>53</v>
      </c>
      <c r="C413" s="1">
        <v>2003.0</v>
      </c>
      <c r="D413" s="1" t="s">
        <v>1563</v>
      </c>
      <c r="E413" s="1" t="s">
        <v>1564</v>
      </c>
      <c r="F413" s="1" t="s">
        <v>303</v>
      </c>
      <c r="G413" s="1" t="s">
        <v>1565</v>
      </c>
      <c r="H413" s="1" t="s">
        <v>1566</v>
      </c>
      <c r="I413" s="1">
        <v>59.0</v>
      </c>
      <c r="J413" s="1">
        <v>1.0</v>
      </c>
      <c r="K413" s="2" t="s">
        <v>1567</v>
      </c>
      <c r="L413" s="2" t="s">
        <v>60</v>
      </c>
      <c r="M413" s="1" t="s">
        <v>1571</v>
      </c>
      <c r="N413" s="1" t="s">
        <v>62</v>
      </c>
      <c r="O413" s="1" t="s">
        <v>146</v>
      </c>
      <c r="P413" s="1" t="s">
        <v>1569</v>
      </c>
      <c r="Q413" s="1">
        <v>8.705533</v>
      </c>
      <c r="R413" s="1">
        <v>-79.762489</v>
      </c>
      <c r="S413" s="1" t="s">
        <v>148</v>
      </c>
      <c r="T413" s="3" t="s">
        <v>80</v>
      </c>
      <c r="U413" s="3" t="s">
        <v>81</v>
      </c>
      <c r="V413" s="3" t="s">
        <v>68</v>
      </c>
      <c r="W413" s="3" t="s">
        <v>1572</v>
      </c>
      <c r="X413" s="3" t="s">
        <v>1573</v>
      </c>
      <c r="Y413" s="5" t="s">
        <v>76</v>
      </c>
      <c r="Z413" s="3" t="s">
        <v>84</v>
      </c>
      <c r="AI413" s="2" t="s">
        <v>72</v>
      </c>
      <c r="AJ413" s="2" t="s">
        <v>72</v>
      </c>
      <c r="AK413" s="2" t="s">
        <v>72</v>
      </c>
      <c r="AL413" s="2" t="s">
        <v>73</v>
      </c>
      <c r="AM413" s="2" t="s">
        <v>72</v>
      </c>
      <c r="AN413" s="2" t="s">
        <v>72</v>
      </c>
      <c r="AO413" s="2" t="s">
        <v>72</v>
      </c>
      <c r="AQ413" s="2" t="s">
        <v>75</v>
      </c>
      <c r="AR413" s="2" t="s">
        <v>76</v>
      </c>
      <c r="AS413" s="1">
        <v>1983.0</v>
      </c>
      <c r="AT413" s="1">
        <v>1983.0</v>
      </c>
      <c r="AU413" s="1">
        <v>781.0</v>
      </c>
      <c r="AV413" s="1">
        <v>9.0</v>
      </c>
      <c r="AW413" s="1">
        <v>50.0</v>
      </c>
      <c r="AX413" s="1">
        <v>6225.0</v>
      </c>
      <c r="AY413" s="1">
        <v>23.0</v>
      </c>
      <c r="AZ413" s="1" t="s">
        <v>120</v>
      </c>
      <c r="BA413" s="1" t="s">
        <v>121</v>
      </c>
    </row>
    <row r="414">
      <c r="A414" s="1" t="s">
        <v>1574</v>
      </c>
      <c r="B414" s="1" t="s">
        <v>53</v>
      </c>
      <c r="C414" s="1">
        <v>2007.0</v>
      </c>
      <c r="D414" s="1" t="s">
        <v>1575</v>
      </c>
      <c r="E414" s="1" t="s">
        <v>1576</v>
      </c>
      <c r="F414" s="1" t="s">
        <v>303</v>
      </c>
      <c r="G414" s="1" t="s">
        <v>1577</v>
      </c>
      <c r="H414" s="1" t="s">
        <v>1578</v>
      </c>
      <c r="I414" s="1">
        <v>68.0</v>
      </c>
      <c r="K414" s="2" t="s">
        <v>1579</v>
      </c>
      <c r="L414" s="2" t="s">
        <v>76</v>
      </c>
      <c r="M414" s="1" t="s">
        <v>1574</v>
      </c>
      <c r="N414" s="1" t="s">
        <v>62</v>
      </c>
      <c r="O414" s="1" t="s">
        <v>187</v>
      </c>
      <c r="P414" s="1" t="s">
        <v>1580</v>
      </c>
      <c r="Q414" s="1">
        <v>16.89</v>
      </c>
      <c r="R414" s="1">
        <v>-89.118889</v>
      </c>
      <c r="S414" s="1" t="s">
        <v>1581</v>
      </c>
      <c r="T414" s="2" t="s">
        <v>135</v>
      </c>
      <c r="U414" s="3" t="s">
        <v>1582</v>
      </c>
      <c r="V414" s="3" t="s">
        <v>171</v>
      </c>
      <c r="W414" s="1" t="s">
        <v>1583</v>
      </c>
      <c r="X414" s="2" t="s">
        <v>728</v>
      </c>
      <c r="Y414" s="6" t="s">
        <v>76</v>
      </c>
      <c r="Z414" s="3" t="s">
        <v>411</v>
      </c>
      <c r="AB414" s="1">
        <v>9.0</v>
      </c>
      <c r="AI414" s="1" t="s">
        <v>1584</v>
      </c>
      <c r="AJ414" s="1">
        <v>-650.0</v>
      </c>
      <c r="AK414" s="1">
        <v>1950.0</v>
      </c>
      <c r="AL414" s="2" t="s">
        <v>73</v>
      </c>
      <c r="AM414" s="2" t="s">
        <v>60</v>
      </c>
      <c r="AN414" s="2" t="s">
        <v>72</v>
      </c>
      <c r="AO414" s="2" t="s">
        <v>72</v>
      </c>
      <c r="AQ414" s="2" t="s">
        <v>102</v>
      </c>
      <c r="AR414" s="2" t="s">
        <v>76</v>
      </c>
      <c r="AS414" s="1">
        <v>2136.0</v>
      </c>
      <c r="AT414" s="1">
        <v>2136.0</v>
      </c>
      <c r="AU414" s="1">
        <v>878.0</v>
      </c>
      <c r="AV414" s="1">
        <v>51.0</v>
      </c>
      <c r="AW414" s="1">
        <v>183.0</v>
      </c>
      <c r="AX414" s="1">
        <v>5491.0</v>
      </c>
      <c r="AY414" s="1">
        <v>481.0</v>
      </c>
      <c r="AZ414" s="1" t="s">
        <v>133</v>
      </c>
      <c r="BA414" s="1" t="s">
        <v>121</v>
      </c>
    </row>
    <row r="415">
      <c r="A415" s="1" t="s">
        <v>1585</v>
      </c>
      <c r="B415" s="1" t="s">
        <v>53</v>
      </c>
      <c r="C415" s="1">
        <v>2012.0</v>
      </c>
      <c r="D415" s="1" t="s">
        <v>1586</v>
      </c>
      <c r="E415" s="1" t="s">
        <v>1587</v>
      </c>
      <c r="F415" s="3" t="s">
        <v>303</v>
      </c>
      <c r="G415" s="1" t="s">
        <v>1588</v>
      </c>
      <c r="H415" s="1" t="s">
        <v>1589</v>
      </c>
      <c r="I415" s="1">
        <v>78.0</v>
      </c>
      <c r="J415" s="1">
        <v>3.0</v>
      </c>
      <c r="K415" s="2" t="s">
        <v>1590</v>
      </c>
      <c r="L415" s="2" t="s">
        <v>60</v>
      </c>
      <c r="M415" s="1" t="s">
        <v>1591</v>
      </c>
      <c r="N415" s="1" t="s">
        <v>62</v>
      </c>
      <c r="O415" s="1" t="s">
        <v>521</v>
      </c>
      <c r="P415" s="1" t="s">
        <v>1592</v>
      </c>
      <c r="Q415" s="1">
        <v>12.087693</v>
      </c>
      <c r="R415" s="1">
        <v>-83.700095</v>
      </c>
      <c r="S415" s="1" t="s">
        <v>148</v>
      </c>
      <c r="T415" s="2" t="s">
        <v>66</v>
      </c>
      <c r="U415" s="3" t="s">
        <v>1593</v>
      </c>
      <c r="V415" s="3" t="s">
        <v>788</v>
      </c>
      <c r="W415" s="1" t="s">
        <v>1594</v>
      </c>
      <c r="X415" s="1" t="s">
        <v>70</v>
      </c>
      <c r="Y415" s="5" t="s">
        <v>76</v>
      </c>
      <c r="Z415" s="3" t="s">
        <v>76</v>
      </c>
      <c r="AB415" s="1">
        <v>4.0</v>
      </c>
      <c r="AI415" s="1" t="s">
        <v>1595</v>
      </c>
      <c r="AJ415" s="1">
        <v>-4300.0</v>
      </c>
      <c r="AK415" s="1">
        <v>2000.0</v>
      </c>
      <c r="AL415" s="2" t="s">
        <v>100</v>
      </c>
      <c r="AM415" s="2" t="s">
        <v>72</v>
      </c>
      <c r="AN415" s="2" t="s">
        <v>524</v>
      </c>
      <c r="AO415" s="2" t="s">
        <v>72</v>
      </c>
      <c r="AQ415" s="2" t="s">
        <v>75</v>
      </c>
      <c r="AR415" s="2" t="s">
        <v>76</v>
      </c>
      <c r="AS415" s="1">
        <v>2915.0</v>
      </c>
      <c r="AT415" s="1">
        <v>2915.0</v>
      </c>
      <c r="AU415" s="1">
        <v>1355.0</v>
      </c>
      <c r="AV415" s="1">
        <v>37.0</v>
      </c>
      <c r="AW415" s="1">
        <v>151.0</v>
      </c>
      <c r="AX415" s="1">
        <v>6555.0</v>
      </c>
      <c r="AY415" s="1">
        <v>1.0</v>
      </c>
      <c r="AZ415" s="1" t="s">
        <v>658</v>
      </c>
      <c r="BA415" s="1" t="s">
        <v>659</v>
      </c>
    </row>
    <row r="416">
      <c r="A416" s="1" t="s">
        <v>1585</v>
      </c>
      <c r="B416" s="1" t="s">
        <v>53</v>
      </c>
      <c r="C416" s="1">
        <v>2012.0</v>
      </c>
      <c r="D416" s="1" t="s">
        <v>1586</v>
      </c>
      <c r="E416" s="1" t="s">
        <v>1587</v>
      </c>
      <c r="F416" s="3" t="s">
        <v>303</v>
      </c>
      <c r="G416" s="1" t="s">
        <v>1588</v>
      </c>
      <c r="H416" s="1" t="s">
        <v>1589</v>
      </c>
      <c r="I416" s="1">
        <v>78.0</v>
      </c>
      <c r="J416" s="1">
        <v>3.0</v>
      </c>
      <c r="K416" s="2" t="s">
        <v>1590</v>
      </c>
      <c r="L416" s="2" t="s">
        <v>60</v>
      </c>
      <c r="M416" s="1" t="s">
        <v>1596</v>
      </c>
      <c r="N416" s="1" t="s">
        <v>62</v>
      </c>
      <c r="O416" s="1" t="s">
        <v>521</v>
      </c>
      <c r="P416" s="1" t="s">
        <v>1592</v>
      </c>
      <c r="Q416" s="1">
        <v>12.087693</v>
      </c>
      <c r="R416" s="1">
        <v>-83.700095</v>
      </c>
      <c r="S416" s="1" t="s">
        <v>148</v>
      </c>
      <c r="T416" s="2" t="s">
        <v>189</v>
      </c>
      <c r="U416" s="1" t="s">
        <v>1597</v>
      </c>
      <c r="V416" s="3" t="s">
        <v>97</v>
      </c>
      <c r="W416" s="1" t="s">
        <v>1598</v>
      </c>
      <c r="X416" s="1" t="s">
        <v>70</v>
      </c>
      <c r="Y416" s="6" t="s">
        <v>76</v>
      </c>
      <c r="Z416" s="3" t="s">
        <v>76</v>
      </c>
      <c r="AB416" s="1">
        <v>2.0</v>
      </c>
      <c r="AI416" s="1" t="s">
        <v>1595</v>
      </c>
      <c r="AJ416" s="1">
        <v>-1000.0</v>
      </c>
      <c r="AK416" s="1">
        <v>2000.0</v>
      </c>
      <c r="AL416" s="2" t="s">
        <v>100</v>
      </c>
      <c r="AM416" s="2" t="s">
        <v>72</v>
      </c>
      <c r="AN416" s="2" t="s">
        <v>524</v>
      </c>
      <c r="AO416" s="2" t="s">
        <v>72</v>
      </c>
      <c r="AQ416" s="2" t="s">
        <v>75</v>
      </c>
      <c r="AR416" s="2" t="s">
        <v>76</v>
      </c>
      <c r="AS416" s="1">
        <v>2915.0</v>
      </c>
      <c r="AT416" s="1">
        <v>2915.0</v>
      </c>
      <c r="AU416" s="1">
        <v>1355.0</v>
      </c>
      <c r="AV416" s="1">
        <v>37.0</v>
      </c>
      <c r="AW416" s="1">
        <v>151.0</v>
      </c>
      <c r="AX416" s="1">
        <v>6555.0</v>
      </c>
      <c r="AY416" s="1">
        <v>1.0</v>
      </c>
      <c r="AZ416" s="1" t="s">
        <v>658</v>
      </c>
      <c r="BA416" s="1" t="s">
        <v>659</v>
      </c>
    </row>
    <row r="417">
      <c r="A417" s="1" t="s">
        <v>1585</v>
      </c>
      <c r="B417" s="1" t="s">
        <v>53</v>
      </c>
      <c r="C417" s="1">
        <v>2012.0</v>
      </c>
      <c r="D417" s="1" t="s">
        <v>1586</v>
      </c>
      <c r="E417" s="1" t="s">
        <v>1587</v>
      </c>
      <c r="F417" s="3" t="s">
        <v>303</v>
      </c>
      <c r="G417" s="1" t="s">
        <v>1588</v>
      </c>
      <c r="H417" s="1" t="s">
        <v>1589</v>
      </c>
      <c r="I417" s="1">
        <v>78.0</v>
      </c>
      <c r="J417" s="1">
        <v>3.0</v>
      </c>
      <c r="K417" s="2" t="s">
        <v>1590</v>
      </c>
      <c r="L417" s="2" t="s">
        <v>60</v>
      </c>
      <c r="M417" s="1" t="s">
        <v>1599</v>
      </c>
      <c r="N417" s="1" t="s">
        <v>62</v>
      </c>
      <c r="O417" s="1" t="s">
        <v>521</v>
      </c>
      <c r="P417" s="1" t="s">
        <v>1592</v>
      </c>
      <c r="Q417" s="1">
        <v>12.087693</v>
      </c>
      <c r="R417" s="1">
        <v>-83.700095</v>
      </c>
      <c r="S417" s="1" t="s">
        <v>148</v>
      </c>
      <c r="T417" s="2" t="s">
        <v>189</v>
      </c>
      <c r="U417" s="1" t="s">
        <v>1597</v>
      </c>
      <c r="V417" s="3" t="s">
        <v>97</v>
      </c>
      <c r="W417" s="1" t="s">
        <v>1600</v>
      </c>
      <c r="X417" s="1" t="s">
        <v>70</v>
      </c>
      <c r="Y417" s="6" t="s">
        <v>76</v>
      </c>
      <c r="Z417" s="3" t="s">
        <v>76</v>
      </c>
      <c r="AB417" s="1">
        <v>1.0</v>
      </c>
      <c r="AI417" s="1" t="s">
        <v>1595</v>
      </c>
      <c r="AJ417" s="1">
        <v>1000.0</v>
      </c>
      <c r="AK417" s="1">
        <v>2000.0</v>
      </c>
      <c r="AL417" s="2" t="s">
        <v>100</v>
      </c>
      <c r="AM417" s="2" t="s">
        <v>72</v>
      </c>
      <c r="AN417" s="2" t="s">
        <v>524</v>
      </c>
      <c r="AO417" s="2" t="s">
        <v>72</v>
      </c>
      <c r="AQ417" s="2" t="s">
        <v>75</v>
      </c>
      <c r="AR417" s="2" t="s">
        <v>76</v>
      </c>
      <c r="AS417" s="1">
        <v>2915.0</v>
      </c>
      <c r="AT417" s="1">
        <v>2915.0</v>
      </c>
      <c r="AU417" s="1">
        <v>1355.0</v>
      </c>
      <c r="AV417" s="1">
        <v>37.0</v>
      </c>
      <c r="AW417" s="1">
        <v>151.0</v>
      </c>
      <c r="AX417" s="1">
        <v>6555.0</v>
      </c>
      <c r="AY417" s="1">
        <v>1.0</v>
      </c>
      <c r="AZ417" s="1" t="s">
        <v>658</v>
      </c>
      <c r="BA417" s="1" t="s">
        <v>659</v>
      </c>
    </row>
    <row r="418">
      <c r="A418" s="1" t="s">
        <v>1585</v>
      </c>
      <c r="B418" s="1" t="s">
        <v>53</v>
      </c>
      <c r="C418" s="1">
        <v>2012.0</v>
      </c>
      <c r="D418" s="1" t="s">
        <v>1586</v>
      </c>
      <c r="E418" s="1" t="s">
        <v>1587</v>
      </c>
      <c r="F418" s="3" t="s">
        <v>303</v>
      </c>
      <c r="G418" s="1" t="s">
        <v>1588</v>
      </c>
      <c r="H418" s="1" t="s">
        <v>1589</v>
      </c>
      <c r="I418" s="1">
        <v>78.0</v>
      </c>
      <c r="J418" s="1">
        <v>3.0</v>
      </c>
      <c r="K418" s="2" t="s">
        <v>1590</v>
      </c>
      <c r="L418" s="2" t="s">
        <v>60</v>
      </c>
      <c r="M418" s="1" t="s">
        <v>1601</v>
      </c>
      <c r="N418" s="1" t="s">
        <v>62</v>
      </c>
      <c r="O418" s="1" t="s">
        <v>521</v>
      </c>
      <c r="P418" s="1" t="s">
        <v>1592</v>
      </c>
      <c r="Q418" s="1">
        <v>12.087693</v>
      </c>
      <c r="R418" s="1">
        <v>-83.700095</v>
      </c>
      <c r="S418" s="1" t="s">
        <v>148</v>
      </c>
      <c r="T418" s="2" t="s">
        <v>189</v>
      </c>
      <c r="U418" s="1" t="s">
        <v>1597</v>
      </c>
      <c r="V418" s="3" t="s">
        <v>97</v>
      </c>
      <c r="W418" s="1" t="s">
        <v>1602</v>
      </c>
      <c r="X418" s="1" t="s">
        <v>70</v>
      </c>
      <c r="Y418" s="6" t="s">
        <v>76</v>
      </c>
      <c r="Z418" s="3" t="s">
        <v>76</v>
      </c>
      <c r="AA418" s="1">
        <v>1.0</v>
      </c>
      <c r="AJ418" s="2" t="s">
        <v>72</v>
      </c>
      <c r="AK418" s="2" t="s">
        <v>72</v>
      </c>
      <c r="AL418" s="2" t="s">
        <v>100</v>
      </c>
      <c r="AM418" s="2" t="s">
        <v>72</v>
      </c>
      <c r="AN418" s="2" t="s">
        <v>524</v>
      </c>
      <c r="AO418" s="2" t="s">
        <v>72</v>
      </c>
      <c r="AQ418" s="2" t="s">
        <v>75</v>
      </c>
      <c r="AR418" s="2" t="s">
        <v>76</v>
      </c>
      <c r="AS418" s="1">
        <v>2915.0</v>
      </c>
      <c r="AT418" s="1">
        <v>2915.0</v>
      </c>
      <c r="AU418" s="1">
        <v>1355.0</v>
      </c>
      <c r="AV418" s="1">
        <v>37.0</v>
      </c>
      <c r="AW418" s="1">
        <v>151.0</v>
      </c>
      <c r="AX418" s="1">
        <v>6555.0</v>
      </c>
      <c r="AY418" s="1">
        <v>1.0</v>
      </c>
      <c r="AZ418" s="1" t="s">
        <v>658</v>
      </c>
      <c r="BA418" s="1" t="s">
        <v>659</v>
      </c>
    </row>
    <row r="419">
      <c r="A419" s="1" t="s">
        <v>1585</v>
      </c>
      <c r="B419" s="1" t="s">
        <v>53</v>
      </c>
      <c r="C419" s="1">
        <v>2012.0</v>
      </c>
      <c r="D419" s="1" t="s">
        <v>1586</v>
      </c>
      <c r="E419" s="1" t="s">
        <v>1587</v>
      </c>
      <c r="F419" s="3" t="s">
        <v>303</v>
      </c>
      <c r="G419" s="1" t="s">
        <v>1588</v>
      </c>
      <c r="H419" s="1" t="s">
        <v>1589</v>
      </c>
      <c r="I419" s="1">
        <v>78.0</v>
      </c>
      <c r="J419" s="1">
        <v>3.0</v>
      </c>
      <c r="K419" s="2" t="s">
        <v>1590</v>
      </c>
      <c r="L419" s="2" t="s">
        <v>60</v>
      </c>
      <c r="M419" s="1" t="s">
        <v>1603</v>
      </c>
      <c r="N419" s="1" t="s">
        <v>62</v>
      </c>
      <c r="O419" s="1" t="s">
        <v>521</v>
      </c>
      <c r="P419" s="1" t="s">
        <v>1592</v>
      </c>
      <c r="Q419" s="1">
        <v>12.087693</v>
      </c>
      <c r="R419" s="1">
        <v>-83.700095</v>
      </c>
      <c r="S419" s="1" t="s">
        <v>148</v>
      </c>
      <c r="T419" s="2" t="s">
        <v>189</v>
      </c>
      <c r="U419" s="1" t="s">
        <v>1597</v>
      </c>
      <c r="V419" s="3" t="s">
        <v>97</v>
      </c>
      <c r="W419" s="1" t="s">
        <v>1604</v>
      </c>
      <c r="X419" s="1" t="s">
        <v>70</v>
      </c>
      <c r="Y419" s="6" t="s">
        <v>76</v>
      </c>
      <c r="Z419" s="3" t="s">
        <v>76</v>
      </c>
      <c r="AB419" s="1">
        <v>4.0</v>
      </c>
      <c r="AI419" s="1" t="s">
        <v>1595</v>
      </c>
      <c r="AJ419" s="1">
        <v>-4300.0</v>
      </c>
      <c r="AK419" s="1">
        <v>2000.0</v>
      </c>
      <c r="AL419" s="2" t="s">
        <v>100</v>
      </c>
      <c r="AM419" s="2" t="s">
        <v>72</v>
      </c>
      <c r="AN419" s="2" t="s">
        <v>524</v>
      </c>
      <c r="AO419" s="2" t="s">
        <v>72</v>
      </c>
      <c r="AQ419" s="2" t="s">
        <v>75</v>
      </c>
      <c r="AR419" s="2" t="s">
        <v>76</v>
      </c>
      <c r="AS419" s="1">
        <v>2915.0</v>
      </c>
      <c r="AT419" s="1">
        <v>2915.0</v>
      </c>
      <c r="AU419" s="1">
        <v>1355.0</v>
      </c>
      <c r="AV419" s="1">
        <v>37.0</v>
      </c>
      <c r="AW419" s="1">
        <v>151.0</v>
      </c>
      <c r="AX419" s="1">
        <v>6555.0</v>
      </c>
      <c r="AY419" s="1">
        <v>1.0</v>
      </c>
      <c r="AZ419" s="1" t="s">
        <v>658</v>
      </c>
      <c r="BA419" s="1" t="s">
        <v>659</v>
      </c>
    </row>
    <row r="420">
      <c r="A420" s="1" t="s">
        <v>1585</v>
      </c>
      <c r="B420" s="1" t="s">
        <v>53</v>
      </c>
      <c r="C420" s="1">
        <v>2012.0</v>
      </c>
      <c r="D420" s="1" t="s">
        <v>1586</v>
      </c>
      <c r="E420" s="1" t="s">
        <v>1587</v>
      </c>
      <c r="F420" s="3" t="s">
        <v>303</v>
      </c>
      <c r="G420" s="1" t="s">
        <v>1588</v>
      </c>
      <c r="H420" s="1" t="s">
        <v>1589</v>
      </c>
      <c r="I420" s="1">
        <v>78.0</v>
      </c>
      <c r="J420" s="1">
        <v>3.0</v>
      </c>
      <c r="K420" s="2" t="s">
        <v>1590</v>
      </c>
      <c r="L420" s="2" t="s">
        <v>60</v>
      </c>
      <c r="M420" s="1" t="s">
        <v>1605</v>
      </c>
      <c r="N420" s="1" t="s">
        <v>62</v>
      </c>
      <c r="O420" s="1" t="s">
        <v>521</v>
      </c>
      <c r="P420" s="1" t="s">
        <v>1592</v>
      </c>
      <c r="Q420" s="1">
        <v>12.087693</v>
      </c>
      <c r="R420" s="1">
        <v>-83.700095</v>
      </c>
      <c r="S420" s="1" t="s">
        <v>148</v>
      </c>
      <c r="T420" s="2" t="s">
        <v>275</v>
      </c>
      <c r="U420" s="1" t="s">
        <v>656</v>
      </c>
      <c r="V420" s="3" t="s">
        <v>97</v>
      </c>
      <c r="W420" s="1" t="s">
        <v>278</v>
      </c>
      <c r="X420" s="1" t="s">
        <v>279</v>
      </c>
      <c r="Y420" s="6" t="s">
        <v>76</v>
      </c>
      <c r="Z420" s="3" t="s">
        <v>76</v>
      </c>
      <c r="AB420" s="1">
        <v>2.0</v>
      </c>
      <c r="AI420" s="1" t="s">
        <v>1595</v>
      </c>
      <c r="AJ420" s="1">
        <v>-1000.0</v>
      </c>
      <c r="AK420" s="1">
        <v>2000.0</v>
      </c>
      <c r="AL420" s="2" t="s">
        <v>100</v>
      </c>
      <c r="AM420" s="2" t="s">
        <v>72</v>
      </c>
      <c r="AN420" s="2" t="s">
        <v>524</v>
      </c>
      <c r="AO420" s="2" t="s">
        <v>72</v>
      </c>
      <c r="AQ420" s="2" t="s">
        <v>75</v>
      </c>
      <c r="AR420" s="2" t="s">
        <v>76</v>
      </c>
      <c r="AS420" s="1">
        <v>2915.0</v>
      </c>
      <c r="AT420" s="1">
        <v>2915.0</v>
      </c>
      <c r="AU420" s="1">
        <v>1355.0</v>
      </c>
      <c r="AV420" s="1">
        <v>37.0</v>
      </c>
      <c r="AW420" s="1">
        <v>151.0</v>
      </c>
      <c r="AX420" s="1">
        <v>6555.0</v>
      </c>
      <c r="AY420" s="1">
        <v>1.0</v>
      </c>
      <c r="AZ420" s="1" t="s">
        <v>658</v>
      </c>
      <c r="BA420" s="1" t="s">
        <v>659</v>
      </c>
    </row>
    <row r="421">
      <c r="A421" s="1" t="s">
        <v>1585</v>
      </c>
      <c r="B421" s="1" t="s">
        <v>53</v>
      </c>
      <c r="C421" s="1">
        <v>2012.0</v>
      </c>
      <c r="D421" s="1" t="s">
        <v>1586</v>
      </c>
      <c r="E421" s="1" t="s">
        <v>1587</v>
      </c>
      <c r="F421" s="3" t="s">
        <v>303</v>
      </c>
      <c r="G421" s="1" t="s">
        <v>1588</v>
      </c>
      <c r="H421" s="1" t="s">
        <v>1589</v>
      </c>
      <c r="I421" s="1">
        <v>78.0</v>
      </c>
      <c r="J421" s="1">
        <v>3.0</v>
      </c>
      <c r="K421" s="2" t="s">
        <v>1590</v>
      </c>
      <c r="L421" s="2" t="s">
        <v>60</v>
      </c>
      <c r="M421" s="1" t="s">
        <v>1606</v>
      </c>
      <c r="N421" s="1" t="s">
        <v>62</v>
      </c>
      <c r="O421" s="1" t="s">
        <v>521</v>
      </c>
      <c r="P421" s="1" t="s">
        <v>1592</v>
      </c>
      <c r="Q421" s="1">
        <v>12.087693</v>
      </c>
      <c r="R421" s="1">
        <v>-83.700095</v>
      </c>
      <c r="S421" s="1" t="s">
        <v>148</v>
      </c>
      <c r="T421" s="2" t="s">
        <v>275</v>
      </c>
      <c r="U421" s="1" t="s">
        <v>656</v>
      </c>
      <c r="V421" s="3" t="s">
        <v>97</v>
      </c>
      <c r="W421" s="1" t="s">
        <v>278</v>
      </c>
      <c r="X421" s="1" t="s">
        <v>279</v>
      </c>
      <c r="Y421" s="6" t="s">
        <v>76</v>
      </c>
      <c r="Z421" s="3" t="s">
        <v>76</v>
      </c>
      <c r="AB421" s="1">
        <v>1.0</v>
      </c>
      <c r="AI421" s="1" t="s">
        <v>1595</v>
      </c>
      <c r="AJ421" s="1">
        <v>1000.0</v>
      </c>
      <c r="AK421" s="1">
        <v>2000.0</v>
      </c>
      <c r="AL421" s="2" t="s">
        <v>100</v>
      </c>
      <c r="AM421" s="2" t="s">
        <v>72</v>
      </c>
      <c r="AN421" s="2" t="s">
        <v>524</v>
      </c>
      <c r="AO421" s="2" t="s">
        <v>72</v>
      </c>
      <c r="AQ421" s="2" t="s">
        <v>75</v>
      </c>
      <c r="AR421" s="2" t="s">
        <v>76</v>
      </c>
      <c r="AS421" s="1">
        <v>2915.0</v>
      </c>
      <c r="AT421" s="1">
        <v>2915.0</v>
      </c>
      <c r="AU421" s="1">
        <v>1355.0</v>
      </c>
      <c r="AV421" s="1">
        <v>37.0</v>
      </c>
      <c r="AW421" s="1">
        <v>151.0</v>
      </c>
      <c r="AX421" s="1">
        <v>6555.0</v>
      </c>
      <c r="AY421" s="1">
        <v>1.0</v>
      </c>
      <c r="AZ421" s="1" t="s">
        <v>658</v>
      </c>
      <c r="BA421" s="1" t="s">
        <v>659</v>
      </c>
    </row>
    <row r="422">
      <c r="A422" s="1" t="s">
        <v>1607</v>
      </c>
      <c r="B422" s="1" t="s">
        <v>53</v>
      </c>
      <c r="C422" s="1">
        <v>2014.0</v>
      </c>
      <c r="D422" s="1" t="s">
        <v>1608</v>
      </c>
      <c r="E422" s="1" t="s">
        <v>1609</v>
      </c>
      <c r="F422" s="1" t="s">
        <v>1610</v>
      </c>
      <c r="G422" s="1" t="s">
        <v>1611</v>
      </c>
      <c r="H422" s="1" t="s">
        <v>1612</v>
      </c>
      <c r="I422" s="1">
        <v>82.0</v>
      </c>
      <c r="J422" s="1">
        <v>1.0</v>
      </c>
      <c r="K422" s="2" t="s">
        <v>1613</v>
      </c>
      <c r="L422" s="2" t="s">
        <v>60</v>
      </c>
      <c r="M422" s="1" t="s">
        <v>1614</v>
      </c>
      <c r="N422" s="1" t="s">
        <v>62</v>
      </c>
      <c r="O422" s="1" t="s">
        <v>187</v>
      </c>
      <c r="P422" s="1" t="s">
        <v>1615</v>
      </c>
      <c r="Q422" s="1">
        <v>16.166667</v>
      </c>
      <c r="R422" s="1">
        <v>-89.0</v>
      </c>
      <c r="S422" s="1" t="s">
        <v>148</v>
      </c>
      <c r="T422" s="2" t="s">
        <v>189</v>
      </c>
      <c r="U422" s="1" t="s">
        <v>72</v>
      </c>
      <c r="V422" s="3" t="s">
        <v>277</v>
      </c>
      <c r="W422" s="1" t="s">
        <v>1598</v>
      </c>
      <c r="X422" s="1" t="s">
        <v>70</v>
      </c>
      <c r="Y422" s="6" t="s">
        <v>76</v>
      </c>
      <c r="Z422" s="3" t="s">
        <v>76</v>
      </c>
      <c r="AB422" s="1">
        <v>4.0</v>
      </c>
      <c r="AI422" s="1" t="s">
        <v>1616</v>
      </c>
      <c r="AJ422" s="1">
        <v>-2600.0</v>
      </c>
      <c r="AK422" s="1">
        <v>2007.0</v>
      </c>
      <c r="AL422" s="2" t="s">
        <v>73</v>
      </c>
      <c r="AM422" s="2" t="s">
        <v>72</v>
      </c>
      <c r="AN422" s="2" t="s">
        <v>524</v>
      </c>
      <c r="AO422" s="2" t="s">
        <v>72</v>
      </c>
      <c r="AQ422" s="2" t="s">
        <v>75</v>
      </c>
      <c r="AR422" s="2" t="s">
        <v>76</v>
      </c>
      <c r="AS422" s="1">
        <v>3461.0</v>
      </c>
      <c r="AT422" s="1">
        <v>3461.0</v>
      </c>
      <c r="AU422" s="1">
        <v>1751.0</v>
      </c>
      <c r="AV422" s="1">
        <v>69.0</v>
      </c>
      <c r="AW422" s="1">
        <v>251.0</v>
      </c>
      <c r="AX422" s="1">
        <v>7260.0</v>
      </c>
      <c r="AY422" s="1">
        <v>34.0</v>
      </c>
      <c r="AZ422" s="1" t="s">
        <v>133</v>
      </c>
      <c r="BA422" s="1" t="s">
        <v>121</v>
      </c>
    </row>
    <row r="423">
      <c r="A423" s="1" t="s">
        <v>1585</v>
      </c>
      <c r="B423" s="1" t="s">
        <v>53</v>
      </c>
      <c r="C423" s="1">
        <v>2012.0</v>
      </c>
      <c r="D423" s="1" t="s">
        <v>1586</v>
      </c>
      <c r="E423" s="1" t="s">
        <v>1587</v>
      </c>
      <c r="F423" s="3" t="s">
        <v>303</v>
      </c>
      <c r="G423" s="1" t="s">
        <v>1588</v>
      </c>
      <c r="H423" s="1" t="s">
        <v>1589</v>
      </c>
      <c r="I423" s="1">
        <v>78.0</v>
      </c>
      <c r="J423" s="1">
        <v>3.0</v>
      </c>
      <c r="K423" s="2" t="s">
        <v>1590</v>
      </c>
      <c r="L423" s="2" t="s">
        <v>60</v>
      </c>
      <c r="M423" s="1" t="s">
        <v>1617</v>
      </c>
      <c r="N423" s="1" t="s">
        <v>62</v>
      </c>
      <c r="O423" s="1" t="s">
        <v>521</v>
      </c>
      <c r="P423" s="1" t="s">
        <v>1592</v>
      </c>
      <c r="Q423" s="1">
        <v>12.087693</v>
      </c>
      <c r="R423" s="1">
        <v>-83.700095</v>
      </c>
      <c r="S423" s="1" t="s">
        <v>148</v>
      </c>
      <c r="T423" s="2" t="s">
        <v>275</v>
      </c>
      <c r="U423" s="1" t="s">
        <v>656</v>
      </c>
      <c r="V423" s="3" t="s">
        <v>97</v>
      </c>
      <c r="W423" s="1" t="s">
        <v>278</v>
      </c>
      <c r="X423" s="1" t="s">
        <v>279</v>
      </c>
      <c r="Y423" s="6" t="s">
        <v>76</v>
      </c>
      <c r="Z423" s="3" t="s">
        <v>76</v>
      </c>
      <c r="AA423" s="1">
        <v>1.0</v>
      </c>
      <c r="AJ423" s="2" t="s">
        <v>72</v>
      </c>
      <c r="AK423" s="2" t="s">
        <v>72</v>
      </c>
      <c r="AL423" s="2" t="s">
        <v>100</v>
      </c>
      <c r="AM423" s="2" t="s">
        <v>72</v>
      </c>
      <c r="AN423" s="2" t="s">
        <v>524</v>
      </c>
      <c r="AO423" s="2" t="s">
        <v>72</v>
      </c>
      <c r="AQ423" s="2" t="s">
        <v>75</v>
      </c>
      <c r="AR423" s="2" t="s">
        <v>76</v>
      </c>
      <c r="AS423" s="1">
        <v>2915.0</v>
      </c>
      <c r="AT423" s="1">
        <v>2915.0</v>
      </c>
      <c r="AU423" s="1">
        <v>1355.0</v>
      </c>
      <c r="AV423" s="1">
        <v>37.0</v>
      </c>
      <c r="AW423" s="1">
        <v>151.0</v>
      </c>
      <c r="AX423" s="1">
        <v>6555.0</v>
      </c>
      <c r="AY423" s="1">
        <v>1.0</v>
      </c>
      <c r="AZ423" s="1" t="s">
        <v>658</v>
      </c>
      <c r="BA423" s="1" t="s">
        <v>659</v>
      </c>
    </row>
    <row r="424">
      <c r="A424" s="1" t="s">
        <v>1607</v>
      </c>
      <c r="B424" s="1" t="s">
        <v>53</v>
      </c>
      <c r="C424" s="1">
        <v>2014.0</v>
      </c>
      <c r="D424" s="1" t="s">
        <v>1608</v>
      </c>
      <c r="E424" s="1" t="s">
        <v>1609</v>
      </c>
      <c r="F424" s="1" t="s">
        <v>1610</v>
      </c>
      <c r="G424" s="1" t="s">
        <v>1611</v>
      </c>
      <c r="H424" s="1" t="s">
        <v>1612</v>
      </c>
      <c r="I424" s="1">
        <v>82.0</v>
      </c>
      <c r="J424" s="1">
        <v>1.0</v>
      </c>
      <c r="K424" s="2" t="s">
        <v>1613</v>
      </c>
      <c r="L424" s="2" t="s">
        <v>60</v>
      </c>
      <c r="M424" s="1" t="s">
        <v>1618</v>
      </c>
      <c r="N424" s="1" t="s">
        <v>62</v>
      </c>
      <c r="O424" s="1" t="s">
        <v>187</v>
      </c>
      <c r="P424" s="1" t="s">
        <v>1615</v>
      </c>
      <c r="Q424" s="1">
        <v>16.166667</v>
      </c>
      <c r="R424" s="1">
        <v>-89.0</v>
      </c>
      <c r="S424" s="1" t="s">
        <v>148</v>
      </c>
      <c r="T424" s="2" t="s">
        <v>194</v>
      </c>
      <c r="U424" s="1" t="s">
        <v>72</v>
      </c>
      <c r="V424" s="3" t="s">
        <v>277</v>
      </c>
      <c r="W424" s="1" t="s">
        <v>1598</v>
      </c>
      <c r="X424" s="1" t="s">
        <v>70</v>
      </c>
      <c r="Y424" s="6" t="s">
        <v>76</v>
      </c>
      <c r="Z424" s="3" t="s">
        <v>76</v>
      </c>
      <c r="AB424" s="1">
        <v>4.0</v>
      </c>
      <c r="AI424" s="1" t="s">
        <v>1616</v>
      </c>
      <c r="AJ424" s="1">
        <v>-2600.0</v>
      </c>
      <c r="AK424" s="1">
        <v>2007.0</v>
      </c>
      <c r="AL424" s="2" t="s">
        <v>73</v>
      </c>
      <c r="AM424" s="2" t="s">
        <v>72</v>
      </c>
      <c r="AN424" s="2" t="s">
        <v>524</v>
      </c>
      <c r="AO424" s="2" t="s">
        <v>72</v>
      </c>
      <c r="AQ424" s="2" t="s">
        <v>75</v>
      </c>
      <c r="AR424" s="2" t="s">
        <v>76</v>
      </c>
      <c r="AS424" s="1">
        <v>3461.0</v>
      </c>
      <c r="AT424" s="1">
        <v>3461.0</v>
      </c>
      <c r="AU424" s="1">
        <v>1751.0</v>
      </c>
      <c r="AV424" s="1">
        <v>69.0</v>
      </c>
      <c r="AW424" s="1">
        <v>251.0</v>
      </c>
      <c r="AX424" s="1">
        <v>7260.0</v>
      </c>
      <c r="AY424" s="1">
        <v>34.0</v>
      </c>
      <c r="AZ424" s="1" t="s">
        <v>133</v>
      </c>
      <c r="BA424" s="1" t="s">
        <v>121</v>
      </c>
    </row>
    <row r="425">
      <c r="A425" s="1" t="s">
        <v>1585</v>
      </c>
      <c r="B425" s="1" t="s">
        <v>53</v>
      </c>
      <c r="C425" s="1">
        <v>2012.0</v>
      </c>
      <c r="D425" s="1" t="s">
        <v>1586</v>
      </c>
      <c r="E425" s="1" t="s">
        <v>1587</v>
      </c>
      <c r="F425" s="3" t="s">
        <v>303</v>
      </c>
      <c r="G425" s="1" t="s">
        <v>1588</v>
      </c>
      <c r="H425" s="1" t="s">
        <v>1589</v>
      </c>
      <c r="I425" s="1">
        <v>78.0</v>
      </c>
      <c r="J425" s="1">
        <v>3.0</v>
      </c>
      <c r="K425" s="2" t="s">
        <v>1590</v>
      </c>
      <c r="L425" s="2" t="s">
        <v>60</v>
      </c>
      <c r="M425" s="1" t="s">
        <v>1619</v>
      </c>
      <c r="N425" s="1" t="s">
        <v>62</v>
      </c>
      <c r="O425" s="1" t="s">
        <v>521</v>
      </c>
      <c r="P425" s="1" t="s">
        <v>1592</v>
      </c>
      <c r="Q425" s="1">
        <v>12.087693</v>
      </c>
      <c r="R425" s="1">
        <v>-83.700095</v>
      </c>
      <c r="S425" s="1" t="s">
        <v>148</v>
      </c>
      <c r="T425" s="2" t="s">
        <v>275</v>
      </c>
      <c r="U425" s="1" t="s">
        <v>656</v>
      </c>
      <c r="V425" s="3" t="s">
        <v>97</v>
      </c>
      <c r="W425" s="1" t="s">
        <v>278</v>
      </c>
      <c r="X425" s="1" t="s">
        <v>279</v>
      </c>
      <c r="Y425" s="6" t="s">
        <v>76</v>
      </c>
      <c r="Z425" s="3" t="s">
        <v>76</v>
      </c>
      <c r="AB425" s="1">
        <v>4.0</v>
      </c>
      <c r="AI425" s="1" t="s">
        <v>1595</v>
      </c>
      <c r="AJ425" s="1">
        <v>-4300.0</v>
      </c>
      <c r="AK425" s="1">
        <v>2000.0</v>
      </c>
      <c r="AL425" s="2" t="s">
        <v>100</v>
      </c>
      <c r="AM425" s="2" t="s">
        <v>72</v>
      </c>
      <c r="AN425" s="2" t="s">
        <v>524</v>
      </c>
      <c r="AO425" s="2" t="s">
        <v>72</v>
      </c>
      <c r="AQ425" s="2" t="s">
        <v>75</v>
      </c>
      <c r="AR425" s="2" t="s">
        <v>76</v>
      </c>
      <c r="AS425" s="1">
        <v>2915.0</v>
      </c>
      <c r="AT425" s="1">
        <v>2915.0</v>
      </c>
      <c r="AU425" s="1">
        <v>1355.0</v>
      </c>
      <c r="AV425" s="1">
        <v>37.0</v>
      </c>
      <c r="AW425" s="1">
        <v>151.0</v>
      </c>
      <c r="AX425" s="1">
        <v>6555.0</v>
      </c>
      <c r="AY425" s="1">
        <v>1.0</v>
      </c>
      <c r="AZ425" s="1" t="s">
        <v>658</v>
      </c>
      <c r="BA425" s="1" t="s">
        <v>659</v>
      </c>
    </row>
    <row r="426">
      <c r="A426" s="1" t="s">
        <v>1585</v>
      </c>
      <c r="B426" s="1" t="s">
        <v>53</v>
      </c>
      <c r="C426" s="1">
        <v>2012.0</v>
      </c>
      <c r="D426" s="1" t="s">
        <v>1586</v>
      </c>
      <c r="E426" s="1" t="s">
        <v>1587</v>
      </c>
      <c r="F426" s="3" t="s">
        <v>303</v>
      </c>
      <c r="G426" s="1" t="s">
        <v>1588</v>
      </c>
      <c r="H426" s="1" t="s">
        <v>1589</v>
      </c>
      <c r="I426" s="1">
        <v>78.0</v>
      </c>
      <c r="J426" s="1">
        <v>3.0</v>
      </c>
      <c r="K426" s="2" t="s">
        <v>1590</v>
      </c>
      <c r="L426" s="2" t="s">
        <v>60</v>
      </c>
      <c r="M426" s="1" t="s">
        <v>1620</v>
      </c>
      <c r="N426" s="1" t="s">
        <v>62</v>
      </c>
      <c r="O426" s="1" t="s">
        <v>521</v>
      </c>
      <c r="P426" s="1" t="s">
        <v>1592</v>
      </c>
      <c r="Q426" s="1">
        <v>12.087693</v>
      </c>
      <c r="R426" s="1">
        <v>-83.700095</v>
      </c>
      <c r="S426" s="1" t="s">
        <v>148</v>
      </c>
      <c r="T426" s="2" t="s">
        <v>194</v>
      </c>
      <c r="U426" s="1" t="s">
        <v>656</v>
      </c>
      <c r="V426" s="3" t="s">
        <v>97</v>
      </c>
      <c r="W426" s="1" t="s">
        <v>1598</v>
      </c>
      <c r="X426" s="1" t="s">
        <v>70</v>
      </c>
      <c r="Y426" s="6" t="s">
        <v>76</v>
      </c>
      <c r="Z426" s="3" t="s">
        <v>76</v>
      </c>
      <c r="AB426" s="1">
        <v>2.0</v>
      </c>
      <c r="AI426" s="1" t="s">
        <v>1595</v>
      </c>
      <c r="AJ426" s="1">
        <v>-1000.0</v>
      </c>
      <c r="AK426" s="1">
        <v>2000.0</v>
      </c>
      <c r="AL426" s="2" t="s">
        <v>100</v>
      </c>
      <c r="AM426" s="2" t="s">
        <v>72</v>
      </c>
      <c r="AN426" s="2" t="s">
        <v>524</v>
      </c>
      <c r="AO426" s="2" t="s">
        <v>72</v>
      </c>
      <c r="AQ426" s="2" t="s">
        <v>75</v>
      </c>
      <c r="AR426" s="2" t="s">
        <v>76</v>
      </c>
      <c r="AS426" s="1">
        <v>2915.0</v>
      </c>
      <c r="AT426" s="1">
        <v>2915.0</v>
      </c>
      <c r="AU426" s="1">
        <v>1355.0</v>
      </c>
      <c r="AV426" s="1">
        <v>37.0</v>
      </c>
      <c r="AW426" s="1">
        <v>151.0</v>
      </c>
      <c r="AX426" s="1">
        <v>6555.0</v>
      </c>
      <c r="AY426" s="1">
        <v>1.0</v>
      </c>
      <c r="AZ426" s="1" t="s">
        <v>658</v>
      </c>
      <c r="BA426" s="1" t="s">
        <v>659</v>
      </c>
    </row>
    <row r="427">
      <c r="A427" s="1" t="s">
        <v>1585</v>
      </c>
      <c r="B427" s="1" t="s">
        <v>53</v>
      </c>
      <c r="C427" s="1">
        <v>2012.0</v>
      </c>
      <c r="D427" s="1" t="s">
        <v>1586</v>
      </c>
      <c r="E427" s="1" t="s">
        <v>1587</v>
      </c>
      <c r="F427" s="3" t="s">
        <v>303</v>
      </c>
      <c r="G427" s="1" t="s">
        <v>1588</v>
      </c>
      <c r="H427" s="1" t="s">
        <v>1589</v>
      </c>
      <c r="I427" s="1">
        <v>78.0</v>
      </c>
      <c r="J427" s="1">
        <v>3.0</v>
      </c>
      <c r="K427" s="2" t="s">
        <v>1590</v>
      </c>
      <c r="L427" s="2" t="s">
        <v>60</v>
      </c>
      <c r="M427" s="1" t="s">
        <v>1621</v>
      </c>
      <c r="N427" s="1" t="s">
        <v>62</v>
      </c>
      <c r="O427" s="1" t="s">
        <v>521</v>
      </c>
      <c r="P427" s="1" t="s">
        <v>1592</v>
      </c>
      <c r="Q427" s="1">
        <v>12.087693</v>
      </c>
      <c r="R427" s="1">
        <v>-83.700095</v>
      </c>
      <c r="S427" s="1" t="s">
        <v>148</v>
      </c>
      <c r="T427" s="2" t="s">
        <v>194</v>
      </c>
      <c r="U427" s="1" t="s">
        <v>656</v>
      </c>
      <c r="V427" s="3" t="s">
        <v>97</v>
      </c>
      <c r="W427" s="1" t="s">
        <v>1598</v>
      </c>
      <c r="X427" s="1" t="s">
        <v>70</v>
      </c>
      <c r="Y427" s="6" t="s">
        <v>76</v>
      </c>
      <c r="Z427" s="3" t="s">
        <v>76</v>
      </c>
      <c r="AB427" s="1">
        <v>1.0</v>
      </c>
      <c r="AI427" s="1" t="s">
        <v>1595</v>
      </c>
      <c r="AJ427" s="1">
        <v>1000.0</v>
      </c>
      <c r="AK427" s="1">
        <v>2000.0</v>
      </c>
      <c r="AL427" s="2" t="s">
        <v>100</v>
      </c>
      <c r="AM427" s="2" t="s">
        <v>72</v>
      </c>
      <c r="AN427" s="2" t="s">
        <v>524</v>
      </c>
      <c r="AO427" s="2" t="s">
        <v>72</v>
      </c>
      <c r="AQ427" s="2" t="s">
        <v>75</v>
      </c>
      <c r="AR427" s="2" t="s">
        <v>76</v>
      </c>
      <c r="AS427" s="1">
        <v>2915.0</v>
      </c>
      <c r="AT427" s="1">
        <v>2915.0</v>
      </c>
      <c r="AU427" s="1">
        <v>1355.0</v>
      </c>
      <c r="AV427" s="1">
        <v>37.0</v>
      </c>
      <c r="AW427" s="1">
        <v>151.0</v>
      </c>
      <c r="AX427" s="1">
        <v>6555.0</v>
      </c>
      <c r="AY427" s="1">
        <v>1.0</v>
      </c>
      <c r="AZ427" s="1" t="s">
        <v>658</v>
      </c>
      <c r="BA427" s="1" t="s">
        <v>659</v>
      </c>
    </row>
    <row r="428">
      <c r="A428" s="1" t="s">
        <v>1585</v>
      </c>
      <c r="B428" s="1" t="s">
        <v>53</v>
      </c>
      <c r="C428" s="1">
        <v>2012.0</v>
      </c>
      <c r="D428" s="1" t="s">
        <v>1586</v>
      </c>
      <c r="E428" s="1" t="s">
        <v>1587</v>
      </c>
      <c r="F428" s="3" t="s">
        <v>303</v>
      </c>
      <c r="G428" s="1" t="s">
        <v>1588</v>
      </c>
      <c r="H428" s="1" t="s">
        <v>1589</v>
      </c>
      <c r="I428" s="1">
        <v>78.0</v>
      </c>
      <c r="J428" s="1">
        <v>3.0</v>
      </c>
      <c r="K428" s="2" t="s">
        <v>1590</v>
      </c>
      <c r="L428" s="2" t="s">
        <v>60</v>
      </c>
      <c r="M428" s="1" t="s">
        <v>1622</v>
      </c>
      <c r="N428" s="1" t="s">
        <v>62</v>
      </c>
      <c r="O428" s="1" t="s">
        <v>521</v>
      </c>
      <c r="P428" s="1" t="s">
        <v>1592</v>
      </c>
      <c r="Q428" s="1">
        <v>12.087693</v>
      </c>
      <c r="R428" s="1">
        <v>-83.700095</v>
      </c>
      <c r="S428" s="1" t="s">
        <v>148</v>
      </c>
      <c r="T428" s="2" t="s">
        <v>194</v>
      </c>
      <c r="U428" s="1" t="s">
        <v>656</v>
      </c>
      <c r="V428" s="3" t="s">
        <v>97</v>
      </c>
      <c r="W428" s="1" t="s">
        <v>1598</v>
      </c>
      <c r="X428" s="1" t="s">
        <v>70</v>
      </c>
      <c r="Y428" s="6" t="s">
        <v>76</v>
      </c>
      <c r="Z428" s="3" t="s">
        <v>76</v>
      </c>
      <c r="AA428" s="1">
        <v>1.0</v>
      </c>
      <c r="AJ428" s="2" t="s">
        <v>72</v>
      </c>
      <c r="AK428" s="2" t="s">
        <v>72</v>
      </c>
      <c r="AL428" s="2" t="s">
        <v>100</v>
      </c>
      <c r="AM428" s="2" t="s">
        <v>72</v>
      </c>
      <c r="AN428" s="2" t="s">
        <v>524</v>
      </c>
      <c r="AO428" s="2" t="s">
        <v>72</v>
      </c>
      <c r="AQ428" s="2" t="s">
        <v>75</v>
      </c>
      <c r="AR428" s="2" t="s">
        <v>76</v>
      </c>
      <c r="AS428" s="1">
        <v>2915.0</v>
      </c>
      <c r="AT428" s="1">
        <v>2915.0</v>
      </c>
      <c r="AU428" s="1">
        <v>1355.0</v>
      </c>
      <c r="AV428" s="1">
        <v>37.0</v>
      </c>
      <c r="AW428" s="1">
        <v>151.0</v>
      </c>
      <c r="AX428" s="1">
        <v>6555.0</v>
      </c>
      <c r="AY428" s="1">
        <v>1.0</v>
      </c>
      <c r="AZ428" s="1" t="s">
        <v>658</v>
      </c>
      <c r="BA428" s="1" t="s">
        <v>659</v>
      </c>
    </row>
    <row r="429">
      <c r="A429" s="1" t="s">
        <v>1585</v>
      </c>
      <c r="B429" s="1" t="s">
        <v>53</v>
      </c>
      <c r="C429" s="1">
        <v>2012.0</v>
      </c>
      <c r="D429" s="1" t="s">
        <v>1586</v>
      </c>
      <c r="E429" s="1" t="s">
        <v>1587</v>
      </c>
      <c r="F429" s="3" t="s">
        <v>303</v>
      </c>
      <c r="G429" s="1" t="s">
        <v>1588</v>
      </c>
      <c r="H429" s="1" t="s">
        <v>1589</v>
      </c>
      <c r="I429" s="1">
        <v>78.0</v>
      </c>
      <c r="J429" s="1">
        <v>3.0</v>
      </c>
      <c r="K429" s="2" t="s">
        <v>1590</v>
      </c>
      <c r="L429" s="2" t="s">
        <v>60</v>
      </c>
      <c r="M429" s="1" t="s">
        <v>1623</v>
      </c>
      <c r="N429" s="1" t="s">
        <v>62</v>
      </c>
      <c r="O429" s="1" t="s">
        <v>521</v>
      </c>
      <c r="P429" s="1" t="s">
        <v>1592</v>
      </c>
      <c r="Q429" s="1">
        <v>12.087693</v>
      </c>
      <c r="R429" s="1">
        <v>-83.700095</v>
      </c>
      <c r="S429" s="1" t="s">
        <v>148</v>
      </c>
      <c r="T429" s="2" t="s">
        <v>194</v>
      </c>
      <c r="U429" s="1" t="s">
        <v>656</v>
      </c>
      <c r="V429" s="3" t="s">
        <v>97</v>
      </c>
      <c r="W429" s="1" t="s">
        <v>1598</v>
      </c>
      <c r="X429" s="1" t="s">
        <v>70</v>
      </c>
      <c r="Y429" s="6" t="s">
        <v>76</v>
      </c>
      <c r="Z429" s="3" t="s">
        <v>76</v>
      </c>
      <c r="AB429" s="1">
        <v>4.0</v>
      </c>
      <c r="AI429" s="1" t="s">
        <v>1595</v>
      </c>
      <c r="AJ429" s="1">
        <v>-4300.0</v>
      </c>
      <c r="AK429" s="1">
        <v>2000.0</v>
      </c>
      <c r="AL429" s="2" t="s">
        <v>100</v>
      </c>
      <c r="AM429" s="2" t="s">
        <v>72</v>
      </c>
      <c r="AN429" s="2" t="s">
        <v>524</v>
      </c>
      <c r="AO429" s="2" t="s">
        <v>72</v>
      </c>
      <c r="AQ429" s="2" t="s">
        <v>75</v>
      </c>
      <c r="AR429" s="2" t="s">
        <v>76</v>
      </c>
      <c r="AS429" s="1">
        <v>2915.0</v>
      </c>
      <c r="AT429" s="1">
        <v>2915.0</v>
      </c>
      <c r="AU429" s="1">
        <v>1355.0</v>
      </c>
      <c r="AV429" s="1">
        <v>37.0</v>
      </c>
      <c r="AW429" s="1">
        <v>151.0</v>
      </c>
      <c r="AX429" s="1">
        <v>6555.0</v>
      </c>
      <c r="AY429" s="1">
        <v>1.0</v>
      </c>
      <c r="AZ429" s="1" t="s">
        <v>658</v>
      </c>
      <c r="BA429" s="1" t="s">
        <v>659</v>
      </c>
    </row>
    <row r="430">
      <c r="A430" s="1" t="s">
        <v>1607</v>
      </c>
      <c r="B430" s="1" t="s">
        <v>53</v>
      </c>
      <c r="C430" s="1">
        <v>2014.0</v>
      </c>
      <c r="D430" s="1" t="s">
        <v>1608</v>
      </c>
      <c r="E430" s="1" t="s">
        <v>1609</v>
      </c>
      <c r="F430" s="3" t="s">
        <v>303</v>
      </c>
      <c r="G430" s="1" t="s">
        <v>1611</v>
      </c>
      <c r="H430" s="1" t="s">
        <v>1612</v>
      </c>
      <c r="I430" s="1">
        <v>82.0</v>
      </c>
      <c r="J430" s="1">
        <v>1.0</v>
      </c>
      <c r="K430" s="2" t="s">
        <v>1613</v>
      </c>
      <c r="L430" s="2" t="s">
        <v>60</v>
      </c>
      <c r="M430" s="1" t="s">
        <v>1624</v>
      </c>
      <c r="N430" s="1" t="s">
        <v>62</v>
      </c>
      <c r="O430" s="1" t="s">
        <v>187</v>
      </c>
      <c r="P430" s="1" t="s">
        <v>1615</v>
      </c>
      <c r="Q430" s="1">
        <v>16.166667</v>
      </c>
      <c r="R430" s="1">
        <v>-89.0</v>
      </c>
      <c r="S430" s="1" t="s">
        <v>148</v>
      </c>
      <c r="T430" s="2" t="s">
        <v>80</v>
      </c>
      <c r="U430" s="3" t="s">
        <v>81</v>
      </c>
      <c r="V430" s="3" t="s">
        <v>68</v>
      </c>
      <c r="W430" s="1" t="s">
        <v>1625</v>
      </c>
      <c r="X430" s="2" t="s">
        <v>928</v>
      </c>
      <c r="Y430" s="6" t="s">
        <v>76</v>
      </c>
      <c r="Z430" s="3" t="s">
        <v>84</v>
      </c>
      <c r="AB430" s="1">
        <v>4.0</v>
      </c>
      <c r="AI430" s="1" t="s">
        <v>1616</v>
      </c>
      <c r="AJ430" s="1">
        <v>-750.0</v>
      </c>
      <c r="AK430" s="1">
        <v>2007.0</v>
      </c>
      <c r="AL430" s="2" t="s">
        <v>73</v>
      </c>
      <c r="AM430" s="2" t="s">
        <v>72</v>
      </c>
      <c r="AN430" s="2" t="s">
        <v>524</v>
      </c>
      <c r="AO430" s="2" t="s">
        <v>72</v>
      </c>
      <c r="AQ430" s="2" t="s">
        <v>75</v>
      </c>
      <c r="AR430" s="2" t="s">
        <v>76</v>
      </c>
      <c r="AS430" s="1">
        <v>3461.0</v>
      </c>
      <c r="AT430" s="1">
        <v>3461.0</v>
      </c>
      <c r="AU430" s="1">
        <v>1751.0</v>
      </c>
      <c r="AV430" s="1">
        <v>69.0</v>
      </c>
      <c r="AW430" s="1">
        <v>251.0</v>
      </c>
      <c r="AX430" s="1">
        <v>7260.0</v>
      </c>
      <c r="AY430" s="1">
        <v>34.0</v>
      </c>
      <c r="AZ430" s="1" t="s">
        <v>133</v>
      </c>
      <c r="BA430" s="1" t="s">
        <v>121</v>
      </c>
    </row>
    <row r="431">
      <c r="A431" s="1" t="s">
        <v>1626</v>
      </c>
      <c r="B431" s="1" t="s">
        <v>268</v>
      </c>
      <c r="C431" s="1">
        <v>2015.0</v>
      </c>
      <c r="D431" s="1" t="s">
        <v>1627</v>
      </c>
      <c r="E431" s="1" t="s">
        <v>1628</v>
      </c>
      <c r="H431" s="1" t="s">
        <v>1629</v>
      </c>
      <c r="I431" s="1">
        <v>25.0</v>
      </c>
      <c r="K431" s="2" t="s">
        <v>1630</v>
      </c>
      <c r="L431" s="2" t="s">
        <v>60</v>
      </c>
      <c r="M431" s="1" t="s">
        <v>1631</v>
      </c>
      <c r="N431" s="1" t="s">
        <v>62</v>
      </c>
      <c r="O431" s="1" t="s">
        <v>92</v>
      </c>
      <c r="P431" s="1" t="s">
        <v>1632</v>
      </c>
      <c r="Q431" s="1">
        <v>15.149667</v>
      </c>
      <c r="R431" s="1">
        <v>-92.751</v>
      </c>
      <c r="S431" s="1" t="s">
        <v>1108</v>
      </c>
      <c r="T431" s="2" t="s">
        <v>275</v>
      </c>
      <c r="U431" s="1" t="s">
        <v>72</v>
      </c>
      <c r="V431" s="3" t="s">
        <v>277</v>
      </c>
      <c r="W431" s="1" t="s">
        <v>278</v>
      </c>
      <c r="X431" s="1" t="s">
        <v>279</v>
      </c>
      <c r="Y431" s="6" t="s">
        <v>76</v>
      </c>
      <c r="Z431" s="3" t="s">
        <v>76</v>
      </c>
      <c r="AB431" s="1">
        <v>4.0</v>
      </c>
      <c r="AI431" s="1" t="s">
        <v>1633</v>
      </c>
      <c r="AJ431" s="1">
        <v>-4200.0</v>
      </c>
      <c r="AK431" s="1">
        <v>1950.0</v>
      </c>
      <c r="AL431" s="2" t="s">
        <v>73</v>
      </c>
      <c r="AM431" s="2" t="s">
        <v>72</v>
      </c>
      <c r="AN431" s="2" t="s">
        <v>132</v>
      </c>
      <c r="AO431" s="2" t="s">
        <v>60</v>
      </c>
      <c r="AQ431" s="2" t="s">
        <v>75</v>
      </c>
      <c r="AR431" s="2" t="s">
        <v>76</v>
      </c>
      <c r="AS431" s="1">
        <v>1799.0</v>
      </c>
      <c r="AT431" s="1">
        <v>1799.0</v>
      </c>
      <c r="AU431" s="1">
        <v>961.0</v>
      </c>
      <c r="AV431" s="1">
        <v>2.0</v>
      </c>
      <c r="AW431" s="1">
        <v>12.0</v>
      </c>
      <c r="AX431" s="1">
        <v>9833.0</v>
      </c>
      <c r="AY431" s="1">
        <v>1.0</v>
      </c>
      <c r="AZ431" s="1" t="s">
        <v>1162</v>
      </c>
      <c r="BA431" s="1" t="s">
        <v>659</v>
      </c>
    </row>
    <row r="432">
      <c r="A432" s="1" t="s">
        <v>1607</v>
      </c>
      <c r="B432" s="1" t="s">
        <v>53</v>
      </c>
      <c r="C432" s="1">
        <v>2014.0</v>
      </c>
      <c r="D432" s="1" t="s">
        <v>1608</v>
      </c>
      <c r="E432" s="1" t="s">
        <v>1609</v>
      </c>
      <c r="F432" s="3" t="s">
        <v>303</v>
      </c>
      <c r="G432" s="1" t="s">
        <v>1611</v>
      </c>
      <c r="H432" s="1" t="s">
        <v>1612</v>
      </c>
      <c r="I432" s="1">
        <v>82.0</v>
      </c>
      <c r="J432" s="1">
        <v>1.0</v>
      </c>
      <c r="K432" s="2" t="s">
        <v>1613</v>
      </c>
      <c r="L432" s="2" t="s">
        <v>60</v>
      </c>
      <c r="M432" s="1" t="s">
        <v>1634</v>
      </c>
      <c r="N432" s="1" t="s">
        <v>62</v>
      </c>
      <c r="O432" s="1" t="s">
        <v>187</v>
      </c>
      <c r="P432" s="1" t="s">
        <v>1615</v>
      </c>
      <c r="Q432" s="1">
        <v>16.166667</v>
      </c>
      <c r="R432" s="1">
        <v>-89.0</v>
      </c>
      <c r="S432" s="1" t="s">
        <v>148</v>
      </c>
      <c r="T432" s="2" t="s">
        <v>66</v>
      </c>
      <c r="U432" s="3" t="s">
        <v>67</v>
      </c>
      <c r="V432" s="3" t="s">
        <v>68</v>
      </c>
      <c r="W432" s="1" t="s">
        <v>589</v>
      </c>
      <c r="X432" s="1" t="s">
        <v>70</v>
      </c>
      <c r="Y432" s="5" t="s">
        <v>60</v>
      </c>
      <c r="Z432" s="3" t="s">
        <v>625</v>
      </c>
      <c r="AB432" s="1">
        <v>4.0</v>
      </c>
      <c r="AI432" s="1" t="s">
        <v>1616</v>
      </c>
      <c r="AJ432" s="1">
        <v>-2600.0</v>
      </c>
      <c r="AK432" s="1">
        <v>2007.0</v>
      </c>
      <c r="AL432" s="2" t="s">
        <v>73</v>
      </c>
      <c r="AM432" s="2" t="s">
        <v>72</v>
      </c>
      <c r="AN432" s="2" t="s">
        <v>524</v>
      </c>
      <c r="AO432" s="2" t="s">
        <v>72</v>
      </c>
      <c r="AQ432" s="2" t="s">
        <v>75</v>
      </c>
      <c r="AR432" s="2" t="s">
        <v>76</v>
      </c>
      <c r="AS432" s="1">
        <v>3461.0</v>
      </c>
      <c r="AT432" s="1">
        <v>3461.0</v>
      </c>
      <c r="AU432" s="1">
        <v>1751.0</v>
      </c>
      <c r="AV432" s="1">
        <v>69.0</v>
      </c>
      <c r="AW432" s="1">
        <v>251.0</v>
      </c>
      <c r="AX432" s="1">
        <v>7260.0</v>
      </c>
      <c r="AY432" s="1">
        <v>34.0</v>
      </c>
      <c r="AZ432" s="1" t="s">
        <v>133</v>
      </c>
      <c r="BA432" s="1" t="s">
        <v>121</v>
      </c>
    </row>
    <row r="433">
      <c r="A433" s="1" t="s">
        <v>1607</v>
      </c>
      <c r="B433" s="1" t="s">
        <v>53</v>
      </c>
      <c r="C433" s="1">
        <v>2014.0</v>
      </c>
      <c r="D433" s="1" t="s">
        <v>1608</v>
      </c>
      <c r="E433" s="1" t="s">
        <v>1609</v>
      </c>
      <c r="F433" s="3" t="s">
        <v>303</v>
      </c>
      <c r="G433" s="1" t="s">
        <v>1611</v>
      </c>
      <c r="H433" s="1" t="s">
        <v>1612</v>
      </c>
      <c r="I433" s="1">
        <v>82.0</v>
      </c>
      <c r="J433" s="1">
        <v>1.0</v>
      </c>
      <c r="K433" s="2" t="s">
        <v>1613</v>
      </c>
      <c r="L433" s="2" t="s">
        <v>60</v>
      </c>
      <c r="M433" s="1" t="s">
        <v>1635</v>
      </c>
      <c r="N433" s="1" t="s">
        <v>62</v>
      </c>
      <c r="O433" s="1" t="s">
        <v>187</v>
      </c>
      <c r="P433" s="1" t="s">
        <v>1615</v>
      </c>
      <c r="Q433" s="1">
        <v>16.166667</v>
      </c>
      <c r="R433" s="1">
        <v>-89.0</v>
      </c>
      <c r="S433" s="1" t="s">
        <v>148</v>
      </c>
      <c r="T433" s="2" t="s">
        <v>382</v>
      </c>
      <c r="U433" s="7" t="s">
        <v>173</v>
      </c>
      <c r="V433" s="3" t="s">
        <v>116</v>
      </c>
      <c r="W433" s="1" t="s">
        <v>1636</v>
      </c>
      <c r="X433" s="1" t="s">
        <v>544</v>
      </c>
      <c r="Y433" s="6" t="s">
        <v>76</v>
      </c>
      <c r="Z433" s="3" t="s">
        <v>173</v>
      </c>
      <c r="AB433" s="1">
        <v>4.0</v>
      </c>
      <c r="AI433" s="1" t="s">
        <v>1616</v>
      </c>
      <c r="AJ433" s="1">
        <v>-2600.0</v>
      </c>
      <c r="AK433" s="1">
        <v>2007.0</v>
      </c>
      <c r="AL433" s="2" t="s">
        <v>73</v>
      </c>
      <c r="AM433" s="2" t="s">
        <v>72</v>
      </c>
      <c r="AN433" s="2" t="s">
        <v>524</v>
      </c>
      <c r="AO433" s="2" t="s">
        <v>72</v>
      </c>
      <c r="AQ433" s="2" t="s">
        <v>75</v>
      </c>
      <c r="AR433" s="2" t="s">
        <v>76</v>
      </c>
      <c r="AS433" s="1">
        <v>3461.0</v>
      </c>
      <c r="AT433" s="1">
        <v>3461.0</v>
      </c>
      <c r="AU433" s="1">
        <v>1751.0</v>
      </c>
      <c r="AV433" s="1">
        <v>69.0</v>
      </c>
      <c r="AW433" s="1">
        <v>251.0</v>
      </c>
      <c r="AX433" s="1">
        <v>7260.0</v>
      </c>
      <c r="AY433" s="1">
        <v>34.0</v>
      </c>
      <c r="AZ433" s="1" t="s">
        <v>133</v>
      </c>
      <c r="BA433" s="1" t="s">
        <v>121</v>
      </c>
    </row>
    <row r="434">
      <c r="A434" s="1" t="s">
        <v>1637</v>
      </c>
      <c r="B434" s="1" t="s">
        <v>53</v>
      </c>
      <c r="C434" s="1">
        <v>1997.0</v>
      </c>
      <c r="D434" s="1" t="s">
        <v>1638</v>
      </c>
      <c r="E434" s="1" t="s">
        <v>1639</v>
      </c>
      <c r="F434" s="1" t="s">
        <v>1386</v>
      </c>
      <c r="G434" s="1" t="s">
        <v>1640</v>
      </c>
      <c r="H434" s="1" t="s">
        <v>1641</v>
      </c>
      <c r="I434" s="1">
        <v>16.0</v>
      </c>
      <c r="J434" s="1">
        <v>6.0</v>
      </c>
      <c r="K434" s="2" t="s">
        <v>1642</v>
      </c>
      <c r="L434" s="2" t="s">
        <v>60</v>
      </c>
      <c r="M434" s="1" t="s">
        <v>1643</v>
      </c>
      <c r="N434" s="1" t="s">
        <v>62</v>
      </c>
      <c r="O434" s="1" t="s">
        <v>112</v>
      </c>
      <c r="P434" s="1" t="s">
        <v>1644</v>
      </c>
      <c r="Q434" s="1">
        <v>9.833333</v>
      </c>
      <c r="R434" s="1">
        <v>-84.0</v>
      </c>
      <c r="S434" s="1" t="s">
        <v>148</v>
      </c>
      <c r="T434" s="2" t="s">
        <v>66</v>
      </c>
      <c r="U434" s="1" t="s">
        <v>823</v>
      </c>
      <c r="V434" s="3" t="s">
        <v>788</v>
      </c>
      <c r="W434" s="2" t="s">
        <v>72</v>
      </c>
      <c r="X434" s="2" t="s">
        <v>70</v>
      </c>
      <c r="Y434" s="5" t="s">
        <v>76</v>
      </c>
      <c r="Z434" s="3" t="s">
        <v>76</v>
      </c>
      <c r="AB434" s="1">
        <v>2.0</v>
      </c>
      <c r="AI434" s="1" t="s">
        <v>1125</v>
      </c>
      <c r="AJ434" s="1">
        <v>-10180.0</v>
      </c>
      <c r="AK434" s="1">
        <v>1950.0</v>
      </c>
      <c r="AL434" s="2" t="s">
        <v>100</v>
      </c>
      <c r="AM434" s="2" t="s">
        <v>72</v>
      </c>
      <c r="AN434" s="2" t="s">
        <v>72</v>
      </c>
      <c r="AO434" s="2" t="s">
        <v>72</v>
      </c>
      <c r="AQ434" s="2" t="s">
        <v>75</v>
      </c>
      <c r="AR434" s="2" t="s">
        <v>76</v>
      </c>
      <c r="AS434" s="1">
        <v>2289.0</v>
      </c>
      <c r="AT434" s="1">
        <v>2289.0</v>
      </c>
      <c r="AU434" s="1">
        <v>927.0</v>
      </c>
      <c r="AV434" s="1">
        <v>22.0</v>
      </c>
      <c r="AW434" s="1">
        <v>134.0</v>
      </c>
      <c r="AX434" s="1">
        <v>6580.0</v>
      </c>
      <c r="AY434" s="1">
        <v>1577.0</v>
      </c>
      <c r="AZ434" s="1" t="s">
        <v>627</v>
      </c>
      <c r="BA434" s="1" t="s">
        <v>121</v>
      </c>
    </row>
    <row r="435">
      <c r="A435" s="1" t="s">
        <v>1637</v>
      </c>
      <c r="B435" s="1" t="s">
        <v>53</v>
      </c>
      <c r="C435" s="1">
        <v>1997.0</v>
      </c>
      <c r="D435" s="1" t="s">
        <v>1638</v>
      </c>
      <c r="E435" s="1" t="s">
        <v>1639</v>
      </c>
      <c r="F435" s="1" t="s">
        <v>1386</v>
      </c>
      <c r="G435" s="1" t="s">
        <v>1640</v>
      </c>
      <c r="H435" s="1" t="s">
        <v>1641</v>
      </c>
      <c r="I435" s="1">
        <v>16.0</v>
      </c>
      <c r="J435" s="1">
        <v>6.0</v>
      </c>
      <c r="K435" s="2" t="s">
        <v>1642</v>
      </c>
      <c r="L435" s="2" t="s">
        <v>60</v>
      </c>
      <c r="M435" s="1" t="s">
        <v>1645</v>
      </c>
      <c r="N435" s="1" t="s">
        <v>62</v>
      </c>
      <c r="O435" s="1" t="s">
        <v>112</v>
      </c>
      <c r="P435" s="1" t="s">
        <v>1646</v>
      </c>
      <c r="Q435" s="1">
        <v>9.683333</v>
      </c>
      <c r="R435" s="1">
        <v>-83.95</v>
      </c>
      <c r="S435" s="1" t="s">
        <v>148</v>
      </c>
      <c r="T435" s="2" t="s">
        <v>66</v>
      </c>
      <c r="U435" s="1" t="s">
        <v>823</v>
      </c>
      <c r="V435" s="3" t="s">
        <v>788</v>
      </c>
      <c r="W435" s="2" t="s">
        <v>72</v>
      </c>
      <c r="X435" s="2" t="s">
        <v>70</v>
      </c>
      <c r="Y435" s="5" t="s">
        <v>76</v>
      </c>
      <c r="Z435" s="3" t="s">
        <v>76</v>
      </c>
      <c r="AB435" s="1">
        <v>2.0</v>
      </c>
      <c r="AI435" s="1" t="s">
        <v>1125</v>
      </c>
      <c r="AJ435" s="1">
        <v>650.0</v>
      </c>
      <c r="AK435" s="1">
        <v>1950.0</v>
      </c>
      <c r="AL435" s="3" t="s">
        <v>73</v>
      </c>
      <c r="AM435" s="2" t="s">
        <v>72</v>
      </c>
      <c r="AN435" s="2" t="s">
        <v>72</v>
      </c>
      <c r="AO435" s="2" t="s">
        <v>72</v>
      </c>
      <c r="AQ435" s="2" t="s">
        <v>75</v>
      </c>
      <c r="AR435" s="2" t="s">
        <v>76</v>
      </c>
      <c r="AS435" s="1">
        <v>2384.0</v>
      </c>
      <c r="AT435" s="1">
        <v>2384.0</v>
      </c>
      <c r="AU435" s="1">
        <v>1211.0</v>
      </c>
      <c r="AV435" s="1">
        <v>13.0</v>
      </c>
      <c r="AW435" s="1">
        <v>51.0</v>
      </c>
      <c r="AX435" s="1">
        <v>8299.0</v>
      </c>
      <c r="AY435" s="1">
        <v>2279.0</v>
      </c>
      <c r="AZ435" s="1" t="s">
        <v>627</v>
      </c>
      <c r="BA435" s="1" t="s">
        <v>121</v>
      </c>
    </row>
    <row r="436">
      <c r="A436" s="1" t="s">
        <v>1637</v>
      </c>
      <c r="B436" s="1" t="s">
        <v>53</v>
      </c>
      <c r="C436" s="1">
        <v>1997.0</v>
      </c>
      <c r="D436" s="1" t="s">
        <v>1638</v>
      </c>
      <c r="E436" s="1" t="s">
        <v>1639</v>
      </c>
      <c r="F436" s="1" t="s">
        <v>1386</v>
      </c>
      <c r="G436" s="1" t="s">
        <v>1640</v>
      </c>
      <c r="H436" s="1" t="s">
        <v>1641</v>
      </c>
      <c r="I436" s="1">
        <v>16.0</v>
      </c>
      <c r="J436" s="1">
        <v>6.0</v>
      </c>
      <c r="K436" s="2" t="s">
        <v>1642</v>
      </c>
      <c r="L436" s="2" t="s">
        <v>60</v>
      </c>
      <c r="M436" s="1" t="s">
        <v>1647</v>
      </c>
      <c r="N436" s="1" t="s">
        <v>62</v>
      </c>
      <c r="O436" s="1" t="s">
        <v>112</v>
      </c>
      <c r="P436" s="1" t="s">
        <v>1072</v>
      </c>
      <c r="Q436" s="1">
        <v>9.683333</v>
      </c>
      <c r="R436" s="1">
        <v>-83.95</v>
      </c>
      <c r="S436" s="1" t="s">
        <v>148</v>
      </c>
      <c r="T436" s="2" t="s">
        <v>66</v>
      </c>
      <c r="U436" s="1" t="s">
        <v>823</v>
      </c>
      <c r="V436" s="3" t="s">
        <v>788</v>
      </c>
      <c r="W436" s="2" t="s">
        <v>72</v>
      </c>
      <c r="X436" s="2" t="s">
        <v>70</v>
      </c>
      <c r="Y436" s="5" t="s">
        <v>76</v>
      </c>
      <c r="Z436" s="3" t="s">
        <v>76</v>
      </c>
      <c r="AB436" s="1">
        <v>4.0</v>
      </c>
      <c r="AI436" s="1" t="s">
        <v>1125</v>
      </c>
      <c r="AJ436" s="1">
        <v>-9120.0</v>
      </c>
      <c r="AK436" s="1">
        <v>1950.0</v>
      </c>
      <c r="AL436" s="2" t="s">
        <v>100</v>
      </c>
      <c r="AM436" s="2" t="s">
        <v>72</v>
      </c>
      <c r="AN436" s="2" t="s">
        <v>72</v>
      </c>
      <c r="AO436" s="2" t="s">
        <v>72</v>
      </c>
      <c r="AQ436" s="2" t="s">
        <v>75</v>
      </c>
      <c r="AR436" s="2" t="s">
        <v>76</v>
      </c>
      <c r="AS436" s="1">
        <v>2384.0</v>
      </c>
      <c r="AT436" s="1">
        <v>2384.0</v>
      </c>
      <c r="AU436" s="1">
        <v>1211.0</v>
      </c>
      <c r="AV436" s="1">
        <v>13.0</v>
      </c>
      <c r="AW436" s="1">
        <v>51.0</v>
      </c>
      <c r="AX436" s="1">
        <v>8299.0</v>
      </c>
      <c r="AY436" s="1">
        <v>2279.0</v>
      </c>
      <c r="AZ436" s="1" t="s">
        <v>627</v>
      </c>
      <c r="BA436" s="1" t="s">
        <v>121</v>
      </c>
    </row>
    <row r="437">
      <c r="A437" s="1" t="s">
        <v>1648</v>
      </c>
      <c r="B437" s="1" t="s">
        <v>53</v>
      </c>
      <c r="C437" s="1">
        <v>2005.0</v>
      </c>
      <c r="D437" s="1" t="s">
        <v>228</v>
      </c>
      <c r="E437" s="1" t="s">
        <v>1649</v>
      </c>
      <c r="F437" s="1" t="s">
        <v>1386</v>
      </c>
      <c r="G437" s="1" t="s">
        <v>1650</v>
      </c>
      <c r="H437" s="1" t="s">
        <v>1651</v>
      </c>
      <c r="I437" s="1">
        <v>24.0</v>
      </c>
      <c r="J437" s="1" t="s">
        <v>1652</v>
      </c>
      <c r="K437" s="2" t="s">
        <v>1653</v>
      </c>
      <c r="L437" s="2" t="s">
        <v>76</v>
      </c>
      <c r="M437" s="1" t="s">
        <v>1648</v>
      </c>
      <c r="N437" s="1" t="s">
        <v>62</v>
      </c>
      <c r="O437" s="1" t="s">
        <v>92</v>
      </c>
      <c r="P437" s="1" t="s">
        <v>466</v>
      </c>
      <c r="Q437" s="1">
        <v>19.857061</v>
      </c>
      <c r="R437" s="1">
        <v>-88.763083</v>
      </c>
      <c r="S437" s="1" t="s">
        <v>148</v>
      </c>
      <c r="T437" s="2" t="s">
        <v>1029</v>
      </c>
      <c r="U437" s="2" t="s">
        <v>615</v>
      </c>
      <c r="V437" s="3" t="s">
        <v>97</v>
      </c>
      <c r="W437" s="1" t="s">
        <v>1654</v>
      </c>
      <c r="X437" s="2" t="s">
        <v>1655</v>
      </c>
      <c r="Y437" s="6" t="s">
        <v>76</v>
      </c>
      <c r="Z437" s="3" t="s">
        <v>76</v>
      </c>
      <c r="AB437" s="1">
        <v>12.0</v>
      </c>
      <c r="AI437" s="2" t="s">
        <v>72</v>
      </c>
      <c r="AJ437" s="1">
        <v>-900.0</v>
      </c>
      <c r="AK437" s="1">
        <v>2000.0</v>
      </c>
      <c r="AL437" s="2" t="s">
        <v>73</v>
      </c>
      <c r="AM437" s="2" t="s">
        <v>72</v>
      </c>
      <c r="AN437" s="2" t="s">
        <v>72</v>
      </c>
      <c r="AO437" s="2" t="s">
        <v>72</v>
      </c>
      <c r="AQ437" s="2" t="s">
        <v>576</v>
      </c>
      <c r="AR437" s="2" t="s">
        <v>76</v>
      </c>
      <c r="AS437" s="1">
        <v>1254.0</v>
      </c>
      <c r="AT437" s="1">
        <v>1254.0</v>
      </c>
      <c r="AU437" s="1">
        <v>551.0</v>
      </c>
      <c r="AV437" s="1">
        <v>32.0</v>
      </c>
      <c r="AW437" s="1">
        <v>107.0</v>
      </c>
      <c r="AX437" s="1">
        <v>6228.0</v>
      </c>
      <c r="AY437" s="1">
        <v>36.0</v>
      </c>
      <c r="AZ437" s="1" t="s">
        <v>239</v>
      </c>
      <c r="BA437" s="1" t="s">
        <v>121</v>
      </c>
    </row>
    <row r="438">
      <c r="A438" s="1" t="s">
        <v>1656</v>
      </c>
      <c r="B438" s="1" t="s">
        <v>53</v>
      </c>
      <c r="C438" s="1">
        <v>2008.0</v>
      </c>
      <c r="D438" s="1" t="s">
        <v>1657</v>
      </c>
      <c r="E438" s="1" t="s">
        <v>1658</v>
      </c>
      <c r="F438" s="1" t="s">
        <v>1386</v>
      </c>
      <c r="G438" s="1" t="s">
        <v>1659</v>
      </c>
      <c r="H438" s="1" t="s">
        <v>1660</v>
      </c>
      <c r="I438" s="1">
        <v>27.0</v>
      </c>
      <c r="J438" s="1">
        <v>44176.0</v>
      </c>
      <c r="K438" s="2" t="s">
        <v>1661</v>
      </c>
      <c r="L438" s="2" t="s">
        <v>60</v>
      </c>
      <c r="M438" s="1" t="s">
        <v>1662</v>
      </c>
      <c r="N438" s="1" t="s">
        <v>62</v>
      </c>
      <c r="O438" s="1" t="s">
        <v>167</v>
      </c>
      <c r="P438" s="1" t="s">
        <v>512</v>
      </c>
      <c r="Q438" s="1">
        <v>16.916667</v>
      </c>
      <c r="R438" s="1">
        <v>-89.833333</v>
      </c>
      <c r="S438" s="1" t="s">
        <v>148</v>
      </c>
      <c r="T438" s="2" t="s">
        <v>382</v>
      </c>
      <c r="U438" s="2" t="s">
        <v>1266</v>
      </c>
      <c r="V438" s="3" t="s">
        <v>97</v>
      </c>
      <c r="W438" s="1" t="s">
        <v>1663</v>
      </c>
      <c r="X438" s="2" t="s">
        <v>968</v>
      </c>
      <c r="Y438" s="6" t="s">
        <v>76</v>
      </c>
      <c r="Z438" s="3" t="s">
        <v>76</v>
      </c>
      <c r="AB438" s="1">
        <v>23.0</v>
      </c>
      <c r="AH438" s="1">
        <v>4.0</v>
      </c>
      <c r="AI438" s="2" t="s">
        <v>72</v>
      </c>
      <c r="AJ438" s="1">
        <v>-83000.0</v>
      </c>
      <c r="AK438" s="1">
        <v>1950.0</v>
      </c>
      <c r="AL438" s="3" t="s">
        <v>73</v>
      </c>
      <c r="AM438" s="3" t="s">
        <v>72</v>
      </c>
      <c r="AN438" s="1" t="s">
        <v>1391</v>
      </c>
      <c r="AO438" s="2" t="s">
        <v>76</v>
      </c>
      <c r="AQ438" s="2" t="s">
        <v>75</v>
      </c>
      <c r="AR438" s="2" t="s">
        <v>76</v>
      </c>
      <c r="AS438" s="1">
        <v>1738.0</v>
      </c>
      <c r="AT438" s="1">
        <v>1738.0</v>
      </c>
      <c r="AU438" s="1">
        <v>690.0</v>
      </c>
      <c r="AV438" s="1">
        <v>36.0</v>
      </c>
      <c r="AW438" s="1">
        <v>144.0</v>
      </c>
      <c r="AX438" s="1">
        <v>5677.0</v>
      </c>
      <c r="AY438" s="1">
        <v>131.0</v>
      </c>
      <c r="AZ438" s="1" t="s">
        <v>133</v>
      </c>
      <c r="BA438" s="1" t="s">
        <v>121</v>
      </c>
    </row>
    <row r="439">
      <c r="A439" s="1" t="s">
        <v>1656</v>
      </c>
      <c r="B439" s="1" t="s">
        <v>53</v>
      </c>
      <c r="C439" s="1">
        <v>2008.0</v>
      </c>
      <c r="D439" s="1" t="s">
        <v>1657</v>
      </c>
      <c r="E439" s="1" t="s">
        <v>1658</v>
      </c>
      <c r="F439" s="1" t="s">
        <v>1386</v>
      </c>
      <c r="G439" s="1" t="s">
        <v>1659</v>
      </c>
      <c r="H439" s="1" t="s">
        <v>1660</v>
      </c>
      <c r="I439" s="1">
        <v>27.0</v>
      </c>
      <c r="J439" s="1">
        <v>44176.0</v>
      </c>
      <c r="K439" s="2" t="s">
        <v>1661</v>
      </c>
      <c r="L439" s="2" t="s">
        <v>60</v>
      </c>
      <c r="M439" s="1" t="s">
        <v>1664</v>
      </c>
      <c r="N439" s="1" t="s">
        <v>62</v>
      </c>
      <c r="O439" s="1" t="s">
        <v>167</v>
      </c>
      <c r="P439" s="1" t="s">
        <v>512</v>
      </c>
      <c r="Q439" s="1">
        <v>16.916667</v>
      </c>
      <c r="R439" s="1">
        <v>-89.833333</v>
      </c>
      <c r="S439" s="1" t="s">
        <v>148</v>
      </c>
      <c r="T439" s="2" t="s">
        <v>275</v>
      </c>
      <c r="U439" s="2" t="s">
        <v>1266</v>
      </c>
      <c r="V439" s="3" t="s">
        <v>97</v>
      </c>
      <c r="W439" s="1" t="s">
        <v>278</v>
      </c>
      <c r="X439" s="1" t="s">
        <v>279</v>
      </c>
      <c r="Y439" s="6" t="s">
        <v>76</v>
      </c>
      <c r="Z439" s="3" t="s">
        <v>76</v>
      </c>
      <c r="AB439" s="1">
        <v>23.0</v>
      </c>
      <c r="AH439" s="1">
        <v>4.0</v>
      </c>
      <c r="AI439" s="2" t="s">
        <v>72</v>
      </c>
      <c r="AJ439" s="1">
        <v>-83000.0</v>
      </c>
      <c r="AK439" s="1">
        <v>1950.0</v>
      </c>
      <c r="AL439" s="3" t="s">
        <v>73</v>
      </c>
      <c r="AM439" s="3" t="s">
        <v>72</v>
      </c>
      <c r="AN439" s="1" t="s">
        <v>1391</v>
      </c>
      <c r="AO439" s="2" t="s">
        <v>76</v>
      </c>
      <c r="AQ439" s="2" t="s">
        <v>75</v>
      </c>
      <c r="AR439" s="2" t="s">
        <v>76</v>
      </c>
      <c r="AS439" s="1">
        <v>1738.0</v>
      </c>
      <c r="AT439" s="1">
        <v>1738.0</v>
      </c>
      <c r="AU439" s="1">
        <v>690.0</v>
      </c>
      <c r="AV439" s="1">
        <v>36.0</v>
      </c>
      <c r="AW439" s="1">
        <v>144.0</v>
      </c>
      <c r="AX439" s="1">
        <v>5677.0</v>
      </c>
      <c r="AY439" s="1">
        <v>131.0</v>
      </c>
      <c r="AZ439" s="1" t="s">
        <v>133</v>
      </c>
      <c r="BA439" s="1" t="s">
        <v>121</v>
      </c>
    </row>
    <row r="440">
      <c r="A440" s="1" t="s">
        <v>1665</v>
      </c>
      <c r="B440" s="1" t="s">
        <v>53</v>
      </c>
      <c r="C440" s="1">
        <v>2009.0</v>
      </c>
      <c r="D440" s="1" t="s">
        <v>1666</v>
      </c>
      <c r="E440" s="1" t="s">
        <v>1667</v>
      </c>
      <c r="F440" s="1" t="s">
        <v>1386</v>
      </c>
      <c r="G440" s="1" t="s">
        <v>1668</v>
      </c>
      <c r="H440" s="1" t="s">
        <v>1669</v>
      </c>
      <c r="I440" s="1">
        <v>28.0</v>
      </c>
      <c r="J440" s="1" t="s">
        <v>1670</v>
      </c>
      <c r="K440" s="2" t="s">
        <v>1671</v>
      </c>
      <c r="L440" s="2" t="s">
        <v>76</v>
      </c>
      <c r="M440" s="1" t="s">
        <v>1665</v>
      </c>
      <c r="N440" s="1" t="s">
        <v>62</v>
      </c>
      <c r="O440" s="1" t="s">
        <v>112</v>
      </c>
      <c r="P440" s="1" t="s">
        <v>1672</v>
      </c>
      <c r="Q440" s="1">
        <v>10.166667</v>
      </c>
      <c r="R440" s="1">
        <v>-85.333333</v>
      </c>
      <c r="S440" s="1" t="s">
        <v>94</v>
      </c>
      <c r="T440" s="2" t="s">
        <v>95</v>
      </c>
      <c r="U440" s="2" t="s">
        <v>96</v>
      </c>
      <c r="V440" s="3" t="s">
        <v>97</v>
      </c>
      <c r="W440" s="1" t="s">
        <v>1673</v>
      </c>
      <c r="X440" s="1" t="s">
        <v>456</v>
      </c>
      <c r="Y440" s="6" t="s">
        <v>76</v>
      </c>
      <c r="Z440" s="3" t="s">
        <v>76</v>
      </c>
      <c r="AF440" s="1">
        <v>35.0</v>
      </c>
      <c r="AJ440" s="1">
        <v>-6000.0</v>
      </c>
      <c r="AK440" s="1">
        <v>-4400.0</v>
      </c>
      <c r="AL440" s="2" t="s">
        <v>153</v>
      </c>
      <c r="AM440" s="3" t="s">
        <v>60</v>
      </c>
      <c r="AN440" s="3" t="s">
        <v>101</v>
      </c>
      <c r="AO440" s="2" t="s">
        <v>101</v>
      </c>
      <c r="AQ440" s="2" t="s">
        <v>102</v>
      </c>
      <c r="AR440" s="2" t="s">
        <v>60</v>
      </c>
      <c r="AS440" s="1">
        <v>1891.0</v>
      </c>
      <c r="AT440" s="1">
        <v>1891.0</v>
      </c>
      <c r="AU440" s="1">
        <v>915.0</v>
      </c>
      <c r="AV440" s="1">
        <v>2.0</v>
      </c>
      <c r="AW440" s="1">
        <v>14.0</v>
      </c>
      <c r="AX440" s="1">
        <v>8437.0</v>
      </c>
      <c r="AY440" s="1">
        <v>74.0</v>
      </c>
      <c r="AZ440" s="1" t="s">
        <v>525</v>
      </c>
      <c r="BA440" s="1" t="s">
        <v>104</v>
      </c>
    </row>
    <row r="441">
      <c r="A441" s="1" t="s">
        <v>1674</v>
      </c>
      <c r="B441" s="1" t="s">
        <v>53</v>
      </c>
      <c r="C441" s="1">
        <v>2010.0</v>
      </c>
      <c r="D441" s="1" t="s">
        <v>1675</v>
      </c>
      <c r="E441" s="1" t="s">
        <v>1676</v>
      </c>
      <c r="F441" s="1" t="s">
        <v>1386</v>
      </c>
      <c r="G441" s="1" t="s">
        <v>1677</v>
      </c>
      <c r="H441" s="1" t="s">
        <v>1678</v>
      </c>
      <c r="I441" s="1">
        <v>29.0</v>
      </c>
      <c r="J441" s="1" t="s">
        <v>1679</v>
      </c>
      <c r="K441" s="2" t="s">
        <v>1680</v>
      </c>
      <c r="L441" s="2" t="s">
        <v>60</v>
      </c>
      <c r="M441" s="1" t="s">
        <v>1681</v>
      </c>
      <c r="N441" s="1" t="s">
        <v>62</v>
      </c>
      <c r="O441" s="1" t="s">
        <v>92</v>
      </c>
      <c r="P441" s="1" t="s">
        <v>1682</v>
      </c>
      <c r="Q441" s="1">
        <v>20.274178</v>
      </c>
      <c r="R441" s="1">
        <v>-87.486259</v>
      </c>
      <c r="S441" s="1" t="s">
        <v>1581</v>
      </c>
      <c r="T441" s="2" t="s">
        <v>135</v>
      </c>
      <c r="U441" s="2" t="s">
        <v>1683</v>
      </c>
      <c r="V441" s="3" t="s">
        <v>97</v>
      </c>
      <c r="W441" s="1" t="s">
        <v>547</v>
      </c>
      <c r="X441" s="1" t="s">
        <v>265</v>
      </c>
      <c r="Y441" s="6" t="s">
        <v>76</v>
      </c>
      <c r="Z441" s="3" t="s">
        <v>76</v>
      </c>
      <c r="AB441" s="1">
        <v>3.0</v>
      </c>
      <c r="AI441" s="1" t="s">
        <v>1684</v>
      </c>
      <c r="AJ441" s="1">
        <v>-2350.0</v>
      </c>
      <c r="AK441" s="1">
        <v>1950.0</v>
      </c>
      <c r="AL441" s="2" t="s">
        <v>100</v>
      </c>
      <c r="AM441" s="2" t="s">
        <v>72</v>
      </c>
      <c r="AN441" s="1" t="s">
        <v>238</v>
      </c>
      <c r="AO441" s="2" t="s">
        <v>72</v>
      </c>
      <c r="AQ441" s="2" t="s">
        <v>75</v>
      </c>
      <c r="AR441" s="2" t="s">
        <v>60</v>
      </c>
      <c r="AS441" s="1">
        <v>1209.0</v>
      </c>
      <c r="AT441" s="1">
        <v>1209.0</v>
      </c>
      <c r="AU441" s="1">
        <v>495.0</v>
      </c>
      <c r="AV441" s="1">
        <v>39.0</v>
      </c>
      <c r="AW441" s="1">
        <v>132.0</v>
      </c>
      <c r="AX441" s="1">
        <v>5135.0</v>
      </c>
      <c r="AY441" s="1">
        <v>5.0</v>
      </c>
      <c r="AZ441" s="1" t="s">
        <v>239</v>
      </c>
      <c r="BA441" s="1" t="s">
        <v>121</v>
      </c>
    </row>
    <row r="442">
      <c r="A442" s="1" t="s">
        <v>1674</v>
      </c>
      <c r="B442" s="1" t="s">
        <v>53</v>
      </c>
      <c r="C442" s="1">
        <v>2010.0</v>
      </c>
      <c r="D442" s="1" t="s">
        <v>1675</v>
      </c>
      <c r="E442" s="1" t="s">
        <v>1676</v>
      </c>
      <c r="F442" s="1" t="s">
        <v>1386</v>
      </c>
      <c r="G442" s="1" t="s">
        <v>1677</v>
      </c>
      <c r="H442" s="1" t="s">
        <v>1678</v>
      </c>
      <c r="I442" s="1">
        <v>29.0</v>
      </c>
      <c r="J442" s="1" t="s">
        <v>1679</v>
      </c>
      <c r="K442" s="2" t="s">
        <v>1680</v>
      </c>
      <c r="L442" s="2" t="s">
        <v>60</v>
      </c>
      <c r="M442" s="1" t="s">
        <v>1685</v>
      </c>
      <c r="N442" s="1" t="s">
        <v>62</v>
      </c>
      <c r="O442" s="1" t="s">
        <v>92</v>
      </c>
      <c r="P442" s="1" t="s">
        <v>1682</v>
      </c>
      <c r="Q442" s="1">
        <v>20.274178</v>
      </c>
      <c r="R442" s="1">
        <v>-87.486259</v>
      </c>
      <c r="S442" s="1" t="s">
        <v>1581</v>
      </c>
      <c r="T442" s="2" t="s">
        <v>135</v>
      </c>
      <c r="U442" s="2" t="s">
        <v>1683</v>
      </c>
      <c r="V442" s="3" t="s">
        <v>97</v>
      </c>
      <c r="W442" s="1" t="s">
        <v>547</v>
      </c>
      <c r="X442" s="1" t="s">
        <v>265</v>
      </c>
      <c r="Y442" s="6" t="s">
        <v>76</v>
      </c>
      <c r="Z442" s="3" t="s">
        <v>76</v>
      </c>
      <c r="AB442" s="1">
        <v>6.0</v>
      </c>
      <c r="AI442" s="1" t="s">
        <v>1684</v>
      </c>
      <c r="AJ442" s="1">
        <v>-1470.0</v>
      </c>
      <c r="AK442" s="1">
        <v>1950.0</v>
      </c>
      <c r="AL442" s="2" t="s">
        <v>100</v>
      </c>
      <c r="AM442" s="2" t="s">
        <v>72</v>
      </c>
      <c r="AN442" s="1" t="s">
        <v>238</v>
      </c>
      <c r="AO442" s="2" t="s">
        <v>72</v>
      </c>
      <c r="AQ442" s="2" t="s">
        <v>75</v>
      </c>
      <c r="AR442" s="2" t="s">
        <v>60</v>
      </c>
      <c r="AS442" s="1">
        <v>1209.0</v>
      </c>
      <c r="AT442" s="1">
        <v>1209.0</v>
      </c>
      <c r="AU442" s="1">
        <v>495.0</v>
      </c>
      <c r="AV442" s="1">
        <v>39.0</v>
      </c>
      <c r="AW442" s="1">
        <v>132.0</v>
      </c>
      <c r="AX442" s="1">
        <v>5135.0</v>
      </c>
      <c r="AY442" s="1">
        <v>5.0</v>
      </c>
      <c r="AZ442" s="1" t="s">
        <v>239</v>
      </c>
      <c r="BA442" s="1" t="s">
        <v>121</v>
      </c>
    </row>
    <row r="443">
      <c r="A443" s="1" t="s">
        <v>1674</v>
      </c>
      <c r="B443" s="1" t="s">
        <v>53</v>
      </c>
      <c r="C443" s="1">
        <v>2010.0</v>
      </c>
      <c r="D443" s="1" t="s">
        <v>1675</v>
      </c>
      <c r="E443" s="1" t="s">
        <v>1676</v>
      </c>
      <c r="F443" s="1" t="s">
        <v>1386</v>
      </c>
      <c r="G443" s="1" t="s">
        <v>1677</v>
      </c>
      <c r="H443" s="1" t="s">
        <v>1678</v>
      </c>
      <c r="I443" s="1">
        <v>29.0</v>
      </c>
      <c r="J443" s="1" t="s">
        <v>1679</v>
      </c>
      <c r="K443" s="2" t="s">
        <v>1680</v>
      </c>
      <c r="L443" s="2" t="s">
        <v>60</v>
      </c>
      <c r="M443" s="1" t="s">
        <v>1686</v>
      </c>
      <c r="N443" s="1" t="s">
        <v>62</v>
      </c>
      <c r="O443" s="1" t="s">
        <v>92</v>
      </c>
      <c r="P443" s="1" t="s">
        <v>1682</v>
      </c>
      <c r="Q443" s="1">
        <v>20.274178</v>
      </c>
      <c r="R443" s="1">
        <v>-87.486259</v>
      </c>
      <c r="S443" s="1" t="s">
        <v>1581</v>
      </c>
      <c r="T443" s="2" t="s">
        <v>135</v>
      </c>
      <c r="U443" s="2" t="s">
        <v>1683</v>
      </c>
      <c r="V443" s="3" t="s">
        <v>97</v>
      </c>
      <c r="W443" s="1" t="s">
        <v>547</v>
      </c>
      <c r="X443" s="1" t="s">
        <v>265</v>
      </c>
      <c r="Y443" s="6" t="s">
        <v>76</v>
      </c>
      <c r="Z443" s="3" t="s">
        <v>76</v>
      </c>
      <c r="AJ443" s="2" t="s">
        <v>72</v>
      </c>
      <c r="AK443" s="2" t="s">
        <v>72</v>
      </c>
      <c r="AL443" s="2" t="s">
        <v>100</v>
      </c>
      <c r="AM443" s="2" t="s">
        <v>72</v>
      </c>
      <c r="AN443" s="1" t="s">
        <v>238</v>
      </c>
      <c r="AO443" s="2" t="s">
        <v>72</v>
      </c>
      <c r="AQ443" s="2" t="s">
        <v>75</v>
      </c>
      <c r="AR443" s="2" t="s">
        <v>60</v>
      </c>
      <c r="AS443" s="1">
        <v>1209.0</v>
      </c>
      <c r="AT443" s="1">
        <v>1209.0</v>
      </c>
      <c r="AU443" s="1">
        <v>495.0</v>
      </c>
      <c r="AV443" s="1">
        <v>39.0</v>
      </c>
      <c r="AW443" s="1">
        <v>132.0</v>
      </c>
      <c r="AX443" s="1">
        <v>5135.0</v>
      </c>
      <c r="AY443" s="1">
        <v>5.0</v>
      </c>
      <c r="AZ443" s="1" t="s">
        <v>239</v>
      </c>
      <c r="BA443" s="1" t="s">
        <v>121</v>
      </c>
    </row>
    <row r="444">
      <c r="A444" s="1" t="s">
        <v>1674</v>
      </c>
      <c r="B444" s="1" t="s">
        <v>53</v>
      </c>
      <c r="C444" s="1">
        <v>2010.0</v>
      </c>
      <c r="D444" s="1" t="s">
        <v>1675</v>
      </c>
      <c r="E444" s="1" t="s">
        <v>1676</v>
      </c>
      <c r="F444" s="1" t="s">
        <v>1386</v>
      </c>
      <c r="G444" s="1" t="s">
        <v>1677</v>
      </c>
      <c r="H444" s="1" t="s">
        <v>1678</v>
      </c>
      <c r="I444" s="1">
        <v>29.0</v>
      </c>
      <c r="J444" s="1" t="s">
        <v>1679</v>
      </c>
      <c r="K444" s="2" t="s">
        <v>1680</v>
      </c>
      <c r="L444" s="2" t="s">
        <v>60</v>
      </c>
      <c r="M444" s="1" t="s">
        <v>1687</v>
      </c>
      <c r="N444" s="1" t="s">
        <v>62</v>
      </c>
      <c r="O444" s="1" t="s">
        <v>92</v>
      </c>
      <c r="P444" s="1" t="s">
        <v>1682</v>
      </c>
      <c r="Q444" s="1">
        <v>20.274178</v>
      </c>
      <c r="R444" s="1">
        <v>-87.486259</v>
      </c>
      <c r="S444" s="1" t="s">
        <v>1581</v>
      </c>
      <c r="T444" s="2" t="s">
        <v>388</v>
      </c>
      <c r="U444" s="2" t="s">
        <v>1683</v>
      </c>
      <c r="V444" s="3" t="s">
        <v>97</v>
      </c>
      <c r="W444" s="1" t="s">
        <v>547</v>
      </c>
      <c r="X444" s="1" t="s">
        <v>265</v>
      </c>
      <c r="Y444" s="6" t="s">
        <v>76</v>
      </c>
      <c r="Z444" s="3" t="s">
        <v>76</v>
      </c>
      <c r="AB444" s="1">
        <v>3.0</v>
      </c>
      <c r="AI444" s="1" t="s">
        <v>1684</v>
      </c>
      <c r="AJ444" s="1">
        <v>-2350.0</v>
      </c>
      <c r="AK444" s="1">
        <v>1950.0</v>
      </c>
      <c r="AL444" s="2" t="s">
        <v>100</v>
      </c>
      <c r="AM444" s="2" t="s">
        <v>72</v>
      </c>
      <c r="AN444" s="1" t="s">
        <v>238</v>
      </c>
      <c r="AO444" s="2" t="s">
        <v>72</v>
      </c>
      <c r="AQ444" s="2" t="s">
        <v>75</v>
      </c>
      <c r="AR444" s="2" t="s">
        <v>60</v>
      </c>
      <c r="AS444" s="1">
        <v>1209.0</v>
      </c>
      <c r="AT444" s="1">
        <v>1209.0</v>
      </c>
      <c r="AU444" s="1">
        <v>495.0</v>
      </c>
      <c r="AV444" s="1">
        <v>39.0</v>
      </c>
      <c r="AW444" s="1">
        <v>132.0</v>
      </c>
      <c r="AX444" s="1">
        <v>5135.0</v>
      </c>
      <c r="AY444" s="1">
        <v>5.0</v>
      </c>
      <c r="AZ444" s="1" t="s">
        <v>239</v>
      </c>
      <c r="BA444" s="1" t="s">
        <v>121</v>
      </c>
    </row>
    <row r="445">
      <c r="A445" s="1" t="s">
        <v>1674</v>
      </c>
      <c r="B445" s="1" t="s">
        <v>53</v>
      </c>
      <c r="C445" s="1">
        <v>2010.0</v>
      </c>
      <c r="D445" s="1" t="s">
        <v>1675</v>
      </c>
      <c r="E445" s="1" t="s">
        <v>1676</v>
      </c>
      <c r="F445" s="1" t="s">
        <v>1386</v>
      </c>
      <c r="G445" s="1" t="s">
        <v>1677</v>
      </c>
      <c r="H445" s="1" t="s">
        <v>1678</v>
      </c>
      <c r="I445" s="1">
        <v>29.0</v>
      </c>
      <c r="J445" s="1" t="s">
        <v>1679</v>
      </c>
      <c r="K445" s="2" t="s">
        <v>1680</v>
      </c>
      <c r="L445" s="2" t="s">
        <v>60</v>
      </c>
      <c r="M445" s="1" t="s">
        <v>1688</v>
      </c>
      <c r="N445" s="1" t="s">
        <v>62</v>
      </c>
      <c r="O445" s="1" t="s">
        <v>92</v>
      </c>
      <c r="P445" s="1" t="s">
        <v>1682</v>
      </c>
      <c r="Q445" s="1">
        <v>20.274178</v>
      </c>
      <c r="R445" s="1">
        <v>-87.486259</v>
      </c>
      <c r="S445" s="1" t="s">
        <v>1581</v>
      </c>
      <c r="T445" s="2" t="s">
        <v>388</v>
      </c>
      <c r="U445" s="2" t="s">
        <v>1683</v>
      </c>
      <c r="V445" s="3" t="s">
        <v>97</v>
      </c>
      <c r="W445" s="1" t="s">
        <v>547</v>
      </c>
      <c r="X445" s="1" t="s">
        <v>265</v>
      </c>
      <c r="Y445" s="6" t="s">
        <v>76</v>
      </c>
      <c r="Z445" s="3" t="s">
        <v>76</v>
      </c>
      <c r="AB445" s="1">
        <v>6.0</v>
      </c>
      <c r="AI445" s="1" t="s">
        <v>1684</v>
      </c>
      <c r="AJ445" s="1">
        <v>-1470.0</v>
      </c>
      <c r="AK445" s="1">
        <v>1950.0</v>
      </c>
      <c r="AL445" s="2" t="s">
        <v>100</v>
      </c>
      <c r="AM445" s="2" t="s">
        <v>72</v>
      </c>
      <c r="AN445" s="1" t="s">
        <v>238</v>
      </c>
      <c r="AO445" s="2" t="s">
        <v>72</v>
      </c>
      <c r="AQ445" s="2" t="s">
        <v>75</v>
      </c>
      <c r="AR445" s="2" t="s">
        <v>60</v>
      </c>
      <c r="AS445" s="1">
        <v>1209.0</v>
      </c>
      <c r="AT445" s="1">
        <v>1209.0</v>
      </c>
      <c r="AU445" s="1">
        <v>495.0</v>
      </c>
      <c r="AV445" s="1">
        <v>39.0</v>
      </c>
      <c r="AW445" s="1">
        <v>132.0</v>
      </c>
      <c r="AX445" s="1">
        <v>5135.0</v>
      </c>
      <c r="AY445" s="1">
        <v>5.0</v>
      </c>
      <c r="AZ445" s="1" t="s">
        <v>239</v>
      </c>
      <c r="BA445" s="1" t="s">
        <v>121</v>
      </c>
    </row>
    <row r="446">
      <c r="A446" s="1" t="s">
        <v>1674</v>
      </c>
      <c r="B446" s="1" t="s">
        <v>53</v>
      </c>
      <c r="C446" s="1">
        <v>2010.0</v>
      </c>
      <c r="D446" s="1" t="s">
        <v>1675</v>
      </c>
      <c r="E446" s="1" t="s">
        <v>1676</v>
      </c>
      <c r="F446" s="1" t="s">
        <v>1386</v>
      </c>
      <c r="G446" s="1" t="s">
        <v>1677</v>
      </c>
      <c r="H446" s="1" t="s">
        <v>1678</v>
      </c>
      <c r="I446" s="1">
        <v>29.0</v>
      </c>
      <c r="J446" s="1" t="s">
        <v>1679</v>
      </c>
      <c r="K446" s="2" t="s">
        <v>1680</v>
      </c>
      <c r="L446" s="2" t="s">
        <v>60</v>
      </c>
      <c r="M446" s="1" t="s">
        <v>1689</v>
      </c>
      <c r="N446" s="1" t="s">
        <v>62</v>
      </c>
      <c r="O446" s="1" t="s">
        <v>92</v>
      </c>
      <c r="P446" s="1" t="s">
        <v>1682</v>
      </c>
      <c r="Q446" s="1">
        <v>20.274178</v>
      </c>
      <c r="R446" s="1">
        <v>-87.486259</v>
      </c>
      <c r="S446" s="1" t="s">
        <v>1581</v>
      </c>
      <c r="T446" s="2" t="s">
        <v>388</v>
      </c>
      <c r="U446" s="2" t="s">
        <v>1683</v>
      </c>
      <c r="V446" s="3" t="s">
        <v>97</v>
      </c>
      <c r="W446" s="1" t="s">
        <v>547</v>
      </c>
      <c r="X446" s="1" t="s">
        <v>265</v>
      </c>
      <c r="Y446" s="6" t="s">
        <v>76</v>
      </c>
      <c r="Z446" s="3" t="s">
        <v>76</v>
      </c>
      <c r="AJ446" s="2" t="s">
        <v>72</v>
      </c>
      <c r="AK446" s="2" t="s">
        <v>72</v>
      </c>
      <c r="AL446" s="2" t="s">
        <v>100</v>
      </c>
      <c r="AM446" s="2" t="s">
        <v>72</v>
      </c>
      <c r="AN446" s="1" t="s">
        <v>238</v>
      </c>
      <c r="AO446" s="2" t="s">
        <v>72</v>
      </c>
      <c r="AQ446" s="2" t="s">
        <v>75</v>
      </c>
      <c r="AR446" s="2" t="s">
        <v>60</v>
      </c>
      <c r="AS446" s="1">
        <v>1209.0</v>
      </c>
      <c r="AT446" s="1">
        <v>1209.0</v>
      </c>
      <c r="AU446" s="1">
        <v>495.0</v>
      </c>
      <c r="AV446" s="1">
        <v>39.0</v>
      </c>
      <c r="AW446" s="1">
        <v>132.0</v>
      </c>
      <c r="AX446" s="1">
        <v>5135.0</v>
      </c>
      <c r="AY446" s="1">
        <v>5.0</v>
      </c>
      <c r="AZ446" s="1" t="s">
        <v>239</v>
      </c>
      <c r="BA446" s="1" t="s">
        <v>121</v>
      </c>
    </row>
    <row r="447">
      <c r="A447" s="1" t="s">
        <v>1674</v>
      </c>
      <c r="B447" s="1" t="s">
        <v>53</v>
      </c>
      <c r="C447" s="1">
        <v>2010.0</v>
      </c>
      <c r="D447" s="1" t="s">
        <v>1675</v>
      </c>
      <c r="E447" s="1" t="s">
        <v>1676</v>
      </c>
      <c r="F447" s="1" t="s">
        <v>1386</v>
      </c>
      <c r="G447" s="1" t="s">
        <v>1677</v>
      </c>
      <c r="H447" s="1" t="s">
        <v>1678</v>
      </c>
      <c r="I447" s="1">
        <v>29.0</v>
      </c>
      <c r="J447" s="1" t="s">
        <v>1679</v>
      </c>
      <c r="K447" s="2" t="s">
        <v>1680</v>
      </c>
      <c r="L447" s="2" t="s">
        <v>60</v>
      </c>
      <c r="M447" s="1" t="s">
        <v>1690</v>
      </c>
      <c r="N447" s="1" t="s">
        <v>62</v>
      </c>
      <c r="O447" s="1" t="s">
        <v>92</v>
      </c>
      <c r="P447" s="1" t="s">
        <v>1682</v>
      </c>
      <c r="Q447" s="1">
        <v>20.274178</v>
      </c>
      <c r="R447" s="1">
        <v>-87.486259</v>
      </c>
      <c r="S447" s="1" t="s">
        <v>1581</v>
      </c>
      <c r="T447" s="2" t="s">
        <v>927</v>
      </c>
      <c r="U447" s="2" t="s">
        <v>1683</v>
      </c>
      <c r="V447" s="3" t="s">
        <v>97</v>
      </c>
      <c r="W447" s="1" t="s">
        <v>1534</v>
      </c>
      <c r="X447" s="1" t="s">
        <v>70</v>
      </c>
      <c r="Y447" s="6" t="s">
        <v>76</v>
      </c>
      <c r="Z447" s="3" t="s">
        <v>76</v>
      </c>
      <c r="AB447" s="1">
        <v>3.0</v>
      </c>
      <c r="AI447" s="1" t="s">
        <v>1684</v>
      </c>
      <c r="AJ447" s="1">
        <v>-2350.0</v>
      </c>
      <c r="AK447" s="1">
        <v>1950.0</v>
      </c>
      <c r="AL447" s="2" t="s">
        <v>100</v>
      </c>
      <c r="AM447" s="2" t="s">
        <v>72</v>
      </c>
      <c r="AN447" s="1" t="s">
        <v>238</v>
      </c>
      <c r="AO447" s="2" t="s">
        <v>72</v>
      </c>
      <c r="AQ447" s="2" t="s">
        <v>75</v>
      </c>
      <c r="AR447" s="2" t="s">
        <v>60</v>
      </c>
      <c r="AS447" s="1">
        <v>1209.0</v>
      </c>
      <c r="AT447" s="1">
        <v>1209.0</v>
      </c>
      <c r="AU447" s="1">
        <v>495.0</v>
      </c>
      <c r="AV447" s="1">
        <v>39.0</v>
      </c>
      <c r="AW447" s="1">
        <v>132.0</v>
      </c>
      <c r="AX447" s="1">
        <v>5135.0</v>
      </c>
      <c r="AY447" s="1">
        <v>5.0</v>
      </c>
      <c r="AZ447" s="1" t="s">
        <v>239</v>
      </c>
      <c r="BA447" s="1" t="s">
        <v>121</v>
      </c>
    </row>
    <row r="448">
      <c r="A448" s="1" t="s">
        <v>1674</v>
      </c>
      <c r="B448" s="1" t="s">
        <v>53</v>
      </c>
      <c r="C448" s="1">
        <v>2010.0</v>
      </c>
      <c r="D448" s="1" t="s">
        <v>1675</v>
      </c>
      <c r="E448" s="1" t="s">
        <v>1676</v>
      </c>
      <c r="F448" s="1" t="s">
        <v>1386</v>
      </c>
      <c r="G448" s="1" t="s">
        <v>1677</v>
      </c>
      <c r="H448" s="1" t="s">
        <v>1678</v>
      </c>
      <c r="I448" s="1">
        <v>29.0</v>
      </c>
      <c r="J448" s="1" t="s">
        <v>1679</v>
      </c>
      <c r="K448" s="2" t="s">
        <v>1680</v>
      </c>
      <c r="L448" s="2" t="s">
        <v>60</v>
      </c>
      <c r="M448" s="1" t="s">
        <v>1691</v>
      </c>
      <c r="N448" s="1" t="s">
        <v>62</v>
      </c>
      <c r="O448" s="1" t="s">
        <v>92</v>
      </c>
      <c r="P448" s="1" t="s">
        <v>1682</v>
      </c>
      <c r="Q448" s="1">
        <v>20.274178</v>
      </c>
      <c r="R448" s="1">
        <v>-87.486259</v>
      </c>
      <c r="S448" s="1" t="s">
        <v>1581</v>
      </c>
      <c r="T448" s="2" t="s">
        <v>927</v>
      </c>
      <c r="U448" s="2" t="s">
        <v>1683</v>
      </c>
      <c r="V448" s="3" t="s">
        <v>97</v>
      </c>
      <c r="W448" s="1" t="s">
        <v>1534</v>
      </c>
      <c r="X448" s="1" t="s">
        <v>70</v>
      </c>
      <c r="Y448" s="6" t="s">
        <v>76</v>
      </c>
      <c r="Z448" s="3" t="s">
        <v>76</v>
      </c>
      <c r="AB448" s="1">
        <v>6.0</v>
      </c>
      <c r="AI448" s="1" t="s">
        <v>1684</v>
      </c>
      <c r="AJ448" s="1">
        <v>-1470.0</v>
      </c>
      <c r="AK448" s="1">
        <v>1950.0</v>
      </c>
      <c r="AL448" s="2" t="s">
        <v>100</v>
      </c>
      <c r="AM448" s="2" t="s">
        <v>72</v>
      </c>
      <c r="AN448" s="1" t="s">
        <v>238</v>
      </c>
      <c r="AO448" s="2" t="s">
        <v>72</v>
      </c>
      <c r="AQ448" s="2" t="s">
        <v>75</v>
      </c>
      <c r="AR448" s="2" t="s">
        <v>60</v>
      </c>
      <c r="AS448" s="1">
        <v>1209.0</v>
      </c>
      <c r="AT448" s="1">
        <v>1209.0</v>
      </c>
      <c r="AU448" s="1">
        <v>495.0</v>
      </c>
      <c r="AV448" s="1">
        <v>39.0</v>
      </c>
      <c r="AW448" s="1">
        <v>132.0</v>
      </c>
      <c r="AX448" s="1">
        <v>5135.0</v>
      </c>
      <c r="AY448" s="1">
        <v>5.0</v>
      </c>
      <c r="AZ448" s="1" t="s">
        <v>239</v>
      </c>
      <c r="BA448" s="1" t="s">
        <v>121</v>
      </c>
    </row>
    <row r="449">
      <c r="A449" s="1" t="s">
        <v>1674</v>
      </c>
      <c r="B449" s="1" t="s">
        <v>53</v>
      </c>
      <c r="C449" s="1">
        <v>2010.0</v>
      </c>
      <c r="D449" s="1" t="s">
        <v>1675</v>
      </c>
      <c r="E449" s="1" t="s">
        <v>1676</v>
      </c>
      <c r="F449" s="1" t="s">
        <v>1386</v>
      </c>
      <c r="G449" s="1" t="s">
        <v>1677</v>
      </c>
      <c r="H449" s="1" t="s">
        <v>1678</v>
      </c>
      <c r="I449" s="1">
        <v>29.0</v>
      </c>
      <c r="J449" s="1" t="s">
        <v>1679</v>
      </c>
      <c r="K449" s="2" t="s">
        <v>1680</v>
      </c>
      <c r="L449" s="2" t="s">
        <v>60</v>
      </c>
      <c r="M449" s="1" t="s">
        <v>1692</v>
      </c>
      <c r="N449" s="1" t="s">
        <v>62</v>
      </c>
      <c r="O449" s="1" t="s">
        <v>92</v>
      </c>
      <c r="P449" s="1" t="s">
        <v>1682</v>
      </c>
      <c r="Q449" s="1">
        <v>20.274178</v>
      </c>
      <c r="R449" s="1">
        <v>-87.486259</v>
      </c>
      <c r="S449" s="1" t="s">
        <v>1581</v>
      </c>
      <c r="T449" s="2" t="s">
        <v>927</v>
      </c>
      <c r="U449" s="2" t="s">
        <v>1683</v>
      </c>
      <c r="V449" s="3" t="s">
        <v>97</v>
      </c>
      <c r="W449" s="1" t="s">
        <v>1534</v>
      </c>
      <c r="X449" s="1" t="s">
        <v>70</v>
      </c>
      <c r="Y449" s="6" t="s">
        <v>76</v>
      </c>
      <c r="Z449" s="3" t="s">
        <v>76</v>
      </c>
      <c r="AJ449" s="2" t="s">
        <v>72</v>
      </c>
      <c r="AK449" s="2" t="s">
        <v>72</v>
      </c>
      <c r="AL449" s="2" t="s">
        <v>100</v>
      </c>
      <c r="AM449" s="2" t="s">
        <v>72</v>
      </c>
      <c r="AN449" s="1" t="s">
        <v>238</v>
      </c>
      <c r="AO449" s="2" t="s">
        <v>72</v>
      </c>
      <c r="AQ449" s="2" t="s">
        <v>75</v>
      </c>
      <c r="AR449" s="2" t="s">
        <v>60</v>
      </c>
      <c r="AS449" s="1">
        <v>1209.0</v>
      </c>
      <c r="AT449" s="1">
        <v>1209.0</v>
      </c>
      <c r="AU449" s="1">
        <v>495.0</v>
      </c>
      <c r="AV449" s="1">
        <v>39.0</v>
      </c>
      <c r="AW449" s="1">
        <v>132.0</v>
      </c>
      <c r="AX449" s="1">
        <v>5135.0</v>
      </c>
      <c r="AY449" s="1">
        <v>5.0</v>
      </c>
      <c r="AZ449" s="1" t="s">
        <v>239</v>
      </c>
      <c r="BA449" s="1" t="s">
        <v>121</v>
      </c>
    </row>
    <row r="450">
      <c r="A450" s="1" t="s">
        <v>1674</v>
      </c>
      <c r="B450" s="1" t="s">
        <v>53</v>
      </c>
      <c r="C450" s="1">
        <v>2010.0</v>
      </c>
      <c r="D450" s="1" t="s">
        <v>1675</v>
      </c>
      <c r="E450" s="1" t="s">
        <v>1676</v>
      </c>
      <c r="F450" s="1" t="s">
        <v>1386</v>
      </c>
      <c r="G450" s="1" t="s">
        <v>1677</v>
      </c>
      <c r="H450" s="1" t="s">
        <v>1678</v>
      </c>
      <c r="I450" s="1">
        <v>29.0</v>
      </c>
      <c r="J450" s="1" t="s">
        <v>1679</v>
      </c>
      <c r="K450" s="2" t="s">
        <v>1680</v>
      </c>
      <c r="L450" s="2" t="s">
        <v>60</v>
      </c>
      <c r="M450" s="1" t="s">
        <v>1693</v>
      </c>
      <c r="N450" s="1" t="s">
        <v>62</v>
      </c>
      <c r="O450" s="1" t="s">
        <v>92</v>
      </c>
      <c r="P450" s="1" t="s">
        <v>1682</v>
      </c>
      <c r="Q450" s="1">
        <v>20.274178</v>
      </c>
      <c r="R450" s="1">
        <v>-87.486259</v>
      </c>
      <c r="S450" s="1" t="s">
        <v>1581</v>
      </c>
      <c r="T450" s="2" t="s">
        <v>1694</v>
      </c>
      <c r="U450" s="2" t="s">
        <v>1683</v>
      </c>
      <c r="V450" s="3" t="s">
        <v>97</v>
      </c>
      <c r="W450" s="1" t="s">
        <v>1695</v>
      </c>
      <c r="X450" s="1" t="s">
        <v>1696</v>
      </c>
      <c r="Y450" s="6" t="s">
        <v>76</v>
      </c>
      <c r="Z450" s="3" t="s">
        <v>76</v>
      </c>
      <c r="AB450" s="1">
        <v>3.0</v>
      </c>
      <c r="AI450" s="1" t="s">
        <v>1684</v>
      </c>
      <c r="AJ450" s="1">
        <v>-2350.0</v>
      </c>
      <c r="AK450" s="1">
        <v>1950.0</v>
      </c>
      <c r="AL450" s="2" t="s">
        <v>100</v>
      </c>
      <c r="AM450" s="2" t="s">
        <v>72</v>
      </c>
      <c r="AN450" s="1" t="s">
        <v>238</v>
      </c>
      <c r="AO450" s="2" t="s">
        <v>72</v>
      </c>
      <c r="AQ450" s="2" t="s">
        <v>75</v>
      </c>
      <c r="AR450" s="2" t="s">
        <v>60</v>
      </c>
      <c r="AS450" s="1">
        <v>1209.0</v>
      </c>
      <c r="AT450" s="1">
        <v>1209.0</v>
      </c>
      <c r="AU450" s="1">
        <v>495.0</v>
      </c>
      <c r="AV450" s="1">
        <v>39.0</v>
      </c>
      <c r="AW450" s="1">
        <v>132.0</v>
      </c>
      <c r="AX450" s="1">
        <v>5135.0</v>
      </c>
      <c r="AY450" s="1">
        <v>5.0</v>
      </c>
      <c r="AZ450" s="1" t="s">
        <v>239</v>
      </c>
      <c r="BA450" s="1" t="s">
        <v>121</v>
      </c>
    </row>
    <row r="451">
      <c r="A451" s="1" t="s">
        <v>1674</v>
      </c>
      <c r="B451" s="1" t="s">
        <v>53</v>
      </c>
      <c r="C451" s="1">
        <v>2010.0</v>
      </c>
      <c r="D451" s="1" t="s">
        <v>1675</v>
      </c>
      <c r="E451" s="1" t="s">
        <v>1676</v>
      </c>
      <c r="F451" s="1" t="s">
        <v>1386</v>
      </c>
      <c r="G451" s="1" t="s">
        <v>1677</v>
      </c>
      <c r="H451" s="1" t="s">
        <v>1678</v>
      </c>
      <c r="I451" s="1">
        <v>29.0</v>
      </c>
      <c r="J451" s="1" t="s">
        <v>1679</v>
      </c>
      <c r="K451" s="2" t="s">
        <v>1680</v>
      </c>
      <c r="L451" s="2" t="s">
        <v>60</v>
      </c>
      <c r="M451" s="1" t="s">
        <v>1697</v>
      </c>
      <c r="N451" s="1" t="s">
        <v>62</v>
      </c>
      <c r="O451" s="1" t="s">
        <v>92</v>
      </c>
      <c r="P451" s="1" t="s">
        <v>1682</v>
      </c>
      <c r="Q451" s="1">
        <v>20.274178</v>
      </c>
      <c r="R451" s="1">
        <v>-87.486259</v>
      </c>
      <c r="S451" s="1" t="s">
        <v>1581</v>
      </c>
      <c r="T451" s="2" t="s">
        <v>1694</v>
      </c>
      <c r="U451" s="2" t="s">
        <v>1683</v>
      </c>
      <c r="V451" s="3" t="s">
        <v>97</v>
      </c>
      <c r="W451" s="1" t="s">
        <v>1698</v>
      </c>
      <c r="X451" s="1" t="s">
        <v>1696</v>
      </c>
      <c r="Y451" s="6" t="s">
        <v>76</v>
      </c>
      <c r="Z451" s="3" t="s">
        <v>76</v>
      </c>
      <c r="AB451" s="1">
        <v>6.0</v>
      </c>
      <c r="AI451" s="1" t="s">
        <v>1684</v>
      </c>
      <c r="AJ451" s="1">
        <v>-1470.0</v>
      </c>
      <c r="AK451" s="1">
        <v>1950.0</v>
      </c>
      <c r="AL451" s="2" t="s">
        <v>100</v>
      </c>
      <c r="AM451" s="2" t="s">
        <v>72</v>
      </c>
      <c r="AN451" s="1" t="s">
        <v>238</v>
      </c>
      <c r="AO451" s="2" t="s">
        <v>72</v>
      </c>
      <c r="AQ451" s="2" t="s">
        <v>75</v>
      </c>
      <c r="AR451" s="2" t="s">
        <v>60</v>
      </c>
      <c r="AS451" s="1">
        <v>1209.0</v>
      </c>
      <c r="AT451" s="1">
        <v>1209.0</v>
      </c>
      <c r="AU451" s="1">
        <v>495.0</v>
      </c>
      <c r="AV451" s="1">
        <v>39.0</v>
      </c>
      <c r="AW451" s="1">
        <v>132.0</v>
      </c>
      <c r="AX451" s="1">
        <v>5135.0</v>
      </c>
      <c r="AY451" s="1">
        <v>5.0</v>
      </c>
      <c r="AZ451" s="1" t="s">
        <v>239</v>
      </c>
      <c r="BA451" s="1" t="s">
        <v>121</v>
      </c>
    </row>
    <row r="452">
      <c r="A452" s="1" t="s">
        <v>1674</v>
      </c>
      <c r="B452" s="1" t="s">
        <v>53</v>
      </c>
      <c r="C452" s="1">
        <v>2010.0</v>
      </c>
      <c r="D452" s="1" t="s">
        <v>1675</v>
      </c>
      <c r="E452" s="1" t="s">
        <v>1676</v>
      </c>
      <c r="F452" s="1" t="s">
        <v>1386</v>
      </c>
      <c r="G452" s="1" t="s">
        <v>1677</v>
      </c>
      <c r="H452" s="1" t="s">
        <v>1678</v>
      </c>
      <c r="I452" s="1">
        <v>29.0</v>
      </c>
      <c r="J452" s="1" t="s">
        <v>1679</v>
      </c>
      <c r="K452" s="2" t="s">
        <v>1680</v>
      </c>
      <c r="L452" s="2" t="s">
        <v>60</v>
      </c>
      <c r="M452" s="1" t="s">
        <v>1699</v>
      </c>
      <c r="N452" s="1" t="s">
        <v>62</v>
      </c>
      <c r="O452" s="1" t="s">
        <v>92</v>
      </c>
      <c r="P452" s="1" t="s">
        <v>1682</v>
      </c>
      <c r="Q452" s="1">
        <v>20.274178</v>
      </c>
      <c r="R452" s="1">
        <v>-87.486259</v>
      </c>
      <c r="S452" s="1" t="s">
        <v>1581</v>
      </c>
      <c r="T452" s="2" t="s">
        <v>1694</v>
      </c>
      <c r="U452" s="2" t="s">
        <v>1683</v>
      </c>
      <c r="V452" s="3" t="s">
        <v>97</v>
      </c>
      <c r="W452" s="1" t="s">
        <v>1700</v>
      </c>
      <c r="X452" s="1" t="s">
        <v>1696</v>
      </c>
      <c r="Y452" s="6" t="s">
        <v>76</v>
      </c>
      <c r="Z452" s="3" t="s">
        <v>76</v>
      </c>
      <c r="AJ452" s="2" t="s">
        <v>72</v>
      </c>
      <c r="AK452" s="2" t="s">
        <v>72</v>
      </c>
      <c r="AL452" s="2" t="s">
        <v>100</v>
      </c>
      <c r="AM452" s="2" t="s">
        <v>72</v>
      </c>
      <c r="AN452" s="1" t="s">
        <v>238</v>
      </c>
      <c r="AO452" s="2" t="s">
        <v>72</v>
      </c>
      <c r="AQ452" s="2" t="s">
        <v>75</v>
      </c>
      <c r="AR452" s="2" t="s">
        <v>60</v>
      </c>
      <c r="AS452" s="1">
        <v>1209.0</v>
      </c>
      <c r="AT452" s="1">
        <v>1209.0</v>
      </c>
      <c r="AU452" s="1">
        <v>495.0</v>
      </c>
      <c r="AV452" s="1">
        <v>39.0</v>
      </c>
      <c r="AW452" s="1">
        <v>132.0</v>
      </c>
      <c r="AX452" s="1">
        <v>5135.0</v>
      </c>
      <c r="AY452" s="1">
        <v>5.0</v>
      </c>
      <c r="AZ452" s="1" t="s">
        <v>239</v>
      </c>
      <c r="BA452" s="1" t="s">
        <v>121</v>
      </c>
    </row>
    <row r="453">
      <c r="A453" s="1" t="s">
        <v>1674</v>
      </c>
      <c r="B453" s="1" t="s">
        <v>53</v>
      </c>
      <c r="C453" s="1">
        <v>2010.0</v>
      </c>
      <c r="D453" s="1" t="s">
        <v>1675</v>
      </c>
      <c r="E453" s="1" t="s">
        <v>1676</v>
      </c>
      <c r="F453" s="1" t="s">
        <v>1386</v>
      </c>
      <c r="G453" s="1" t="s">
        <v>1677</v>
      </c>
      <c r="H453" s="1" t="s">
        <v>1678</v>
      </c>
      <c r="I453" s="1">
        <v>29.0</v>
      </c>
      <c r="J453" s="1" t="s">
        <v>1679</v>
      </c>
      <c r="K453" s="2" t="s">
        <v>1680</v>
      </c>
      <c r="L453" s="2" t="s">
        <v>60</v>
      </c>
      <c r="M453" s="1" t="s">
        <v>1701</v>
      </c>
      <c r="N453" s="1" t="s">
        <v>62</v>
      </c>
      <c r="O453" s="1" t="s">
        <v>92</v>
      </c>
      <c r="P453" s="1" t="s">
        <v>1682</v>
      </c>
      <c r="Q453" s="1">
        <v>20.274178</v>
      </c>
      <c r="R453" s="1">
        <v>-87.486259</v>
      </c>
      <c r="S453" s="1" t="s">
        <v>1581</v>
      </c>
      <c r="T453" s="2" t="s">
        <v>1702</v>
      </c>
      <c r="U453" s="2" t="s">
        <v>1683</v>
      </c>
      <c r="V453" s="3" t="s">
        <v>97</v>
      </c>
      <c r="W453" s="2" t="s">
        <v>72</v>
      </c>
      <c r="X453" s="1" t="s">
        <v>70</v>
      </c>
      <c r="Y453" s="6" t="s">
        <v>76</v>
      </c>
      <c r="Z453" s="3" t="s">
        <v>76</v>
      </c>
      <c r="AB453" s="1">
        <v>3.0</v>
      </c>
      <c r="AI453" s="1" t="s">
        <v>1684</v>
      </c>
      <c r="AJ453" s="1">
        <v>-2350.0</v>
      </c>
      <c r="AK453" s="1">
        <v>1950.0</v>
      </c>
      <c r="AL453" s="2" t="s">
        <v>100</v>
      </c>
      <c r="AM453" s="2" t="s">
        <v>72</v>
      </c>
      <c r="AN453" s="1" t="s">
        <v>238</v>
      </c>
      <c r="AO453" s="2" t="s">
        <v>72</v>
      </c>
      <c r="AQ453" s="2" t="s">
        <v>75</v>
      </c>
      <c r="AR453" s="2" t="s">
        <v>60</v>
      </c>
      <c r="AS453" s="1">
        <v>1209.0</v>
      </c>
      <c r="AT453" s="1">
        <v>1209.0</v>
      </c>
      <c r="AU453" s="1">
        <v>495.0</v>
      </c>
      <c r="AV453" s="1">
        <v>39.0</v>
      </c>
      <c r="AW453" s="1">
        <v>132.0</v>
      </c>
      <c r="AX453" s="1">
        <v>5135.0</v>
      </c>
      <c r="AY453" s="1">
        <v>5.0</v>
      </c>
      <c r="AZ453" s="1" t="s">
        <v>239</v>
      </c>
      <c r="BA453" s="1" t="s">
        <v>121</v>
      </c>
    </row>
    <row r="454">
      <c r="A454" s="1" t="s">
        <v>1674</v>
      </c>
      <c r="B454" s="1" t="s">
        <v>53</v>
      </c>
      <c r="C454" s="1">
        <v>2010.0</v>
      </c>
      <c r="D454" s="1" t="s">
        <v>1675</v>
      </c>
      <c r="E454" s="1" t="s">
        <v>1676</v>
      </c>
      <c r="F454" s="1" t="s">
        <v>1386</v>
      </c>
      <c r="G454" s="1" t="s">
        <v>1677</v>
      </c>
      <c r="H454" s="1" t="s">
        <v>1678</v>
      </c>
      <c r="I454" s="1">
        <v>29.0</v>
      </c>
      <c r="J454" s="1" t="s">
        <v>1679</v>
      </c>
      <c r="K454" s="2" t="s">
        <v>1680</v>
      </c>
      <c r="L454" s="2" t="s">
        <v>60</v>
      </c>
      <c r="M454" s="1" t="s">
        <v>1703</v>
      </c>
      <c r="N454" s="1" t="s">
        <v>62</v>
      </c>
      <c r="O454" s="1" t="s">
        <v>92</v>
      </c>
      <c r="P454" s="1" t="s">
        <v>1682</v>
      </c>
      <c r="Q454" s="1">
        <v>20.274178</v>
      </c>
      <c r="R454" s="1">
        <v>-87.486259</v>
      </c>
      <c r="S454" s="1" t="s">
        <v>1581</v>
      </c>
      <c r="T454" s="2" t="s">
        <v>1702</v>
      </c>
      <c r="U454" s="2" t="s">
        <v>1683</v>
      </c>
      <c r="V454" s="3" t="s">
        <v>97</v>
      </c>
      <c r="W454" s="2" t="s">
        <v>72</v>
      </c>
      <c r="X454" s="1" t="s">
        <v>70</v>
      </c>
      <c r="Y454" s="6" t="s">
        <v>76</v>
      </c>
      <c r="Z454" s="3" t="s">
        <v>76</v>
      </c>
      <c r="AB454" s="1">
        <v>6.0</v>
      </c>
      <c r="AI454" s="1" t="s">
        <v>1684</v>
      </c>
      <c r="AJ454" s="1">
        <v>-1470.0</v>
      </c>
      <c r="AK454" s="1">
        <v>1950.0</v>
      </c>
      <c r="AL454" s="2" t="s">
        <v>100</v>
      </c>
      <c r="AM454" s="2" t="s">
        <v>72</v>
      </c>
      <c r="AN454" s="1" t="s">
        <v>238</v>
      </c>
      <c r="AO454" s="2" t="s">
        <v>72</v>
      </c>
      <c r="AQ454" s="2" t="s">
        <v>75</v>
      </c>
      <c r="AR454" s="2" t="s">
        <v>60</v>
      </c>
      <c r="AS454" s="1">
        <v>1209.0</v>
      </c>
      <c r="AT454" s="1">
        <v>1209.0</v>
      </c>
      <c r="AU454" s="1">
        <v>495.0</v>
      </c>
      <c r="AV454" s="1">
        <v>39.0</v>
      </c>
      <c r="AW454" s="1">
        <v>132.0</v>
      </c>
      <c r="AX454" s="1">
        <v>5135.0</v>
      </c>
      <c r="AY454" s="1">
        <v>5.0</v>
      </c>
      <c r="AZ454" s="1" t="s">
        <v>239</v>
      </c>
      <c r="BA454" s="1" t="s">
        <v>121</v>
      </c>
    </row>
    <row r="455">
      <c r="A455" s="1" t="s">
        <v>1674</v>
      </c>
      <c r="B455" s="1" t="s">
        <v>53</v>
      </c>
      <c r="C455" s="1">
        <v>2010.0</v>
      </c>
      <c r="D455" s="1" t="s">
        <v>1675</v>
      </c>
      <c r="E455" s="1" t="s">
        <v>1676</v>
      </c>
      <c r="F455" s="1" t="s">
        <v>1386</v>
      </c>
      <c r="G455" s="1" t="s">
        <v>1677</v>
      </c>
      <c r="H455" s="1" t="s">
        <v>1678</v>
      </c>
      <c r="I455" s="1">
        <v>29.0</v>
      </c>
      <c r="J455" s="1" t="s">
        <v>1679</v>
      </c>
      <c r="K455" s="2" t="s">
        <v>1680</v>
      </c>
      <c r="L455" s="2" t="s">
        <v>60</v>
      </c>
      <c r="M455" s="1" t="s">
        <v>1704</v>
      </c>
      <c r="N455" s="1" t="s">
        <v>62</v>
      </c>
      <c r="O455" s="1" t="s">
        <v>92</v>
      </c>
      <c r="P455" s="1" t="s">
        <v>1682</v>
      </c>
      <c r="Q455" s="1">
        <v>20.274178</v>
      </c>
      <c r="R455" s="1">
        <v>-87.486259</v>
      </c>
      <c r="S455" s="1" t="s">
        <v>1581</v>
      </c>
      <c r="T455" s="2" t="s">
        <v>1702</v>
      </c>
      <c r="U455" s="2" t="s">
        <v>1683</v>
      </c>
      <c r="V455" s="3" t="s">
        <v>97</v>
      </c>
      <c r="W455" s="2" t="s">
        <v>72</v>
      </c>
      <c r="X455" s="1" t="s">
        <v>70</v>
      </c>
      <c r="Y455" s="6" t="s">
        <v>76</v>
      </c>
      <c r="Z455" s="3" t="s">
        <v>76</v>
      </c>
      <c r="AJ455" s="2" t="s">
        <v>72</v>
      </c>
      <c r="AK455" s="2" t="s">
        <v>72</v>
      </c>
      <c r="AL455" s="2" t="s">
        <v>100</v>
      </c>
      <c r="AM455" s="2" t="s">
        <v>72</v>
      </c>
      <c r="AN455" s="1" t="s">
        <v>238</v>
      </c>
      <c r="AO455" s="2" t="s">
        <v>72</v>
      </c>
      <c r="AQ455" s="2" t="s">
        <v>75</v>
      </c>
      <c r="AR455" s="2" t="s">
        <v>60</v>
      </c>
      <c r="AS455" s="1">
        <v>1209.0</v>
      </c>
      <c r="AT455" s="1">
        <v>1209.0</v>
      </c>
      <c r="AU455" s="1">
        <v>495.0</v>
      </c>
      <c r="AV455" s="1">
        <v>39.0</v>
      </c>
      <c r="AW455" s="1">
        <v>132.0</v>
      </c>
      <c r="AX455" s="1">
        <v>5135.0</v>
      </c>
      <c r="AY455" s="1">
        <v>5.0</v>
      </c>
      <c r="AZ455" s="1" t="s">
        <v>239</v>
      </c>
      <c r="BA455" s="1" t="s">
        <v>121</v>
      </c>
    </row>
    <row r="456">
      <c r="A456" s="1" t="s">
        <v>1383</v>
      </c>
      <c r="B456" s="1" t="s">
        <v>53</v>
      </c>
      <c r="C456" s="1">
        <v>2012.0</v>
      </c>
      <c r="D456" s="1" t="s">
        <v>1384</v>
      </c>
      <c r="E456" s="1" t="s">
        <v>1385</v>
      </c>
      <c r="F456" s="1" t="s">
        <v>1386</v>
      </c>
      <c r="G456" s="1" t="s">
        <v>1387</v>
      </c>
      <c r="H456" s="1" t="s">
        <v>1388</v>
      </c>
      <c r="I456" s="1">
        <v>38.0</v>
      </c>
      <c r="K456" s="2" t="s">
        <v>1389</v>
      </c>
      <c r="L456" s="2" t="s">
        <v>60</v>
      </c>
      <c r="M456" s="1" t="s">
        <v>1705</v>
      </c>
      <c r="N456" s="1" t="s">
        <v>62</v>
      </c>
      <c r="O456" s="1" t="s">
        <v>167</v>
      </c>
      <c r="P456" s="1" t="s">
        <v>512</v>
      </c>
      <c r="Q456" s="1">
        <v>17.0</v>
      </c>
      <c r="R456" s="1">
        <v>-89.5</v>
      </c>
      <c r="S456" s="1" t="s">
        <v>148</v>
      </c>
      <c r="T456" s="2" t="s">
        <v>80</v>
      </c>
      <c r="U456" s="1" t="s">
        <v>156</v>
      </c>
      <c r="V456" s="3" t="s">
        <v>97</v>
      </c>
      <c r="W456" s="1" t="s">
        <v>1706</v>
      </c>
      <c r="X456" s="2" t="s">
        <v>1707</v>
      </c>
      <c r="Y456" s="6" t="s">
        <v>76</v>
      </c>
      <c r="Z456" s="3" t="s">
        <v>76</v>
      </c>
      <c r="AB456" s="1">
        <v>21.0</v>
      </c>
      <c r="AI456" s="1" t="s">
        <v>523</v>
      </c>
      <c r="AJ456" s="1">
        <v>-82000.0</v>
      </c>
      <c r="AK456" s="1">
        <v>1950.0</v>
      </c>
      <c r="AL456" s="2" t="s">
        <v>153</v>
      </c>
      <c r="AM456" s="3" t="s">
        <v>72</v>
      </c>
      <c r="AN456" s="1" t="s">
        <v>1391</v>
      </c>
      <c r="AO456" s="2" t="s">
        <v>76</v>
      </c>
      <c r="AQ456" s="2" t="s">
        <v>102</v>
      </c>
      <c r="AR456" s="2" t="s">
        <v>76</v>
      </c>
      <c r="AS456" s="1">
        <v>1860.0</v>
      </c>
      <c r="AT456" s="1">
        <v>1860.0</v>
      </c>
      <c r="AU456" s="1">
        <v>756.0</v>
      </c>
      <c r="AV456" s="1">
        <v>41.0</v>
      </c>
      <c r="AW456" s="1">
        <v>153.0</v>
      </c>
      <c r="AX456" s="1">
        <v>5571.0</v>
      </c>
      <c r="AY456" s="1">
        <v>226.0</v>
      </c>
      <c r="AZ456" s="1" t="s">
        <v>133</v>
      </c>
      <c r="BA456" s="1" t="s">
        <v>121</v>
      </c>
    </row>
    <row r="457">
      <c r="A457" s="1" t="s">
        <v>1383</v>
      </c>
      <c r="B457" s="1" t="s">
        <v>53</v>
      </c>
      <c r="C457" s="1">
        <v>2012.0</v>
      </c>
      <c r="D457" s="1" t="s">
        <v>1384</v>
      </c>
      <c r="E457" s="1" t="s">
        <v>1385</v>
      </c>
      <c r="F457" s="1" t="s">
        <v>1386</v>
      </c>
      <c r="G457" s="1" t="s">
        <v>1387</v>
      </c>
      <c r="H457" s="1" t="s">
        <v>1388</v>
      </c>
      <c r="I457" s="1">
        <v>38.0</v>
      </c>
      <c r="K457" s="2" t="s">
        <v>1389</v>
      </c>
      <c r="L457" s="2" t="s">
        <v>60</v>
      </c>
      <c r="M457" s="1" t="s">
        <v>1708</v>
      </c>
      <c r="N457" s="1" t="s">
        <v>62</v>
      </c>
      <c r="O457" s="1" t="s">
        <v>167</v>
      </c>
      <c r="P457" s="1" t="s">
        <v>512</v>
      </c>
      <c r="Q457" s="1">
        <v>17.0</v>
      </c>
      <c r="R457" s="1">
        <v>-89.5</v>
      </c>
      <c r="S457" s="1" t="s">
        <v>148</v>
      </c>
      <c r="T457" s="2" t="s">
        <v>66</v>
      </c>
      <c r="U457" s="2" t="s">
        <v>1455</v>
      </c>
      <c r="V457" s="3" t="s">
        <v>788</v>
      </c>
      <c r="W457" s="1" t="s">
        <v>1594</v>
      </c>
      <c r="X457" s="1" t="s">
        <v>70</v>
      </c>
      <c r="Y457" s="5" t="s">
        <v>76</v>
      </c>
      <c r="Z457" s="3" t="s">
        <v>76</v>
      </c>
      <c r="AB457" s="1">
        <v>21.0</v>
      </c>
      <c r="AI457" s="1" t="s">
        <v>1709</v>
      </c>
      <c r="AJ457" s="1">
        <v>-84000.0</v>
      </c>
      <c r="AK457" s="1">
        <v>1950.0</v>
      </c>
      <c r="AL457" s="2" t="s">
        <v>153</v>
      </c>
      <c r="AM457" s="3" t="s">
        <v>72</v>
      </c>
      <c r="AN457" s="1" t="s">
        <v>1391</v>
      </c>
      <c r="AO457" s="2" t="s">
        <v>76</v>
      </c>
      <c r="AQ457" s="2" t="s">
        <v>102</v>
      </c>
      <c r="AR457" s="2" t="s">
        <v>76</v>
      </c>
      <c r="AS457" s="1">
        <v>1860.0</v>
      </c>
      <c r="AT457" s="1">
        <v>1860.0</v>
      </c>
      <c r="AU457" s="1">
        <v>756.0</v>
      </c>
      <c r="AV457" s="1">
        <v>41.0</v>
      </c>
      <c r="AW457" s="1">
        <v>153.0</v>
      </c>
      <c r="AX457" s="1">
        <v>5571.0</v>
      </c>
      <c r="AY457" s="1">
        <v>226.0</v>
      </c>
      <c r="AZ457" s="1" t="s">
        <v>133</v>
      </c>
      <c r="BA457" s="1" t="s">
        <v>121</v>
      </c>
    </row>
    <row r="458">
      <c r="A458" s="1" t="s">
        <v>1418</v>
      </c>
      <c r="B458" s="1" t="s">
        <v>53</v>
      </c>
      <c r="C458" s="1">
        <v>2012.0</v>
      </c>
      <c r="D458" s="1" t="s">
        <v>1419</v>
      </c>
      <c r="E458" s="1" t="s">
        <v>1420</v>
      </c>
      <c r="F458" s="1" t="s">
        <v>1386</v>
      </c>
      <c r="G458" s="1" t="s">
        <v>1421</v>
      </c>
      <c r="H458" s="1" t="s">
        <v>1422</v>
      </c>
      <c r="I458" s="1">
        <v>37.0</v>
      </c>
      <c r="K458" s="2" t="s">
        <v>1423</v>
      </c>
      <c r="L458" s="2" t="s">
        <v>60</v>
      </c>
      <c r="M458" s="1" t="s">
        <v>1710</v>
      </c>
      <c r="N458" s="1" t="s">
        <v>62</v>
      </c>
      <c r="O458" s="1" t="s">
        <v>167</v>
      </c>
      <c r="P458" s="1" t="s">
        <v>512</v>
      </c>
      <c r="Q458" s="1">
        <v>16.916667</v>
      </c>
      <c r="R458" s="1">
        <v>-89.833333</v>
      </c>
      <c r="S458" s="1" t="s">
        <v>148</v>
      </c>
      <c r="T458" s="2" t="s">
        <v>135</v>
      </c>
      <c r="U458" s="2" t="s">
        <v>615</v>
      </c>
      <c r="V458" s="3" t="s">
        <v>97</v>
      </c>
      <c r="W458" s="2" t="s">
        <v>264</v>
      </c>
      <c r="X458" s="2" t="s">
        <v>72</v>
      </c>
      <c r="Y458" s="6" t="s">
        <v>76</v>
      </c>
      <c r="Z458" s="3" t="s">
        <v>76</v>
      </c>
      <c r="AB458" s="1">
        <v>64.0</v>
      </c>
      <c r="AI458" s="1" t="s">
        <v>194</v>
      </c>
      <c r="AJ458" s="1">
        <v>-41000.0</v>
      </c>
      <c r="AK458" s="1">
        <v>1950.0</v>
      </c>
      <c r="AL458" s="2" t="s">
        <v>153</v>
      </c>
      <c r="AM458" s="2" t="s">
        <v>60</v>
      </c>
      <c r="AN458" s="2" t="s">
        <v>524</v>
      </c>
      <c r="AO458" s="2" t="s">
        <v>76</v>
      </c>
      <c r="AQ458" s="2" t="s">
        <v>102</v>
      </c>
      <c r="AR458" s="2" t="s">
        <v>76</v>
      </c>
      <c r="AS458" s="1">
        <v>1738.0</v>
      </c>
      <c r="AT458" s="1">
        <v>1738.0</v>
      </c>
      <c r="AU458" s="1">
        <v>690.0</v>
      </c>
      <c r="AV458" s="1">
        <v>36.0</v>
      </c>
      <c r="AW458" s="1">
        <v>144.0</v>
      </c>
      <c r="AX458" s="1">
        <v>5677.0</v>
      </c>
      <c r="AY458" s="1">
        <v>131.0</v>
      </c>
      <c r="AZ458" s="1" t="s">
        <v>133</v>
      </c>
      <c r="BA458" s="1" t="s">
        <v>121</v>
      </c>
    </row>
    <row r="459">
      <c r="A459" s="1" t="s">
        <v>1418</v>
      </c>
      <c r="B459" s="1" t="s">
        <v>53</v>
      </c>
      <c r="C459" s="1">
        <v>2012.0</v>
      </c>
      <c r="D459" s="1" t="s">
        <v>1419</v>
      </c>
      <c r="E459" s="1" t="s">
        <v>1420</v>
      </c>
      <c r="F459" s="1" t="s">
        <v>1386</v>
      </c>
      <c r="G459" s="1" t="s">
        <v>1421</v>
      </c>
      <c r="H459" s="1" t="s">
        <v>1422</v>
      </c>
      <c r="I459" s="1">
        <v>37.0</v>
      </c>
      <c r="K459" s="2" t="s">
        <v>1423</v>
      </c>
      <c r="L459" s="2" t="s">
        <v>60</v>
      </c>
      <c r="M459" s="1" t="s">
        <v>1711</v>
      </c>
      <c r="N459" s="1" t="s">
        <v>62</v>
      </c>
      <c r="O459" s="1" t="s">
        <v>167</v>
      </c>
      <c r="P459" s="1" t="s">
        <v>512</v>
      </c>
      <c r="Q459" s="1">
        <v>16.916667</v>
      </c>
      <c r="R459" s="1">
        <v>-89.833333</v>
      </c>
      <c r="S459" s="1" t="s">
        <v>148</v>
      </c>
      <c r="T459" s="2" t="s">
        <v>382</v>
      </c>
      <c r="U459" s="1" t="s">
        <v>173</v>
      </c>
      <c r="V459" s="3" t="s">
        <v>97</v>
      </c>
      <c r="W459" s="2" t="s">
        <v>72</v>
      </c>
      <c r="X459" s="1" t="s">
        <v>968</v>
      </c>
      <c r="Y459" s="6" t="s">
        <v>76</v>
      </c>
      <c r="Z459" s="3" t="s">
        <v>76</v>
      </c>
      <c r="AB459" s="1">
        <v>64.0</v>
      </c>
      <c r="AI459" s="1" t="s">
        <v>194</v>
      </c>
      <c r="AJ459" s="1">
        <v>-41000.0</v>
      </c>
      <c r="AK459" s="1">
        <v>1950.0</v>
      </c>
      <c r="AL459" s="2" t="s">
        <v>153</v>
      </c>
      <c r="AM459" s="2" t="s">
        <v>60</v>
      </c>
      <c r="AN459" s="2" t="s">
        <v>524</v>
      </c>
      <c r="AO459" s="2" t="s">
        <v>76</v>
      </c>
      <c r="AQ459" s="2" t="s">
        <v>102</v>
      </c>
      <c r="AR459" s="2" t="s">
        <v>76</v>
      </c>
      <c r="AS459" s="1">
        <v>1738.0</v>
      </c>
      <c r="AT459" s="1">
        <v>1738.0</v>
      </c>
      <c r="AU459" s="1">
        <v>690.0</v>
      </c>
      <c r="AV459" s="1">
        <v>36.0</v>
      </c>
      <c r="AW459" s="1">
        <v>144.0</v>
      </c>
      <c r="AX459" s="1">
        <v>5677.0</v>
      </c>
      <c r="AY459" s="1">
        <v>131.0</v>
      </c>
      <c r="AZ459" s="1" t="s">
        <v>133</v>
      </c>
      <c r="BA459" s="1" t="s">
        <v>121</v>
      </c>
    </row>
    <row r="460">
      <c r="A460" s="1" t="s">
        <v>1418</v>
      </c>
      <c r="B460" s="1" t="s">
        <v>53</v>
      </c>
      <c r="C460" s="1">
        <v>2012.0</v>
      </c>
      <c r="D460" s="1" t="s">
        <v>1419</v>
      </c>
      <c r="E460" s="1" t="s">
        <v>1420</v>
      </c>
      <c r="F460" s="1" t="s">
        <v>1386</v>
      </c>
      <c r="G460" s="1" t="s">
        <v>1421</v>
      </c>
      <c r="H460" s="1" t="s">
        <v>1422</v>
      </c>
      <c r="I460" s="1">
        <v>37.0</v>
      </c>
      <c r="K460" s="2" t="s">
        <v>1423</v>
      </c>
      <c r="L460" s="2" t="s">
        <v>60</v>
      </c>
      <c r="M460" s="1" t="s">
        <v>1712</v>
      </c>
      <c r="N460" s="1" t="s">
        <v>62</v>
      </c>
      <c r="O460" s="1" t="s">
        <v>167</v>
      </c>
      <c r="P460" s="1" t="s">
        <v>512</v>
      </c>
      <c r="Q460" s="1">
        <v>16.916667</v>
      </c>
      <c r="R460" s="1">
        <v>-89.833333</v>
      </c>
      <c r="S460" s="1" t="s">
        <v>148</v>
      </c>
      <c r="T460" s="2" t="s">
        <v>95</v>
      </c>
      <c r="U460" s="2" t="s">
        <v>615</v>
      </c>
      <c r="V460" s="3" t="s">
        <v>97</v>
      </c>
      <c r="W460" s="2" t="s">
        <v>264</v>
      </c>
      <c r="X460" s="2" t="s">
        <v>72</v>
      </c>
      <c r="Y460" s="6" t="s">
        <v>76</v>
      </c>
      <c r="Z460" s="3" t="s">
        <v>76</v>
      </c>
      <c r="AB460" s="1">
        <v>64.0</v>
      </c>
      <c r="AI460" s="1" t="s">
        <v>194</v>
      </c>
      <c r="AJ460" s="1">
        <v>-41000.0</v>
      </c>
      <c r="AK460" s="1">
        <v>1950.0</v>
      </c>
      <c r="AL460" s="2" t="s">
        <v>153</v>
      </c>
      <c r="AM460" s="2" t="s">
        <v>60</v>
      </c>
      <c r="AN460" s="2" t="s">
        <v>524</v>
      </c>
      <c r="AO460" s="2" t="s">
        <v>76</v>
      </c>
      <c r="AQ460" s="2" t="s">
        <v>102</v>
      </c>
      <c r="AR460" s="2" t="s">
        <v>76</v>
      </c>
      <c r="AS460" s="1">
        <v>1738.0</v>
      </c>
      <c r="AT460" s="1">
        <v>1738.0</v>
      </c>
      <c r="AU460" s="1">
        <v>690.0</v>
      </c>
      <c r="AV460" s="1">
        <v>36.0</v>
      </c>
      <c r="AW460" s="1">
        <v>144.0</v>
      </c>
      <c r="AX460" s="1">
        <v>5677.0</v>
      </c>
      <c r="AY460" s="1">
        <v>131.0</v>
      </c>
      <c r="AZ460" s="1" t="s">
        <v>133</v>
      </c>
      <c r="BA460" s="1" t="s">
        <v>121</v>
      </c>
    </row>
    <row r="461">
      <c r="A461" s="1" t="s">
        <v>1713</v>
      </c>
      <c r="B461" s="1" t="s">
        <v>53</v>
      </c>
      <c r="C461" s="1">
        <v>2013.0</v>
      </c>
      <c r="D461" s="1" t="s">
        <v>970</v>
      </c>
      <c r="E461" s="1" t="s">
        <v>1714</v>
      </c>
      <c r="F461" s="1" t="s">
        <v>1386</v>
      </c>
      <c r="G461" s="1" t="s">
        <v>1715</v>
      </c>
      <c r="H461" s="1" t="s">
        <v>1716</v>
      </c>
      <c r="I461" s="1">
        <v>73.0</v>
      </c>
      <c r="K461" s="2" t="s">
        <v>1717</v>
      </c>
      <c r="L461" s="2" t="s">
        <v>76</v>
      </c>
      <c r="M461" s="1" t="s">
        <v>1713</v>
      </c>
      <c r="N461" s="1" t="s">
        <v>62</v>
      </c>
      <c r="O461" s="1" t="s">
        <v>112</v>
      </c>
      <c r="P461" s="1" t="s">
        <v>597</v>
      </c>
      <c r="Q461" s="1">
        <v>8.813</v>
      </c>
      <c r="R461" s="1">
        <v>-82.963</v>
      </c>
      <c r="S461" s="1" t="s">
        <v>148</v>
      </c>
      <c r="T461" s="2" t="s">
        <v>135</v>
      </c>
      <c r="U461" s="2" t="s">
        <v>540</v>
      </c>
      <c r="V461" s="3" t="s">
        <v>68</v>
      </c>
      <c r="W461" s="1" t="s">
        <v>1718</v>
      </c>
      <c r="X461" s="2" t="s">
        <v>99</v>
      </c>
      <c r="Y461" s="6" t="s">
        <v>76</v>
      </c>
      <c r="Z461" s="3" t="s">
        <v>76</v>
      </c>
      <c r="AB461" s="1">
        <v>13.0</v>
      </c>
      <c r="AH461" s="1">
        <v>1.0</v>
      </c>
      <c r="AI461" s="2" t="s">
        <v>72</v>
      </c>
      <c r="AJ461" s="1">
        <v>800.0</v>
      </c>
      <c r="AK461" s="1">
        <v>1600.0</v>
      </c>
      <c r="AL461" s="2" t="s">
        <v>72</v>
      </c>
      <c r="AM461" s="2" t="s">
        <v>72</v>
      </c>
      <c r="AN461" s="1" t="s">
        <v>238</v>
      </c>
      <c r="AO461" s="2" t="s">
        <v>72</v>
      </c>
      <c r="AQ461" s="2" t="s">
        <v>102</v>
      </c>
      <c r="AR461" s="2" t="s">
        <v>76</v>
      </c>
      <c r="AS461" s="1">
        <v>2841.0</v>
      </c>
      <c r="AT461" s="1">
        <v>2841.0</v>
      </c>
      <c r="AU461" s="1">
        <v>1165.0</v>
      </c>
      <c r="AV461" s="1">
        <v>40.0</v>
      </c>
      <c r="AW461" s="1">
        <v>166.0</v>
      </c>
      <c r="AX461" s="1">
        <v>6482.0</v>
      </c>
      <c r="AY461" s="1">
        <v>1094.0</v>
      </c>
      <c r="AZ461" s="1" t="s">
        <v>154</v>
      </c>
      <c r="BA461" s="1" t="s">
        <v>121</v>
      </c>
    </row>
    <row r="462">
      <c r="A462" s="1" t="s">
        <v>1719</v>
      </c>
      <c r="B462" s="1" t="s">
        <v>53</v>
      </c>
      <c r="C462" s="1">
        <v>2014.0</v>
      </c>
      <c r="D462" s="1" t="s">
        <v>1720</v>
      </c>
      <c r="E462" s="1" t="s">
        <v>1721</v>
      </c>
      <c r="F462" s="1" t="s">
        <v>1386</v>
      </c>
      <c r="G462" s="1" t="s">
        <v>1722</v>
      </c>
      <c r="H462" s="1" t="s">
        <v>1723</v>
      </c>
      <c r="I462" s="1">
        <v>103.0</v>
      </c>
      <c r="K462" s="2" t="s">
        <v>1724</v>
      </c>
      <c r="L462" s="2" t="s">
        <v>60</v>
      </c>
      <c r="M462" s="1" t="s">
        <v>1725</v>
      </c>
      <c r="N462" s="1" t="s">
        <v>62</v>
      </c>
      <c r="O462" s="1" t="s">
        <v>167</v>
      </c>
      <c r="P462" s="1" t="s">
        <v>588</v>
      </c>
      <c r="Q462" s="1">
        <v>17.533333</v>
      </c>
      <c r="R462" s="1">
        <v>-90.183333</v>
      </c>
      <c r="S462" s="1" t="s">
        <v>148</v>
      </c>
      <c r="T462" s="2" t="s">
        <v>66</v>
      </c>
      <c r="U462" s="3" t="s">
        <v>67</v>
      </c>
      <c r="V462" s="3" t="s">
        <v>68</v>
      </c>
      <c r="W462" s="2" t="s">
        <v>72</v>
      </c>
      <c r="X462" s="1" t="s">
        <v>70</v>
      </c>
      <c r="Y462" s="5" t="s">
        <v>60</v>
      </c>
      <c r="Z462" s="3" t="s">
        <v>625</v>
      </c>
      <c r="AB462" s="1">
        <v>7.0</v>
      </c>
      <c r="AI462" s="2" t="s">
        <v>72</v>
      </c>
      <c r="AJ462" s="1">
        <v>-7000.0</v>
      </c>
      <c r="AK462" s="1">
        <v>1950.0</v>
      </c>
      <c r="AL462" s="2" t="s">
        <v>73</v>
      </c>
      <c r="AM462" s="2" t="s">
        <v>72</v>
      </c>
      <c r="AN462" s="2" t="s">
        <v>132</v>
      </c>
      <c r="AO462" s="2" t="s">
        <v>72</v>
      </c>
      <c r="AQ462" s="2" t="s">
        <v>102</v>
      </c>
      <c r="AR462" s="2" t="s">
        <v>76</v>
      </c>
      <c r="AS462" s="1">
        <v>1598.0</v>
      </c>
      <c r="AT462" s="1">
        <v>1598.0</v>
      </c>
      <c r="AU462" s="1">
        <v>686.0</v>
      </c>
      <c r="AV462" s="1">
        <v>33.0</v>
      </c>
      <c r="AW462" s="1">
        <v>119.0</v>
      </c>
      <c r="AX462" s="1">
        <v>6059.0</v>
      </c>
      <c r="AY462" s="1">
        <v>238.0</v>
      </c>
      <c r="AZ462" s="1" t="s">
        <v>133</v>
      </c>
      <c r="BA462" s="1" t="s">
        <v>121</v>
      </c>
    </row>
    <row r="463">
      <c r="A463" s="1" t="s">
        <v>1719</v>
      </c>
      <c r="B463" s="1" t="s">
        <v>53</v>
      </c>
      <c r="C463" s="1">
        <v>2014.0</v>
      </c>
      <c r="D463" s="1" t="s">
        <v>1720</v>
      </c>
      <c r="E463" s="1" t="s">
        <v>1721</v>
      </c>
      <c r="F463" s="1" t="s">
        <v>1386</v>
      </c>
      <c r="G463" s="1" t="s">
        <v>1722</v>
      </c>
      <c r="H463" s="1" t="s">
        <v>1723</v>
      </c>
      <c r="I463" s="1">
        <v>103.0</v>
      </c>
      <c r="K463" s="2" t="s">
        <v>1724</v>
      </c>
      <c r="L463" s="2" t="s">
        <v>60</v>
      </c>
      <c r="M463" s="1" t="s">
        <v>1726</v>
      </c>
      <c r="N463" s="1" t="s">
        <v>62</v>
      </c>
      <c r="O463" s="1" t="s">
        <v>167</v>
      </c>
      <c r="P463" s="1" t="s">
        <v>588</v>
      </c>
      <c r="Q463" s="1">
        <v>17.533333</v>
      </c>
      <c r="R463" s="1">
        <v>-90.183333</v>
      </c>
      <c r="S463" s="1" t="s">
        <v>148</v>
      </c>
      <c r="T463" s="2" t="s">
        <v>95</v>
      </c>
      <c r="U463" s="2" t="s">
        <v>96</v>
      </c>
      <c r="V463" s="3" t="s">
        <v>97</v>
      </c>
      <c r="W463" s="2" t="s">
        <v>72</v>
      </c>
      <c r="X463" s="2" t="s">
        <v>99</v>
      </c>
      <c r="Y463" s="6" t="s">
        <v>76</v>
      </c>
      <c r="Z463" s="3" t="s">
        <v>76</v>
      </c>
      <c r="AB463" s="1">
        <v>7.0</v>
      </c>
      <c r="AI463" s="2" t="s">
        <v>72</v>
      </c>
      <c r="AJ463" s="1">
        <v>-7000.0</v>
      </c>
      <c r="AK463" s="1">
        <v>1950.0</v>
      </c>
      <c r="AL463" s="2" t="s">
        <v>73</v>
      </c>
      <c r="AM463" s="2" t="s">
        <v>72</v>
      </c>
      <c r="AN463" s="2" t="s">
        <v>132</v>
      </c>
      <c r="AO463" s="2" t="s">
        <v>72</v>
      </c>
      <c r="AQ463" s="2" t="s">
        <v>102</v>
      </c>
      <c r="AR463" s="2" t="s">
        <v>76</v>
      </c>
      <c r="AS463" s="1">
        <v>1598.0</v>
      </c>
      <c r="AT463" s="1">
        <v>1598.0</v>
      </c>
      <c r="AU463" s="1">
        <v>686.0</v>
      </c>
      <c r="AV463" s="1">
        <v>33.0</v>
      </c>
      <c r="AW463" s="1">
        <v>119.0</v>
      </c>
      <c r="AX463" s="1">
        <v>6059.0</v>
      </c>
      <c r="AY463" s="1">
        <v>238.0</v>
      </c>
      <c r="AZ463" s="1" t="s">
        <v>133</v>
      </c>
      <c r="BA463" s="1" t="s">
        <v>121</v>
      </c>
    </row>
    <row r="464">
      <c r="A464" s="1" t="s">
        <v>1727</v>
      </c>
      <c r="B464" s="1" t="s">
        <v>53</v>
      </c>
      <c r="C464" s="1">
        <v>2015.0</v>
      </c>
      <c r="D464" s="1" t="s">
        <v>1728</v>
      </c>
      <c r="E464" s="1" t="s">
        <v>1729</v>
      </c>
      <c r="F464" s="1" t="s">
        <v>1386</v>
      </c>
      <c r="G464" s="1" t="s">
        <v>1730</v>
      </c>
      <c r="H464" s="1" t="s">
        <v>1731</v>
      </c>
      <c r="I464" s="1">
        <v>115.0</v>
      </c>
      <c r="K464" s="2" t="s">
        <v>1732</v>
      </c>
      <c r="L464" s="2" t="s">
        <v>60</v>
      </c>
      <c r="M464" s="1" t="s">
        <v>1733</v>
      </c>
      <c r="N464" s="1" t="s">
        <v>62</v>
      </c>
      <c r="O464" s="1" t="s">
        <v>167</v>
      </c>
      <c r="P464" s="1" t="s">
        <v>512</v>
      </c>
      <c r="Q464" s="1">
        <v>17.0</v>
      </c>
      <c r="R464" s="1">
        <v>-89.5</v>
      </c>
      <c r="S464" s="1" t="s">
        <v>148</v>
      </c>
      <c r="T464" s="2" t="s">
        <v>80</v>
      </c>
      <c r="U464" s="3" t="s">
        <v>81</v>
      </c>
      <c r="V464" s="3" t="s">
        <v>68</v>
      </c>
      <c r="W464" s="1" t="s">
        <v>1734</v>
      </c>
      <c r="X464" s="2" t="s">
        <v>928</v>
      </c>
      <c r="Y464" s="6" t="s">
        <v>76</v>
      </c>
      <c r="Z464" s="3" t="s">
        <v>84</v>
      </c>
      <c r="AB464" s="1">
        <v>12.0</v>
      </c>
      <c r="AI464" s="1" t="s">
        <v>523</v>
      </c>
      <c r="AJ464" s="1">
        <v>-8500.0</v>
      </c>
      <c r="AK464" s="1">
        <v>1950.0</v>
      </c>
      <c r="AL464" s="2" t="s">
        <v>73</v>
      </c>
      <c r="AM464" s="2" t="s">
        <v>60</v>
      </c>
      <c r="AN464" s="2" t="s">
        <v>132</v>
      </c>
      <c r="AO464" s="2" t="s">
        <v>72</v>
      </c>
      <c r="AQ464" s="2" t="s">
        <v>75</v>
      </c>
      <c r="AR464" s="2" t="s">
        <v>76</v>
      </c>
      <c r="AS464" s="1">
        <v>1860.0</v>
      </c>
      <c r="AT464" s="1">
        <v>1860.0</v>
      </c>
      <c r="AU464" s="1">
        <v>756.0</v>
      </c>
      <c r="AV464" s="1">
        <v>41.0</v>
      </c>
      <c r="AW464" s="1">
        <v>153.0</v>
      </c>
      <c r="AX464" s="1">
        <v>5571.0</v>
      </c>
      <c r="AY464" s="1">
        <v>226.0</v>
      </c>
      <c r="AZ464" s="1" t="s">
        <v>133</v>
      </c>
      <c r="BA464" s="1" t="s">
        <v>121</v>
      </c>
    </row>
    <row r="465">
      <c r="A465" s="1" t="s">
        <v>1727</v>
      </c>
      <c r="B465" s="1" t="s">
        <v>53</v>
      </c>
      <c r="C465" s="1">
        <v>2015.0</v>
      </c>
      <c r="D465" s="1" t="s">
        <v>1728</v>
      </c>
      <c r="E465" s="1" t="s">
        <v>1729</v>
      </c>
      <c r="F465" s="1" t="s">
        <v>1386</v>
      </c>
      <c r="G465" s="1" t="s">
        <v>1730</v>
      </c>
      <c r="H465" s="1" t="s">
        <v>1731</v>
      </c>
      <c r="I465" s="1">
        <v>115.0</v>
      </c>
      <c r="K465" s="2" t="s">
        <v>1732</v>
      </c>
      <c r="L465" s="2" t="s">
        <v>60</v>
      </c>
      <c r="M465" s="1" t="s">
        <v>1735</v>
      </c>
      <c r="N465" s="1" t="s">
        <v>62</v>
      </c>
      <c r="O465" s="1" t="s">
        <v>167</v>
      </c>
      <c r="P465" s="1" t="s">
        <v>512</v>
      </c>
      <c r="Q465" s="1">
        <v>17.0</v>
      </c>
      <c r="R465" s="1">
        <v>-89.5</v>
      </c>
      <c r="S465" s="1" t="s">
        <v>148</v>
      </c>
      <c r="T465" s="2" t="s">
        <v>194</v>
      </c>
      <c r="U465" s="1" t="s">
        <v>1736</v>
      </c>
      <c r="V465" s="3" t="s">
        <v>68</v>
      </c>
      <c r="W465" s="1" t="s">
        <v>1737</v>
      </c>
      <c r="X465" s="1" t="s">
        <v>70</v>
      </c>
      <c r="Y465" s="6" t="s">
        <v>76</v>
      </c>
      <c r="Z465" s="3" t="s">
        <v>173</v>
      </c>
      <c r="AB465" s="1">
        <v>12.0</v>
      </c>
      <c r="AI465" s="1" t="s">
        <v>523</v>
      </c>
      <c r="AJ465" s="1">
        <v>-8500.0</v>
      </c>
      <c r="AK465" s="1">
        <v>1950.0</v>
      </c>
      <c r="AL465" s="2" t="s">
        <v>73</v>
      </c>
      <c r="AM465" s="2" t="s">
        <v>60</v>
      </c>
      <c r="AN465" s="2" t="s">
        <v>132</v>
      </c>
      <c r="AO465" s="2" t="s">
        <v>72</v>
      </c>
      <c r="AQ465" s="2" t="s">
        <v>75</v>
      </c>
      <c r="AR465" s="2" t="s">
        <v>76</v>
      </c>
      <c r="AS465" s="1">
        <v>1860.0</v>
      </c>
      <c r="AT465" s="1">
        <v>1860.0</v>
      </c>
      <c r="AU465" s="1">
        <v>756.0</v>
      </c>
      <c r="AV465" s="1">
        <v>41.0</v>
      </c>
      <c r="AW465" s="1">
        <v>153.0</v>
      </c>
      <c r="AX465" s="1">
        <v>5571.0</v>
      </c>
      <c r="AY465" s="1">
        <v>226.0</v>
      </c>
      <c r="AZ465" s="1" t="s">
        <v>133</v>
      </c>
      <c r="BA465" s="1" t="s">
        <v>121</v>
      </c>
    </row>
    <row r="466">
      <c r="A466" s="1" t="s">
        <v>1738</v>
      </c>
      <c r="B466" s="1" t="s">
        <v>53</v>
      </c>
      <c r="C466" s="1">
        <v>2017.0</v>
      </c>
      <c r="D466" s="1" t="s">
        <v>1739</v>
      </c>
      <c r="E466" s="1" t="s">
        <v>1740</v>
      </c>
      <c r="F466" s="1" t="s">
        <v>1386</v>
      </c>
      <c r="G466" s="1" t="s">
        <v>1741</v>
      </c>
      <c r="H466" s="1" t="s">
        <v>1742</v>
      </c>
      <c r="I466" s="1">
        <v>175.0</v>
      </c>
      <c r="K466" s="2" t="s">
        <v>1743</v>
      </c>
      <c r="L466" s="2" t="s">
        <v>60</v>
      </c>
      <c r="M466" s="1" t="s">
        <v>1744</v>
      </c>
      <c r="N466" s="1" t="s">
        <v>62</v>
      </c>
      <c r="O466" s="1" t="s">
        <v>92</v>
      </c>
      <c r="P466" s="1" t="s">
        <v>1745</v>
      </c>
      <c r="Q466" s="1">
        <v>20.407785</v>
      </c>
      <c r="R466" s="1">
        <v>-87.464611</v>
      </c>
      <c r="S466" s="1" t="s">
        <v>148</v>
      </c>
      <c r="T466" s="2" t="s">
        <v>95</v>
      </c>
      <c r="U466" s="2" t="s">
        <v>615</v>
      </c>
      <c r="V466" s="3" t="s">
        <v>97</v>
      </c>
      <c r="W466" s="1" t="s">
        <v>1746</v>
      </c>
      <c r="X466" s="2" t="s">
        <v>99</v>
      </c>
      <c r="Y466" s="6" t="s">
        <v>76</v>
      </c>
      <c r="Z466" s="3" t="s">
        <v>76</v>
      </c>
      <c r="AB466" s="1">
        <v>21.0</v>
      </c>
      <c r="AI466" s="1" t="s">
        <v>1747</v>
      </c>
      <c r="AJ466" s="1">
        <v>-6350.0</v>
      </c>
      <c r="AK466" s="1">
        <v>1950.0</v>
      </c>
      <c r="AL466" s="2" t="s">
        <v>153</v>
      </c>
      <c r="AM466" s="2" t="s">
        <v>72</v>
      </c>
      <c r="AN466" s="2" t="s">
        <v>132</v>
      </c>
      <c r="AO466" s="2" t="s">
        <v>72</v>
      </c>
      <c r="AQ466" s="2" t="s">
        <v>576</v>
      </c>
      <c r="AR466" s="2" t="s">
        <v>76</v>
      </c>
      <c r="AS466" s="1">
        <v>1235.0</v>
      </c>
      <c r="AT466" s="1">
        <v>1235.0</v>
      </c>
      <c r="AU466" s="1">
        <v>512.0</v>
      </c>
      <c r="AV466" s="1">
        <v>41.0</v>
      </c>
      <c r="AW466" s="1">
        <v>137.0</v>
      </c>
      <c r="AX466" s="1">
        <v>5112.0</v>
      </c>
      <c r="AY466" s="1">
        <v>13.0</v>
      </c>
      <c r="AZ466" s="1" t="s">
        <v>239</v>
      </c>
      <c r="BA466" s="1" t="s">
        <v>121</v>
      </c>
    </row>
    <row r="467">
      <c r="A467" s="1" t="s">
        <v>1738</v>
      </c>
      <c r="B467" s="1" t="s">
        <v>53</v>
      </c>
      <c r="C467" s="1">
        <v>2017.0</v>
      </c>
      <c r="D467" s="1" t="s">
        <v>1739</v>
      </c>
      <c r="E467" s="1" t="s">
        <v>1740</v>
      </c>
      <c r="F467" s="1" t="s">
        <v>1386</v>
      </c>
      <c r="G467" s="1" t="s">
        <v>1741</v>
      </c>
      <c r="H467" s="1" t="s">
        <v>1742</v>
      </c>
      <c r="I467" s="1">
        <v>175.0</v>
      </c>
      <c r="K467" s="2" t="s">
        <v>1743</v>
      </c>
      <c r="L467" s="2" t="s">
        <v>60</v>
      </c>
      <c r="M467" s="1" t="s">
        <v>1748</v>
      </c>
      <c r="N467" s="1" t="s">
        <v>62</v>
      </c>
      <c r="O467" s="1" t="s">
        <v>92</v>
      </c>
      <c r="P467" s="1" t="s">
        <v>1745</v>
      </c>
      <c r="Q467" s="1">
        <v>20.407785</v>
      </c>
      <c r="R467" s="1">
        <v>-87.464611</v>
      </c>
      <c r="S467" s="1" t="s">
        <v>148</v>
      </c>
      <c r="T467" s="2" t="s">
        <v>169</v>
      </c>
      <c r="U467" s="1" t="s">
        <v>1533</v>
      </c>
      <c r="V467" s="3" t="s">
        <v>97</v>
      </c>
      <c r="W467" s="1" t="s">
        <v>1749</v>
      </c>
      <c r="X467" s="2" t="s">
        <v>99</v>
      </c>
      <c r="Y467" s="6" t="s">
        <v>76</v>
      </c>
      <c r="Z467" s="3" t="s">
        <v>76</v>
      </c>
      <c r="AB467" s="1">
        <v>21.0</v>
      </c>
      <c r="AI467" s="1" t="s">
        <v>1747</v>
      </c>
      <c r="AJ467" s="1">
        <v>-6350.0</v>
      </c>
      <c r="AK467" s="1">
        <v>1950.0</v>
      </c>
      <c r="AL467" s="2" t="s">
        <v>153</v>
      </c>
      <c r="AM467" s="2" t="s">
        <v>72</v>
      </c>
      <c r="AN467" s="2" t="s">
        <v>132</v>
      </c>
      <c r="AO467" s="2" t="s">
        <v>72</v>
      </c>
      <c r="AQ467" s="2" t="s">
        <v>576</v>
      </c>
      <c r="AR467" s="2" t="s">
        <v>76</v>
      </c>
      <c r="AS467" s="1">
        <v>1235.0</v>
      </c>
      <c r="AT467" s="1">
        <v>1235.0</v>
      </c>
      <c r="AU467" s="1">
        <v>512.0</v>
      </c>
      <c r="AV467" s="1">
        <v>41.0</v>
      </c>
      <c r="AW467" s="1">
        <v>137.0</v>
      </c>
      <c r="AX467" s="1">
        <v>5112.0</v>
      </c>
      <c r="AY467" s="1">
        <v>13.0</v>
      </c>
      <c r="AZ467" s="1" t="s">
        <v>239</v>
      </c>
      <c r="BA467" s="1" t="s">
        <v>121</v>
      </c>
    </row>
    <row r="468">
      <c r="A468" s="1" t="s">
        <v>1750</v>
      </c>
      <c r="B468" s="1" t="s">
        <v>53</v>
      </c>
      <c r="C468" s="1">
        <v>2018.0</v>
      </c>
      <c r="D468" s="1" t="s">
        <v>1751</v>
      </c>
      <c r="E468" s="1" t="s">
        <v>1752</v>
      </c>
      <c r="F468" s="1" t="s">
        <v>1386</v>
      </c>
      <c r="G468" s="1" t="s">
        <v>1753</v>
      </c>
      <c r="H468" s="1" t="s">
        <v>1754</v>
      </c>
      <c r="I468" s="1">
        <v>189.0</v>
      </c>
      <c r="K468" s="2" t="s">
        <v>1755</v>
      </c>
      <c r="L468" s="2" t="s">
        <v>60</v>
      </c>
      <c r="M468" s="1" t="s">
        <v>1756</v>
      </c>
      <c r="N468" s="1" t="s">
        <v>62</v>
      </c>
      <c r="O468" s="1" t="s">
        <v>167</v>
      </c>
      <c r="P468" s="1" t="s">
        <v>168</v>
      </c>
      <c r="Q468" s="1">
        <v>16.147314</v>
      </c>
      <c r="R468" s="1">
        <v>-91.768701</v>
      </c>
      <c r="S468" s="1" t="s">
        <v>148</v>
      </c>
      <c r="T468" s="2" t="s">
        <v>80</v>
      </c>
      <c r="U468" s="3" t="s">
        <v>81</v>
      </c>
      <c r="V468" s="3" t="s">
        <v>68</v>
      </c>
      <c r="W468" s="1" t="s">
        <v>348</v>
      </c>
      <c r="X468" s="2" t="s">
        <v>158</v>
      </c>
      <c r="Y468" s="6" t="s">
        <v>76</v>
      </c>
      <c r="Z468" s="3" t="s">
        <v>84</v>
      </c>
      <c r="AB468" s="1">
        <v>4.0</v>
      </c>
      <c r="AI468" s="1" t="s">
        <v>174</v>
      </c>
      <c r="AJ468" s="1">
        <v>-1450.0</v>
      </c>
      <c r="AK468" s="1">
        <v>2013.0</v>
      </c>
      <c r="AL468" s="3" t="s">
        <v>73</v>
      </c>
      <c r="AM468" s="2" t="s">
        <v>72</v>
      </c>
      <c r="AN468" s="2" t="s">
        <v>132</v>
      </c>
      <c r="AO468" s="2" t="s">
        <v>72</v>
      </c>
      <c r="AQ468" s="2" t="s">
        <v>102</v>
      </c>
      <c r="AR468" s="2" t="s">
        <v>76</v>
      </c>
      <c r="AS468" s="1">
        <v>2150.0</v>
      </c>
      <c r="AT468" s="1">
        <v>2150.0</v>
      </c>
      <c r="AU468" s="1">
        <v>1038.0</v>
      </c>
      <c r="AV468" s="1">
        <v>35.0</v>
      </c>
      <c r="AW468" s="1">
        <v>132.0</v>
      </c>
      <c r="AX468" s="1">
        <v>7746.0</v>
      </c>
      <c r="AY468" s="1">
        <v>1497.0</v>
      </c>
      <c r="AZ468" s="1" t="s">
        <v>77</v>
      </c>
      <c r="BA468" s="1" t="s">
        <v>78</v>
      </c>
    </row>
    <row r="469">
      <c r="A469" s="1" t="s">
        <v>1750</v>
      </c>
      <c r="B469" s="1" t="s">
        <v>53</v>
      </c>
      <c r="C469" s="1">
        <v>2018.0</v>
      </c>
      <c r="D469" s="1" t="s">
        <v>1751</v>
      </c>
      <c r="E469" s="1" t="s">
        <v>1752</v>
      </c>
      <c r="F469" s="1" t="s">
        <v>1386</v>
      </c>
      <c r="G469" s="1" t="s">
        <v>1753</v>
      </c>
      <c r="H469" s="1" t="s">
        <v>1754</v>
      </c>
      <c r="I469" s="1">
        <v>189.0</v>
      </c>
      <c r="K469" s="2" t="s">
        <v>1755</v>
      </c>
      <c r="L469" s="2" t="s">
        <v>60</v>
      </c>
      <c r="M469" s="1" t="s">
        <v>1757</v>
      </c>
      <c r="N469" s="1" t="s">
        <v>62</v>
      </c>
      <c r="O469" s="1" t="s">
        <v>167</v>
      </c>
      <c r="P469" s="1" t="s">
        <v>1758</v>
      </c>
      <c r="Q469" s="1">
        <v>16.115819</v>
      </c>
      <c r="R469" s="1">
        <v>-91.726393</v>
      </c>
      <c r="S469" s="1" t="s">
        <v>148</v>
      </c>
      <c r="T469" s="2" t="s">
        <v>66</v>
      </c>
      <c r="U469" s="1" t="s">
        <v>823</v>
      </c>
      <c r="V469" s="3" t="s">
        <v>68</v>
      </c>
      <c r="W469" s="1" t="s">
        <v>1759</v>
      </c>
      <c r="X469" s="1" t="s">
        <v>70</v>
      </c>
      <c r="Y469" s="5" t="s">
        <v>76</v>
      </c>
      <c r="Z469" s="3" t="s">
        <v>76</v>
      </c>
      <c r="AB469" s="1">
        <v>3.0</v>
      </c>
      <c r="AI469" s="1" t="s">
        <v>1760</v>
      </c>
      <c r="AJ469" s="3">
        <v>-850.0</v>
      </c>
      <c r="AK469" s="1">
        <v>2013.0</v>
      </c>
      <c r="AL469" s="2" t="s">
        <v>100</v>
      </c>
      <c r="AM469" s="2" t="s">
        <v>72</v>
      </c>
      <c r="AN469" s="2" t="s">
        <v>132</v>
      </c>
      <c r="AO469" s="2" t="s">
        <v>72</v>
      </c>
      <c r="AQ469" s="2" t="s">
        <v>102</v>
      </c>
      <c r="AR469" s="2" t="s">
        <v>76</v>
      </c>
      <c r="AS469" s="1">
        <v>2405.0</v>
      </c>
      <c r="AT469" s="1">
        <v>2405.0</v>
      </c>
      <c r="AU469" s="1">
        <v>1144.0</v>
      </c>
      <c r="AV469" s="1">
        <v>40.0</v>
      </c>
      <c r="AW469" s="1">
        <v>152.0</v>
      </c>
      <c r="AX469" s="1">
        <v>7450.0</v>
      </c>
      <c r="AY469" s="1">
        <v>1500.0</v>
      </c>
      <c r="AZ469" s="1" t="s">
        <v>333</v>
      </c>
      <c r="BA469" s="1" t="s">
        <v>121</v>
      </c>
    </row>
    <row r="470">
      <c r="A470" s="1" t="s">
        <v>1750</v>
      </c>
      <c r="B470" s="1" t="s">
        <v>53</v>
      </c>
      <c r="C470" s="1">
        <v>2018.0</v>
      </c>
      <c r="D470" s="1" t="s">
        <v>1751</v>
      </c>
      <c r="E470" s="1" t="s">
        <v>1752</v>
      </c>
      <c r="F470" s="1" t="s">
        <v>1386</v>
      </c>
      <c r="G470" s="1" t="s">
        <v>1753</v>
      </c>
      <c r="H470" s="1" t="s">
        <v>1754</v>
      </c>
      <c r="I470" s="1">
        <v>189.0</v>
      </c>
      <c r="K470" s="2" t="s">
        <v>1755</v>
      </c>
      <c r="L470" s="2" t="s">
        <v>60</v>
      </c>
      <c r="M470" s="1" t="s">
        <v>1761</v>
      </c>
      <c r="N470" s="1" t="s">
        <v>62</v>
      </c>
      <c r="O470" s="1" t="s">
        <v>167</v>
      </c>
      <c r="P470" s="1" t="s">
        <v>1758</v>
      </c>
      <c r="Q470" s="1">
        <v>16.147314</v>
      </c>
      <c r="R470" s="1">
        <v>-91.768701</v>
      </c>
      <c r="S470" s="1" t="s">
        <v>148</v>
      </c>
      <c r="T470" s="2" t="s">
        <v>80</v>
      </c>
      <c r="U470" s="3" t="s">
        <v>81</v>
      </c>
      <c r="V470" s="3" t="s">
        <v>68</v>
      </c>
      <c r="W470" s="1" t="s">
        <v>348</v>
      </c>
      <c r="X470" s="2" t="s">
        <v>158</v>
      </c>
      <c r="Y470" s="6" t="s">
        <v>76</v>
      </c>
      <c r="Z470" s="3" t="s">
        <v>84</v>
      </c>
      <c r="AB470" s="1">
        <v>4.0</v>
      </c>
      <c r="AI470" s="1" t="s">
        <v>174</v>
      </c>
      <c r="AJ470" s="3">
        <v>-850.0</v>
      </c>
      <c r="AK470" s="1">
        <v>2013.0</v>
      </c>
      <c r="AL470" s="2" t="s">
        <v>100</v>
      </c>
      <c r="AM470" s="2" t="s">
        <v>72</v>
      </c>
      <c r="AN470" s="2" t="s">
        <v>132</v>
      </c>
      <c r="AO470" s="2" t="s">
        <v>72</v>
      </c>
      <c r="AQ470" s="2" t="s">
        <v>102</v>
      </c>
      <c r="AR470" s="2" t="s">
        <v>76</v>
      </c>
      <c r="AS470" s="1">
        <v>2150.0</v>
      </c>
      <c r="AT470" s="1">
        <v>2150.0</v>
      </c>
      <c r="AU470" s="1">
        <v>1038.0</v>
      </c>
      <c r="AV470" s="1">
        <v>35.0</v>
      </c>
      <c r="AW470" s="1">
        <v>132.0</v>
      </c>
      <c r="AX470" s="1">
        <v>7746.0</v>
      </c>
      <c r="AY470" s="1">
        <v>1497.0</v>
      </c>
      <c r="AZ470" s="1" t="s">
        <v>77</v>
      </c>
      <c r="BA470" s="1" t="s">
        <v>78</v>
      </c>
    </row>
    <row r="471">
      <c r="A471" s="1" t="s">
        <v>1762</v>
      </c>
      <c r="B471" s="1" t="s">
        <v>53</v>
      </c>
      <c r="C471" s="1">
        <v>2016.0</v>
      </c>
      <c r="D471" s="1" t="s">
        <v>1763</v>
      </c>
      <c r="E471" s="1" t="s">
        <v>1764</v>
      </c>
      <c r="F471" s="1" t="s">
        <v>251</v>
      </c>
      <c r="G471" s="1" t="s">
        <v>1765</v>
      </c>
      <c r="H471" s="1" t="s">
        <v>1766</v>
      </c>
      <c r="I471" s="1">
        <v>438.0</v>
      </c>
      <c r="K471" s="2" t="s">
        <v>1767</v>
      </c>
      <c r="L471" s="2" t="s">
        <v>76</v>
      </c>
      <c r="M471" s="1" t="s">
        <v>1762</v>
      </c>
      <c r="N471" s="1" t="s">
        <v>62</v>
      </c>
      <c r="O471" s="1" t="s">
        <v>167</v>
      </c>
      <c r="P471" s="1" t="s">
        <v>512</v>
      </c>
      <c r="Q471" s="1">
        <v>17.00162</v>
      </c>
      <c r="R471" s="1">
        <v>-89.476844</v>
      </c>
      <c r="S471" s="1" t="s">
        <v>148</v>
      </c>
      <c r="T471" s="2" t="s">
        <v>382</v>
      </c>
      <c r="U471" s="1" t="s">
        <v>72</v>
      </c>
      <c r="V471" s="3" t="s">
        <v>277</v>
      </c>
      <c r="W471" s="2" t="s">
        <v>72</v>
      </c>
      <c r="X471" s="1" t="s">
        <v>968</v>
      </c>
      <c r="Y471" s="6" t="s">
        <v>76</v>
      </c>
      <c r="Z471" s="3" t="s">
        <v>76</v>
      </c>
      <c r="AB471" s="1">
        <v>1.0</v>
      </c>
      <c r="AI471" s="2" t="s">
        <v>72</v>
      </c>
      <c r="AJ471" s="1">
        <v>-40000.0</v>
      </c>
      <c r="AK471" s="1">
        <v>2000.0</v>
      </c>
      <c r="AL471" s="2" t="s">
        <v>72</v>
      </c>
      <c r="AM471" s="2" t="s">
        <v>72</v>
      </c>
      <c r="AN471" s="2" t="s">
        <v>524</v>
      </c>
      <c r="AO471" s="2" t="s">
        <v>72</v>
      </c>
      <c r="AQ471" s="2" t="s">
        <v>102</v>
      </c>
      <c r="AR471" s="2" t="s">
        <v>76</v>
      </c>
      <c r="AS471" s="1">
        <v>1846.0</v>
      </c>
      <c r="AT471" s="1">
        <v>1846.0</v>
      </c>
      <c r="AU471" s="1">
        <v>751.0</v>
      </c>
      <c r="AV471" s="1">
        <v>40.0</v>
      </c>
      <c r="AW471" s="1">
        <v>151.0</v>
      </c>
      <c r="AX471" s="1">
        <v>5579.0</v>
      </c>
      <c r="AY471" s="1">
        <v>234.0</v>
      </c>
      <c r="AZ471" s="1" t="s">
        <v>133</v>
      </c>
      <c r="BA471" s="1" t="s">
        <v>121</v>
      </c>
    </row>
    <row r="472">
      <c r="A472" s="1" t="s">
        <v>1750</v>
      </c>
      <c r="B472" s="1" t="s">
        <v>53</v>
      </c>
      <c r="C472" s="1">
        <v>2018.0</v>
      </c>
      <c r="D472" s="1" t="s">
        <v>1751</v>
      </c>
      <c r="E472" s="1" t="s">
        <v>1752</v>
      </c>
      <c r="F472" s="1" t="s">
        <v>1386</v>
      </c>
      <c r="G472" s="1" t="s">
        <v>1753</v>
      </c>
      <c r="H472" s="1" t="s">
        <v>1754</v>
      </c>
      <c r="I472" s="1">
        <v>189.0</v>
      </c>
      <c r="K472" s="2" t="s">
        <v>1755</v>
      </c>
      <c r="L472" s="2" t="s">
        <v>60</v>
      </c>
      <c r="M472" s="1" t="s">
        <v>1768</v>
      </c>
      <c r="N472" s="1" t="s">
        <v>62</v>
      </c>
      <c r="O472" s="1" t="s">
        <v>167</v>
      </c>
      <c r="P472" s="1" t="s">
        <v>168</v>
      </c>
      <c r="Q472" s="1">
        <v>16.115819</v>
      </c>
      <c r="R472" s="1">
        <v>-91.726393</v>
      </c>
      <c r="S472" s="1" t="s">
        <v>148</v>
      </c>
      <c r="T472" s="2" t="s">
        <v>66</v>
      </c>
      <c r="U472" s="3" t="s">
        <v>67</v>
      </c>
      <c r="V472" s="3" t="s">
        <v>171</v>
      </c>
      <c r="W472" s="1" t="s">
        <v>1759</v>
      </c>
      <c r="X472" s="1" t="s">
        <v>70</v>
      </c>
      <c r="Y472" s="5" t="s">
        <v>60</v>
      </c>
      <c r="Z472" s="3" t="s">
        <v>345</v>
      </c>
      <c r="AB472" s="1">
        <v>3.0</v>
      </c>
      <c r="AI472" s="1" t="s">
        <v>1760</v>
      </c>
      <c r="AJ472" s="1">
        <v>-1450.0</v>
      </c>
      <c r="AK472" s="1">
        <v>2013.0</v>
      </c>
      <c r="AL472" s="3" t="s">
        <v>73</v>
      </c>
      <c r="AM472" s="2" t="s">
        <v>72</v>
      </c>
      <c r="AN472" s="2" t="s">
        <v>132</v>
      </c>
      <c r="AO472" s="2" t="s">
        <v>72</v>
      </c>
      <c r="AQ472" s="2" t="s">
        <v>102</v>
      </c>
      <c r="AR472" s="2" t="s">
        <v>76</v>
      </c>
      <c r="AS472" s="1">
        <v>2405.0</v>
      </c>
      <c r="AT472" s="1">
        <v>2405.0</v>
      </c>
      <c r="AU472" s="1">
        <v>1144.0</v>
      </c>
      <c r="AV472" s="1">
        <v>40.0</v>
      </c>
      <c r="AW472" s="1">
        <v>152.0</v>
      </c>
      <c r="AX472" s="1">
        <v>7450.0</v>
      </c>
      <c r="AY472" s="1">
        <v>1500.0</v>
      </c>
      <c r="AZ472" s="1" t="s">
        <v>333</v>
      </c>
      <c r="BA472" s="1" t="s">
        <v>121</v>
      </c>
    </row>
    <row r="473">
      <c r="A473" s="1" t="s">
        <v>1769</v>
      </c>
      <c r="B473" s="1" t="s">
        <v>53</v>
      </c>
      <c r="C473" s="1">
        <v>2012.0</v>
      </c>
      <c r="D473" s="1" t="s">
        <v>1770</v>
      </c>
      <c r="E473" s="1" t="s">
        <v>1771</v>
      </c>
      <c r="F473" s="1" t="s">
        <v>1772</v>
      </c>
      <c r="G473" s="1" t="s">
        <v>1773</v>
      </c>
      <c r="H473" s="1" t="s">
        <v>1774</v>
      </c>
      <c r="I473" s="1">
        <v>178.0</v>
      </c>
      <c r="K473" s="2" t="s">
        <v>1775</v>
      </c>
      <c r="L473" s="2" t="s">
        <v>60</v>
      </c>
      <c r="M473" s="1" t="s">
        <v>1776</v>
      </c>
      <c r="N473" s="1" t="s">
        <v>62</v>
      </c>
      <c r="O473" s="1" t="s">
        <v>92</v>
      </c>
      <c r="P473" s="1" t="s">
        <v>1777</v>
      </c>
      <c r="Q473" s="1">
        <v>21.579444</v>
      </c>
      <c r="R473" s="1">
        <v>-88.072222</v>
      </c>
      <c r="S473" s="1" t="s">
        <v>148</v>
      </c>
      <c r="T473" s="2" t="s">
        <v>66</v>
      </c>
      <c r="U473" s="3" t="s">
        <v>513</v>
      </c>
      <c r="V473" s="3" t="s">
        <v>68</v>
      </c>
      <c r="W473" s="1" t="s">
        <v>1778</v>
      </c>
      <c r="X473" s="1" t="s">
        <v>70</v>
      </c>
      <c r="Y473" s="5" t="s">
        <v>60</v>
      </c>
      <c r="Z473" s="3" t="s">
        <v>118</v>
      </c>
      <c r="AB473" s="1">
        <v>4.0</v>
      </c>
      <c r="AI473" s="1" t="s">
        <v>1684</v>
      </c>
      <c r="AJ473" s="1">
        <v>-1800.0</v>
      </c>
      <c r="AK473" s="1">
        <v>2000.0</v>
      </c>
      <c r="AL473" s="2" t="s">
        <v>73</v>
      </c>
      <c r="AM473" s="2" t="s">
        <v>72</v>
      </c>
      <c r="AN473" s="2" t="s">
        <v>72</v>
      </c>
      <c r="AO473" s="2" t="s">
        <v>72</v>
      </c>
      <c r="AQ473" s="2" t="s">
        <v>75</v>
      </c>
      <c r="AR473" s="2" t="s">
        <v>76</v>
      </c>
      <c r="AS473" s="1">
        <v>755.0</v>
      </c>
      <c r="AT473" s="1">
        <v>755.0</v>
      </c>
      <c r="AU473" s="1">
        <v>314.0</v>
      </c>
      <c r="AV473" s="1">
        <v>20.0</v>
      </c>
      <c r="AW473" s="1">
        <v>75.0</v>
      </c>
      <c r="AX473" s="1">
        <v>5510.0</v>
      </c>
      <c r="AY473" s="1">
        <v>1.0</v>
      </c>
      <c r="AZ473" s="1" t="s">
        <v>658</v>
      </c>
      <c r="BA473" s="1" t="s">
        <v>659</v>
      </c>
    </row>
    <row r="474">
      <c r="A474" s="1" t="s">
        <v>1769</v>
      </c>
      <c r="B474" s="1" t="s">
        <v>53</v>
      </c>
      <c r="C474" s="1">
        <v>2012.0</v>
      </c>
      <c r="D474" s="1" t="s">
        <v>1770</v>
      </c>
      <c r="E474" s="1" t="s">
        <v>1771</v>
      </c>
      <c r="F474" s="1" t="s">
        <v>1772</v>
      </c>
      <c r="G474" s="1" t="s">
        <v>1773</v>
      </c>
      <c r="H474" s="1" t="s">
        <v>1774</v>
      </c>
      <c r="I474" s="1">
        <v>178.0</v>
      </c>
      <c r="K474" s="2" t="s">
        <v>1775</v>
      </c>
      <c r="L474" s="2" t="s">
        <v>60</v>
      </c>
      <c r="M474" s="1" t="s">
        <v>1779</v>
      </c>
      <c r="N474" s="1" t="s">
        <v>62</v>
      </c>
      <c r="O474" s="1" t="s">
        <v>92</v>
      </c>
      <c r="P474" s="1" t="s">
        <v>1777</v>
      </c>
      <c r="Q474" s="1">
        <v>21.579444</v>
      </c>
      <c r="R474" s="1">
        <v>-88.072222</v>
      </c>
      <c r="S474" s="1" t="s">
        <v>148</v>
      </c>
      <c r="T474" s="2" t="s">
        <v>80</v>
      </c>
      <c r="U474" s="3" t="s">
        <v>81</v>
      </c>
      <c r="V474" s="3" t="s">
        <v>68</v>
      </c>
      <c r="W474" s="1" t="s">
        <v>1780</v>
      </c>
      <c r="X474" s="2" t="s">
        <v>83</v>
      </c>
      <c r="Y474" s="6" t="s">
        <v>76</v>
      </c>
      <c r="Z474" s="3" t="s">
        <v>84</v>
      </c>
      <c r="AB474" s="1">
        <v>4.0</v>
      </c>
      <c r="AI474" s="1" t="s">
        <v>1684</v>
      </c>
      <c r="AJ474" s="1">
        <v>-1800.0</v>
      </c>
      <c r="AK474" s="1">
        <v>2000.0</v>
      </c>
      <c r="AL474" s="2" t="s">
        <v>73</v>
      </c>
      <c r="AM474" s="2" t="s">
        <v>72</v>
      </c>
      <c r="AN474" s="2" t="s">
        <v>524</v>
      </c>
      <c r="AO474" s="2" t="s">
        <v>72</v>
      </c>
      <c r="AQ474" s="2" t="s">
        <v>75</v>
      </c>
      <c r="AR474" s="2" t="s">
        <v>76</v>
      </c>
      <c r="AS474" s="1">
        <v>755.0</v>
      </c>
      <c r="AT474" s="1">
        <v>755.0</v>
      </c>
      <c r="AU474" s="1">
        <v>314.0</v>
      </c>
      <c r="AV474" s="1">
        <v>20.0</v>
      </c>
      <c r="AW474" s="1">
        <v>75.0</v>
      </c>
      <c r="AX474" s="1">
        <v>5510.0</v>
      </c>
      <c r="AY474" s="1">
        <v>1.0</v>
      </c>
      <c r="AZ474" s="1" t="s">
        <v>658</v>
      </c>
      <c r="BA474" s="1" t="s">
        <v>659</v>
      </c>
    </row>
    <row r="475">
      <c r="A475" s="1" t="s">
        <v>1781</v>
      </c>
      <c r="B475" s="1" t="s">
        <v>53</v>
      </c>
      <c r="C475" s="1">
        <v>2015.0</v>
      </c>
      <c r="D475" s="1" t="s">
        <v>1782</v>
      </c>
      <c r="E475" s="1" t="s">
        <v>1783</v>
      </c>
      <c r="F475" s="1" t="s">
        <v>1772</v>
      </c>
      <c r="G475" s="1" t="s">
        <v>1784</v>
      </c>
      <c r="H475" s="1" t="s">
        <v>1785</v>
      </c>
      <c r="I475" s="1">
        <v>217.0</v>
      </c>
      <c r="K475" s="2">
        <v>44409.0</v>
      </c>
      <c r="L475" s="2" t="s">
        <v>76</v>
      </c>
      <c r="M475" s="1" t="s">
        <v>1781</v>
      </c>
      <c r="N475" s="1" t="s">
        <v>62</v>
      </c>
      <c r="O475" s="1" t="s">
        <v>92</v>
      </c>
      <c r="P475" s="1" t="s">
        <v>1786</v>
      </c>
      <c r="Q475" s="1">
        <v>18.372</v>
      </c>
      <c r="R475" s="1">
        <v>-90.294833</v>
      </c>
      <c r="S475" s="1" t="s">
        <v>148</v>
      </c>
      <c r="T475" s="2" t="s">
        <v>66</v>
      </c>
      <c r="U475" s="3" t="s">
        <v>67</v>
      </c>
      <c r="V475" s="3" t="s">
        <v>68</v>
      </c>
      <c r="W475" s="1" t="s">
        <v>1787</v>
      </c>
      <c r="X475" s="1" t="s">
        <v>70</v>
      </c>
      <c r="Y475" s="5" t="s">
        <v>60</v>
      </c>
      <c r="Z475" s="3" t="s">
        <v>345</v>
      </c>
      <c r="AB475" s="1">
        <v>6.0</v>
      </c>
      <c r="AI475" s="1" t="s">
        <v>1788</v>
      </c>
      <c r="AJ475" s="1">
        <v>-5950.0</v>
      </c>
      <c r="AK475" s="1">
        <v>1950.0</v>
      </c>
      <c r="AL475" s="2" t="s">
        <v>100</v>
      </c>
      <c r="AM475" s="2" t="s">
        <v>76</v>
      </c>
      <c r="AN475" s="1" t="s">
        <v>74</v>
      </c>
      <c r="AO475" s="2" t="s">
        <v>72</v>
      </c>
      <c r="AQ475" s="2" t="s">
        <v>576</v>
      </c>
      <c r="AR475" s="2" t="s">
        <v>76</v>
      </c>
      <c r="AS475" s="1">
        <v>1201.0</v>
      </c>
      <c r="AT475" s="1">
        <v>1201.0</v>
      </c>
      <c r="AU475" s="1">
        <v>575.0</v>
      </c>
      <c r="AV475" s="1">
        <v>25.0</v>
      </c>
      <c r="AW475" s="1">
        <v>83.0</v>
      </c>
      <c r="AX475" s="1">
        <v>7081.0</v>
      </c>
      <c r="AY475" s="1">
        <v>81.0</v>
      </c>
      <c r="AZ475" s="1" t="s">
        <v>239</v>
      </c>
      <c r="BA475" s="1" t="s">
        <v>121</v>
      </c>
    </row>
    <row r="476">
      <c r="A476" s="1" t="s">
        <v>1203</v>
      </c>
      <c r="B476" s="1" t="s">
        <v>53</v>
      </c>
      <c r="C476" s="1">
        <v>2010.0</v>
      </c>
      <c r="D476" s="1" t="s">
        <v>1204</v>
      </c>
      <c r="E476" s="1" t="s">
        <v>1205</v>
      </c>
      <c r="F476" s="1" t="s">
        <v>1206</v>
      </c>
      <c r="H476" s="1" t="s">
        <v>1207</v>
      </c>
      <c r="I476" s="1">
        <v>27.0</v>
      </c>
      <c r="J476" s="1">
        <v>3.0</v>
      </c>
      <c r="K476" s="2" t="s">
        <v>1208</v>
      </c>
      <c r="L476" s="2" t="s">
        <v>60</v>
      </c>
      <c r="M476" s="1" t="s">
        <v>1789</v>
      </c>
      <c r="N476" s="1" t="s">
        <v>62</v>
      </c>
      <c r="O476" s="1" t="s">
        <v>167</v>
      </c>
      <c r="P476" s="1" t="s">
        <v>512</v>
      </c>
      <c r="Q476" s="1">
        <v>16.916667</v>
      </c>
      <c r="R476" s="1">
        <v>-89.833333</v>
      </c>
      <c r="S476" s="1" t="s">
        <v>148</v>
      </c>
      <c r="T476" s="2" t="s">
        <v>614</v>
      </c>
      <c r="U476" s="2" t="s">
        <v>615</v>
      </c>
      <c r="V476" s="3" t="s">
        <v>97</v>
      </c>
      <c r="W476" s="1" t="s">
        <v>1790</v>
      </c>
      <c r="X476" s="1" t="s">
        <v>1791</v>
      </c>
      <c r="Y476" s="6" t="s">
        <v>76</v>
      </c>
      <c r="Z476" s="3" t="s">
        <v>76</v>
      </c>
      <c r="AD476" s="1">
        <v>17.0</v>
      </c>
      <c r="AJ476" s="1">
        <v>1480.0</v>
      </c>
      <c r="AK476" s="1">
        <v>2005.0</v>
      </c>
      <c r="AL476" s="2" t="s">
        <v>153</v>
      </c>
      <c r="AM476" s="2" t="s">
        <v>72</v>
      </c>
      <c r="AN476" s="2" t="s">
        <v>72</v>
      </c>
      <c r="AO476" s="2" t="s">
        <v>101</v>
      </c>
      <c r="AQ476" s="2" t="s">
        <v>75</v>
      </c>
      <c r="AR476" s="2" t="s">
        <v>76</v>
      </c>
      <c r="AS476" s="1">
        <v>1738.0</v>
      </c>
      <c r="AT476" s="1">
        <v>1738.0</v>
      </c>
      <c r="AU476" s="1">
        <v>690.0</v>
      </c>
      <c r="AV476" s="1">
        <v>36.0</v>
      </c>
      <c r="AW476" s="1">
        <v>144.0</v>
      </c>
      <c r="AX476" s="1">
        <v>5677.0</v>
      </c>
      <c r="AY476" s="1">
        <v>131.0</v>
      </c>
      <c r="AZ476" s="1" t="s">
        <v>133</v>
      </c>
      <c r="BA476" s="1" t="s">
        <v>121</v>
      </c>
    </row>
    <row r="477">
      <c r="A477" s="1" t="s">
        <v>1203</v>
      </c>
      <c r="B477" s="1" t="s">
        <v>53</v>
      </c>
      <c r="C477" s="1">
        <v>2010.0</v>
      </c>
      <c r="D477" s="1" t="s">
        <v>1204</v>
      </c>
      <c r="E477" s="1" t="s">
        <v>1205</v>
      </c>
      <c r="F477" s="1" t="s">
        <v>1206</v>
      </c>
      <c r="H477" s="1" t="s">
        <v>1207</v>
      </c>
      <c r="I477" s="1">
        <v>27.0</v>
      </c>
      <c r="J477" s="1">
        <v>3.0</v>
      </c>
      <c r="K477" s="2" t="s">
        <v>1208</v>
      </c>
      <c r="L477" s="2" t="s">
        <v>60</v>
      </c>
      <c r="M477" s="1" t="s">
        <v>1792</v>
      </c>
      <c r="N477" s="1" t="s">
        <v>62</v>
      </c>
      <c r="O477" s="1" t="s">
        <v>167</v>
      </c>
      <c r="P477" s="1" t="s">
        <v>512</v>
      </c>
      <c r="Q477" s="1">
        <v>16.916667</v>
      </c>
      <c r="R477" s="1">
        <v>-89.833333</v>
      </c>
      <c r="S477" s="1" t="s">
        <v>148</v>
      </c>
      <c r="T477" s="2" t="s">
        <v>169</v>
      </c>
      <c r="U477" s="3" t="s">
        <v>1793</v>
      </c>
      <c r="V477" s="3" t="s">
        <v>171</v>
      </c>
      <c r="W477" s="1" t="s">
        <v>1044</v>
      </c>
      <c r="X477" s="1" t="s">
        <v>1794</v>
      </c>
      <c r="Y477" s="6" t="s">
        <v>76</v>
      </c>
      <c r="Z477" s="3" t="s">
        <v>173</v>
      </c>
      <c r="AD477" s="1">
        <v>15.0</v>
      </c>
      <c r="AJ477" s="1">
        <v>1880.0</v>
      </c>
      <c r="AK477" s="1">
        <v>2005.0</v>
      </c>
      <c r="AL477" s="2" t="s">
        <v>153</v>
      </c>
      <c r="AM477" s="2" t="s">
        <v>72</v>
      </c>
      <c r="AN477" s="2" t="s">
        <v>72</v>
      </c>
      <c r="AO477" s="2" t="s">
        <v>101</v>
      </c>
      <c r="AQ477" s="2" t="s">
        <v>75</v>
      </c>
      <c r="AR477" s="2" t="s">
        <v>76</v>
      </c>
      <c r="AS477" s="1">
        <v>1738.0</v>
      </c>
      <c r="AT477" s="1">
        <v>1738.0</v>
      </c>
      <c r="AU477" s="1">
        <v>690.0</v>
      </c>
      <c r="AV477" s="1">
        <v>36.0</v>
      </c>
      <c r="AW477" s="1">
        <v>144.0</v>
      </c>
      <c r="AX477" s="1">
        <v>5677.0</v>
      </c>
      <c r="AY477" s="1">
        <v>131.0</v>
      </c>
      <c r="AZ477" s="1" t="s">
        <v>133</v>
      </c>
      <c r="BA477" s="1" t="s">
        <v>121</v>
      </c>
    </row>
    <row r="478">
      <c r="A478" s="1" t="s">
        <v>1203</v>
      </c>
      <c r="B478" s="1" t="s">
        <v>53</v>
      </c>
      <c r="C478" s="1">
        <v>2010.0</v>
      </c>
      <c r="D478" s="1" t="s">
        <v>1204</v>
      </c>
      <c r="E478" s="1" t="s">
        <v>1205</v>
      </c>
      <c r="F478" s="1" t="s">
        <v>1206</v>
      </c>
      <c r="H478" s="1" t="s">
        <v>1207</v>
      </c>
      <c r="I478" s="1">
        <v>27.0</v>
      </c>
      <c r="J478" s="1">
        <v>3.0</v>
      </c>
      <c r="K478" s="2" t="s">
        <v>1208</v>
      </c>
      <c r="L478" s="2" t="s">
        <v>60</v>
      </c>
      <c r="M478" s="1" t="s">
        <v>1795</v>
      </c>
      <c r="N478" s="1" t="s">
        <v>62</v>
      </c>
      <c r="O478" s="1" t="s">
        <v>167</v>
      </c>
      <c r="P478" s="1" t="s">
        <v>512</v>
      </c>
      <c r="Q478" s="1">
        <v>16.990249</v>
      </c>
      <c r="R478" s="1">
        <v>-89.814246</v>
      </c>
      <c r="S478" s="1" t="s">
        <v>148</v>
      </c>
      <c r="T478" s="2" t="s">
        <v>614</v>
      </c>
      <c r="U478" s="2" t="s">
        <v>615</v>
      </c>
      <c r="V478" s="3" t="s">
        <v>97</v>
      </c>
      <c r="W478" s="1" t="s">
        <v>1790</v>
      </c>
      <c r="X478" s="1" t="s">
        <v>1791</v>
      </c>
      <c r="Y478" s="6" t="s">
        <v>76</v>
      </c>
      <c r="Z478" s="3" t="s">
        <v>76</v>
      </c>
      <c r="AB478" s="1">
        <v>17.0</v>
      </c>
      <c r="AI478" s="2" t="s">
        <v>72</v>
      </c>
      <c r="AJ478" s="1">
        <v>1880.0</v>
      </c>
      <c r="AK478" s="1">
        <v>2005.0</v>
      </c>
      <c r="AL478" s="2" t="s">
        <v>153</v>
      </c>
      <c r="AM478" s="2" t="s">
        <v>72</v>
      </c>
      <c r="AN478" s="2" t="s">
        <v>72</v>
      </c>
      <c r="AO478" s="2" t="s">
        <v>101</v>
      </c>
      <c r="AQ478" s="2" t="s">
        <v>75</v>
      </c>
      <c r="AR478" s="2" t="s">
        <v>76</v>
      </c>
      <c r="AS478" s="1">
        <v>1660.0</v>
      </c>
      <c r="AT478" s="1">
        <v>1660.0</v>
      </c>
      <c r="AU478" s="1">
        <v>674.0</v>
      </c>
      <c r="AV478" s="1">
        <v>36.0</v>
      </c>
      <c r="AW478" s="1">
        <v>132.0</v>
      </c>
      <c r="AX478" s="1">
        <v>5917.0</v>
      </c>
      <c r="AY478" s="1">
        <v>110.0</v>
      </c>
      <c r="AZ478" s="1" t="s">
        <v>133</v>
      </c>
      <c r="BA478" s="1" t="s">
        <v>121</v>
      </c>
    </row>
    <row r="479">
      <c r="A479" s="1" t="s">
        <v>1203</v>
      </c>
      <c r="B479" s="1" t="s">
        <v>53</v>
      </c>
      <c r="C479" s="1">
        <v>2010.0</v>
      </c>
      <c r="D479" s="1" t="s">
        <v>1204</v>
      </c>
      <c r="E479" s="1" t="s">
        <v>1205</v>
      </c>
      <c r="F479" s="1" t="s">
        <v>1206</v>
      </c>
      <c r="H479" s="1" t="s">
        <v>1207</v>
      </c>
      <c r="I479" s="1">
        <v>27.0</v>
      </c>
      <c r="J479" s="1">
        <v>3.0</v>
      </c>
      <c r="K479" s="2" t="s">
        <v>1208</v>
      </c>
      <c r="L479" s="2" t="s">
        <v>60</v>
      </c>
      <c r="M479" s="1" t="s">
        <v>1796</v>
      </c>
      <c r="N479" s="1" t="s">
        <v>62</v>
      </c>
      <c r="O479" s="1" t="s">
        <v>167</v>
      </c>
      <c r="P479" s="1" t="s">
        <v>512</v>
      </c>
      <c r="Q479" s="1">
        <v>16.916667</v>
      </c>
      <c r="R479" s="1">
        <v>-89.833333</v>
      </c>
      <c r="S479" s="1" t="s">
        <v>148</v>
      </c>
      <c r="T479" s="2" t="s">
        <v>135</v>
      </c>
      <c r="U479" s="1" t="s">
        <v>173</v>
      </c>
      <c r="V479" s="3" t="s">
        <v>68</v>
      </c>
      <c r="W479" s="1" t="s">
        <v>1797</v>
      </c>
      <c r="X479" s="1" t="s">
        <v>70</v>
      </c>
      <c r="Y479" s="6" t="s">
        <v>76</v>
      </c>
      <c r="Z479" s="3" t="s">
        <v>76</v>
      </c>
      <c r="AD479" s="1">
        <v>17.0</v>
      </c>
      <c r="AJ479" s="1">
        <v>1480.0</v>
      </c>
      <c r="AK479" s="1">
        <v>2005.0</v>
      </c>
      <c r="AL479" s="2" t="s">
        <v>153</v>
      </c>
      <c r="AM479" s="2" t="s">
        <v>72</v>
      </c>
      <c r="AN479" s="2" t="s">
        <v>72</v>
      </c>
      <c r="AO479" s="2" t="s">
        <v>101</v>
      </c>
      <c r="AQ479" s="2" t="s">
        <v>75</v>
      </c>
      <c r="AR479" s="2" t="s">
        <v>76</v>
      </c>
      <c r="AS479" s="1">
        <v>1738.0</v>
      </c>
      <c r="AT479" s="1">
        <v>1738.0</v>
      </c>
      <c r="AU479" s="1">
        <v>690.0</v>
      </c>
      <c r="AV479" s="1">
        <v>36.0</v>
      </c>
      <c r="AW479" s="1">
        <v>144.0</v>
      </c>
      <c r="AX479" s="1">
        <v>5677.0</v>
      </c>
      <c r="AY479" s="1">
        <v>131.0</v>
      </c>
      <c r="AZ479" s="1" t="s">
        <v>133</v>
      </c>
      <c r="BA479" s="1" t="s">
        <v>121</v>
      </c>
    </row>
    <row r="480">
      <c r="A480" s="1" t="s">
        <v>1203</v>
      </c>
      <c r="B480" s="1" t="s">
        <v>53</v>
      </c>
      <c r="C480" s="1">
        <v>2010.0</v>
      </c>
      <c r="D480" s="1" t="s">
        <v>1204</v>
      </c>
      <c r="E480" s="1" t="s">
        <v>1205</v>
      </c>
      <c r="F480" s="1" t="s">
        <v>1206</v>
      </c>
      <c r="H480" s="1" t="s">
        <v>1207</v>
      </c>
      <c r="I480" s="1">
        <v>27.0</v>
      </c>
      <c r="J480" s="1">
        <v>3.0</v>
      </c>
      <c r="K480" s="2" t="s">
        <v>1208</v>
      </c>
      <c r="L480" s="2" t="s">
        <v>60</v>
      </c>
      <c r="M480" s="1" t="s">
        <v>1798</v>
      </c>
      <c r="N480" s="1" t="s">
        <v>62</v>
      </c>
      <c r="O480" s="1" t="s">
        <v>167</v>
      </c>
      <c r="P480" s="1" t="s">
        <v>512</v>
      </c>
      <c r="Q480" s="1">
        <v>16.916667</v>
      </c>
      <c r="R480" s="1">
        <v>-89.833333</v>
      </c>
      <c r="S480" s="1" t="s">
        <v>148</v>
      </c>
      <c r="T480" s="2" t="s">
        <v>388</v>
      </c>
      <c r="U480" s="1" t="s">
        <v>173</v>
      </c>
      <c r="V480" s="3" t="s">
        <v>68</v>
      </c>
      <c r="W480" s="1" t="s">
        <v>1799</v>
      </c>
      <c r="X480" s="1" t="s">
        <v>1800</v>
      </c>
      <c r="Y480" s="6" t="s">
        <v>76</v>
      </c>
      <c r="Z480" s="3" t="s">
        <v>76</v>
      </c>
      <c r="AD480" s="1">
        <v>17.0</v>
      </c>
      <c r="AJ480" s="1">
        <v>1480.0</v>
      </c>
      <c r="AK480" s="1">
        <v>2005.0</v>
      </c>
      <c r="AL480" s="2" t="s">
        <v>153</v>
      </c>
      <c r="AM480" s="2" t="s">
        <v>72</v>
      </c>
      <c r="AN480" s="2" t="s">
        <v>72</v>
      </c>
      <c r="AO480" s="2" t="s">
        <v>101</v>
      </c>
      <c r="AQ480" s="2" t="s">
        <v>75</v>
      </c>
      <c r="AR480" s="2" t="s">
        <v>76</v>
      </c>
      <c r="AS480" s="1">
        <v>1738.0</v>
      </c>
      <c r="AT480" s="1">
        <v>1738.0</v>
      </c>
      <c r="AU480" s="1">
        <v>690.0</v>
      </c>
      <c r="AV480" s="1">
        <v>36.0</v>
      </c>
      <c r="AW480" s="1">
        <v>144.0</v>
      </c>
      <c r="AX480" s="1">
        <v>5677.0</v>
      </c>
      <c r="AY480" s="1">
        <v>131.0</v>
      </c>
      <c r="AZ480" s="1" t="s">
        <v>133</v>
      </c>
      <c r="BA480" s="1" t="s">
        <v>121</v>
      </c>
    </row>
    <row r="481">
      <c r="A481" s="1" t="s">
        <v>1801</v>
      </c>
      <c r="B481" s="1" t="s">
        <v>53</v>
      </c>
      <c r="C481" s="1">
        <v>2012.0</v>
      </c>
      <c r="D481" s="1" t="s">
        <v>1802</v>
      </c>
      <c r="E481" s="1" t="s">
        <v>1803</v>
      </c>
      <c r="F481" s="1" t="s">
        <v>1804</v>
      </c>
      <c r="H481" s="1" t="s">
        <v>1805</v>
      </c>
      <c r="I481" s="1">
        <v>29.0</v>
      </c>
      <c r="J481" s="1">
        <v>3.0</v>
      </c>
      <c r="K481" s="2" t="s">
        <v>1806</v>
      </c>
      <c r="L481" s="2" t="s">
        <v>60</v>
      </c>
      <c r="M481" s="1" t="s">
        <v>1807</v>
      </c>
      <c r="N481" s="1" t="s">
        <v>1808</v>
      </c>
      <c r="O481" s="1" t="s">
        <v>92</v>
      </c>
      <c r="P481" s="1" t="s">
        <v>1809</v>
      </c>
      <c r="Q481" s="1">
        <v>20.13125</v>
      </c>
      <c r="R481" s="1">
        <v>-90.454556</v>
      </c>
      <c r="S481" s="1" t="s">
        <v>148</v>
      </c>
      <c r="T481" s="2" t="s">
        <v>66</v>
      </c>
      <c r="U481" s="3" t="s">
        <v>67</v>
      </c>
      <c r="V481" s="3" t="s">
        <v>68</v>
      </c>
      <c r="W481" s="2" t="s">
        <v>1810</v>
      </c>
      <c r="X481" s="1" t="s">
        <v>70</v>
      </c>
      <c r="Y481" s="5" t="s">
        <v>60</v>
      </c>
      <c r="Z481" s="3" t="s">
        <v>345</v>
      </c>
      <c r="AB481" s="1">
        <v>3.0</v>
      </c>
      <c r="AI481" s="2" t="s">
        <v>72</v>
      </c>
      <c r="AJ481" s="1">
        <v>-2000.0</v>
      </c>
      <c r="AK481" s="1">
        <v>2000.0</v>
      </c>
      <c r="AL481" s="2" t="s">
        <v>73</v>
      </c>
      <c r="AM481" s="2" t="s">
        <v>72</v>
      </c>
      <c r="AN481" s="2" t="s">
        <v>524</v>
      </c>
      <c r="AO481" s="2" t="s">
        <v>72</v>
      </c>
      <c r="AQ481" s="2" t="s">
        <v>576</v>
      </c>
      <c r="AR481" s="2" t="s">
        <v>76</v>
      </c>
      <c r="AS481" s="1">
        <v>1050.0</v>
      </c>
      <c r="AT481" s="1">
        <v>1050.0</v>
      </c>
      <c r="AU481" s="1">
        <v>546.0</v>
      </c>
      <c r="AV481" s="1">
        <v>15.0</v>
      </c>
      <c r="AW481" s="1">
        <v>50.0</v>
      </c>
      <c r="AX481" s="1">
        <v>8249.0</v>
      </c>
      <c r="AY481" s="1">
        <v>1.0</v>
      </c>
      <c r="AZ481" s="1" t="s">
        <v>658</v>
      </c>
      <c r="BA481" s="1" t="s">
        <v>659</v>
      </c>
    </row>
    <row r="482">
      <c r="A482" s="1" t="s">
        <v>1801</v>
      </c>
      <c r="B482" s="1" t="s">
        <v>53</v>
      </c>
      <c r="C482" s="1">
        <v>2012.0</v>
      </c>
      <c r="D482" s="1" t="s">
        <v>1802</v>
      </c>
      <c r="E482" s="1" t="s">
        <v>1803</v>
      </c>
      <c r="F482" s="1" t="s">
        <v>1804</v>
      </c>
      <c r="H482" s="1" t="s">
        <v>1805</v>
      </c>
      <c r="I482" s="1">
        <v>29.0</v>
      </c>
      <c r="J482" s="1">
        <v>3.0</v>
      </c>
      <c r="K482" s="2" t="s">
        <v>1806</v>
      </c>
      <c r="L482" s="2" t="s">
        <v>60</v>
      </c>
      <c r="M482" s="1" t="s">
        <v>1811</v>
      </c>
      <c r="N482" s="1" t="s">
        <v>1808</v>
      </c>
      <c r="O482" s="1" t="s">
        <v>92</v>
      </c>
      <c r="P482" s="1" t="s">
        <v>1809</v>
      </c>
      <c r="Q482" s="1">
        <v>20.13125</v>
      </c>
      <c r="R482" s="1">
        <v>-90.454556</v>
      </c>
      <c r="S482" s="1" t="s">
        <v>148</v>
      </c>
      <c r="T482" s="2" t="s">
        <v>189</v>
      </c>
      <c r="U482" s="2" t="s">
        <v>1683</v>
      </c>
      <c r="V482" s="3" t="s">
        <v>97</v>
      </c>
      <c r="W482" s="2" t="s">
        <v>191</v>
      </c>
      <c r="X482" s="2" t="s">
        <v>70</v>
      </c>
      <c r="Y482" s="6" t="s">
        <v>76</v>
      </c>
      <c r="Z482" s="3" t="s">
        <v>76</v>
      </c>
      <c r="AB482" s="1">
        <v>3.0</v>
      </c>
      <c r="AI482" s="2" t="s">
        <v>72</v>
      </c>
      <c r="AJ482" s="1">
        <v>-2000.0</v>
      </c>
      <c r="AK482" s="1">
        <v>2000.0</v>
      </c>
      <c r="AL482" s="2" t="s">
        <v>73</v>
      </c>
      <c r="AM482" s="2" t="s">
        <v>72</v>
      </c>
      <c r="AN482" s="2" t="s">
        <v>524</v>
      </c>
      <c r="AO482" s="2" t="s">
        <v>72</v>
      </c>
      <c r="AQ482" s="2" t="s">
        <v>576</v>
      </c>
      <c r="AR482" s="2" t="s">
        <v>76</v>
      </c>
      <c r="AS482" s="1">
        <v>1050.0</v>
      </c>
      <c r="AT482" s="1">
        <v>1050.0</v>
      </c>
      <c r="AU482" s="1">
        <v>546.0</v>
      </c>
      <c r="AV482" s="1">
        <v>15.0</v>
      </c>
      <c r="AW482" s="1">
        <v>50.0</v>
      </c>
      <c r="AX482" s="1">
        <v>8249.0</v>
      </c>
      <c r="AY482" s="1">
        <v>1.0</v>
      </c>
      <c r="AZ482" s="1" t="s">
        <v>658</v>
      </c>
      <c r="BA482" s="1" t="s">
        <v>659</v>
      </c>
    </row>
    <row r="483">
      <c r="A483" s="1" t="s">
        <v>1801</v>
      </c>
      <c r="B483" s="1" t="s">
        <v>53</v>
      </c>
      <c r="C483" s="1">
        <v>2012.0</v>
      </c>
      <c r="D483" s="1" t="s">
        <v>1802</v>
      </c>
      <c r="E483" s="1" t="s">
        <v>1803</v>
      </c>
      <c r="F483" s="1" t="s">
        <v>1804</v>
      </c>
      <c r="H483" s="1" t="s">
        <v>1805</v>
      </c>
      <c r="I483" s="1">
        <v>29.0</v>
      </c>
      <c r="J483" s="1">
        <v>3.0</v>
      </c>
      <c r="K483" s="2" t="s">
        <v>1806</v>
      </c>
      <c r="L483" s="2" t="s">
        <v>60</v>
      </c>
      <c r="M483" s="1" t="s">
        <v>1812</v>
      </c>
      <c r="N483" s="1" t="s">
        <v>1808</v>
      </c>
      <c r="O483" s="1" t="s">
        <v>92</v>
      </c>
      <c r="P483" s="1" t="s">
        <v>1809</v>
      </c>
      <c r="Q483" s="1">
        <v>20.13125</v>
      </c>
      <c r="R483" s="1">
        <v>-90.454556</v>
      </c>
      <c r="S483" s="1" t="s">
        <v>148</v>
      </c>
      <c r="T483" s="2" t="s">
        <v>275</v>
      </c>
      <c r="U483" s="1" t="s">
        <v>1597</v>
      </c>
      <c r="V483" s="3" t="s">
        <v>97</v>
      </c>
      <c r="W483" s="2" t="s">
        <v>275</v>
      </c>
      <c r="X483" s="1" t="s">
        <v>279</v>
      </c>
      <c r="Y483" s="6" t="s">
        <v>76</v>
      </c>
      <c r="Z483" s="3" t="s">
        <v>76</v>
      </c>
      <c r="AB483" s="1">
        <v>3.0</v>
      </c>
      <c r="AI483" s="2" t="s">
        <v>72</v>
      </c>
      <c r="AJ483" s="1">
        <v>-2000.0</v>
      </c>
      <c r="AK483" s="1">
        <v>2000.0</v>
      </c>
      <c r="AL483" s="2" t="s">
        <v>73</v>
      </c>
      <c r="AM483" s="2" t="s">
        <v>72</v>
      </c>
      <c r="AN483" s="2" t="s">
        <v>524</v>
      </c>
      <c r="AO483" s="2" t="s">
        <v>72</v>
      </c>
      <c r="AQ483" s="2" t="s">
        <v>576</v>
      </c>
      <c r="AR483" s="2" t="s">
        <v>76</v>
      </c>
      <c r="AS483" s="1">
        <v>1050.0</v>
      </c>
      <c r="AT483" s="1">
        <v>1050.0</v>
      </c>
      <c r="AU483" s="1">
        <v>546.0</v>
      </c>
      <c r="AV483" s="1">
        <v>15.0</v>
      </c>
      <c r="AW483" s="1">
        <v>50.0</v>
      </c>
      <c r="AX483" s="1">
        <v>8249.0</v>
      </c>
      <c r="AY483" s="1">
        <v>1.0</v>
      </c>
      <c r="AZ483" s="1" t="s">
        <v>658</v>
      </c>
      <c r="BA483" s="1" t="s">
        <v>659</v>
      </c>
    </row>
    <row r="484">
      <c r="A484" s="1" t="s">
        <v>1801</v>
      </c>
      <c r="B484" s="1" t="s">
        <v>53</v>
      </c>
      <c r="C484" s="1">
        <v>2012.0</v>
      </c>
      <c r="D484" s="1" t="s">
        <v>1802</v>
      </c>
      <c r="E484" s="1" t="s">
        <v>1803</v>
      </c>
      <c r="F484" s="1" t="s">
        <v>1804</v>
      </c>
      <c r="H484" s="1" t="s">
        <v>1805</v>
      </c>
      <c r="I484" s="1">
        <v>29.0</v>
      </c>
      <c r="J484" s="1">
        <v>3.0</v>
      </c>
      <c r="K484" s="2" t="s">
        <v>1806</v>
      </c>
      <c r="L484" s="2" t="s">
        <v>60</v>
      </c>
      <c r="M484" s="1" t="s">
        <v>1813</v>
      </c>
      <c r="N484" s="1" t="s">
        <v>1808</v>
      </c>
      <c r="O484" s="1" t="s">
        <v>92</v>
      </c>
      <c r="P484" s="1" t="s">
        <v>1809</v>
      </c>
      <c r="Q484" s="1">
        <v>20.13125</v>
      </c>
      <c r="R484" s="1">
        <v>-90.454556</v>
      </c>
      <c r="S484" s="1" t="s">
        <v>148</v>
      </c>
      <c r="T484" s="2" t="s">
        <v>194</v>
      </c>
      <c r="U484" s="2" t="s">
        <v>1683</v>
      </c>
      <c r="V484" s="3" t="s">
        <v>97</v>
      </c>
      <c r="W484" s="2" t="s">
        <v>1814</v>
      </c>
      <c r="X484" s="2" t="s">
        <v>70</v>
      </c>
      <c r="Y484" s="6" t="s">
        <v>76</v>
      </c>
      <c r="Z484" s="3" t="s">
        <v>76</v>
      </c>
      <c r="AB484" s="1">
        <v>3.0</v>
      </c>
      <c r="AI484" s="2" t="s">
        <v>72</v>
      </c>
      <c r="AJ484" s="1">
        <v>-2000.0</v>
      </c>
      <c r="AK484" s="1">
        <v>2000.0</v>
      </c>
      <c r="AL484" s="2" t="s">
        <v>73</v>
      </c>
      <c r="AM484" s="2" t="s">
        <v>72</v>
      </c>
      <c r="AN484" s="2" t="s">
        <v>524</v>
      </c>
      <c r="AO484" s="2" t="s">
        <v>72</v>
      </c>
      <c r="AQ484" s="2" t="s">
        <v>576</v>
      </c>
      <c r="AR484" s="2" t="s">
        <v>76</v>
      </c>
      <c r="AS484" s="1">
        <v>1050.0</v>
      </c>
      <c r="AT484" s="1">
        <v>1050.0</v>
      </c>
      <c r="AU484" s="1">
        <v>546.0</v>
      </c>
      <c r="AV484" s="1">
        <v>15.0</v>
      </c>
      <c r="AW484" s="1">
        <v>50.0</v>
      </c>
      <c r="AX484" s="1">
        <v>8249.0</v>
      </c>
      <c r="AY484" s="1">
        <v>1.0</v>
      </c>
      <c r="AZ484" s="1" t="s">
        <v>658</v>
      </c>
      <c r="BA484" s="1" t="s">
        <v>659</v>
      </c>
    </row>
    <row r="485">
      <c r="A485" s="1" t="s">
        <v>1815</v>
      </c>
      <c r="B485" s="1" t="s">
        <v>53</v>
      </c>
      <c r="C485" s="1">
        <v>1979.0</v>
      </c>
      <c r="D485" s="1" t="s">
        <v>1816</v>
      </c>
      <c r="E485" s="1" t="s">
        <v>1817</v>
      </c>
      <c r="F485" s="1" t="s">
        <v>1818</v>
      </c>
      <c r="I485" s="1">
        <v>206.0</v>
      </c>
      <c r="J485" s="1">
        <v>4416.0</v>
      </c>
      <c r="K485" s="2" t="s">
        <v>1819</v>
      </c>
      <c r="L485" s="2" t="s">
        <v>60</v>
      </c>
      <c r="M485" s="1" t="s">
        <v>1820</v>
      </c>
      <c r="N485" s="1" t="s">
        <v>62</v>
      </c>
      <c r="O485" s="1" t="s">
        <v>92</v>
      </c>
      <c r="P485" s="1" t="s">
        <v>1821</v>
      </c>
      <c r="Q485" s="1">
        <v>17.062554</v>
      </c>
      <c r="R485" s="1">
        <v>-89.405279</v>
      </c>
      <c r="S485" s="1" t="s">
        <v>148</v>
      </c>
      <c r="T485" s="2" t="s">
        <v>275</v>
      </c>
      <c r="U485" s="1" t="s">
        <v>173</v>
      </c>
      <c r="V485" s="3" t="s">
        <v>68</v>
      </c>
      <c r="W485" s="1" t="s">
        <v>278</v>
      </c>
      <c r="X485" s="1" t="s">
        <v>279</v>
      </c>
      <c r="Y485" s="6" t="s">
        <v>76</v>
      </c>
      <c r="Z485" s="3" t="s">
        <v>76</v>
      </c>
      <c r="AA485" s="1">
        <v>1.0</v>
      </c>
      <c r="AI485" s="2" t="s">
        <v>72</v>
      </c>
      <c r="AJ485" s="1">
        <v>-50.0</v>
      </c>
      <c r="AK485" s="1">
        <v>1950.0</v>
      </c>
      <c r="AL485" s="2" t="s">
        <v>100</v>
      </c>
      <c r="AM485" s="2" t="s">
        <v>72</v>
      </c>
      <c r="AN485" s="2" t="s">
        <v>72</v>
      </c>
      <c r="AO485" s="2" t="s">
        <v>101</v>
      </c>
      <c r="AQ485" s="2" t="s">
        <v>75</v>
      </c>
      <c r="AR485" s="2" t="s">
        <v>76</v>
      </c>
      <c r="AS485" s="1">
        <v>1794.0</v>
      </c>
      <c r="AT485" s="1">
        <v>259.0</v>
      </c>
      <c r="AU485" s="1">
        <v>723.0</v>
      </c>
      <c r="AV485" s="1">
        <v>40.0</v>
      </c>
      <c r="AW485" s="1">
        <v>146.0</v>
      </c>
      <c r="AX485" s="1">
        <v>5515.0</v>
      </c>
      <c r="AY485" s="1">
        <v>265.0</v>
      </c>
      <c r="AZ485" s="1" t="s">
        <v>133</v>
      </c>
      <c r="BA485" s="1" t="s">
        <v>121</v>
      </c>
    </row>
    <row r="486">
      <c r="A486" s="1" t="s">
        <v>1815</v>
      </c>
      <c r="B486" s="1" t="s">
        <v>53</v>
      </c>
      <c r="C486" s="1">
        <v>1979.0</v>
      </c>
      <c r="D486" s="1" t="s">
        <v>1816</v>
      </c>
      <c r="E486" s="1" t="s">
        <v>1817</v>
      </c>
      <c r="F486" s="1" t="s">
        <v>1818</v>
      </c>
      <c r="I486" s="1">
        <v>206.0</v>
      </c>
      <c r="J486" s="1">
        <v>4416.0</v>
      </c>
      <c r="K486" s="2" t="s">
        <v>1819</v>
      </c>
      <c r="L486" s="2" t="s">
        <v>60</v>
      </c>
      <c r="M486" s="1" t="s">
        <v>1822</v>
      </c>
      <c r="N486" s="1" t="s">
        <v>62</v>
      </c>
      <c r="O486" s="1" t="s">
        <v>92</v>
      </c>
      <c r="P486" s="1" t="s">
        <v>1823</v>
      </c>
      <c r="Q486" s="1">
        <v>17.061405</v>
      </c>
      <c r="R486" s="1">
        <v>-89.363565</v>
      </c>
      <c r="S486" s="1" t="s">
        <v>148</v>
      </c>
      <c r="T486" s="2" t="s">
        <v>275</v>
      </c>
      <c r="U486" s="1" t="s">
        <v>173</v>
      </c>
      <c r="V486" s="3" t="s">
        <v>68</v>
      </c>
      <c r="W486" s="1" t="s">
        <v>278</v>
      </c>
      <c r="X486" s="1" t="s">
        <v>279</v>
      </c>
      <c r="Y486" s="6" t="s">
        <v>76</v>
      </c>
      <c r="Z486" s="3" t="s">
        <v>76</v>
      </c>
      <c r="AA486" s="1">
        <v>1.0</v>
      </c>
      <c r="AI486" s="2" t="s">
        <v>72</v>
      </c>
      <c r="AJ486" s="1">
        <v>-2800.0</v>
      </c>
      <c r="AK486" s="1">
        <v>1950.0</v>
      </c>
      <c r="AL486" s="2" t="s">
        <v>100</v>
      </c>
      <c r="AM486" s="2" t="s">
        <v>72</v>
      </c>
      <c r="AN486" s="2" t="s">
        <v>72</v>
      </c>
      <c r="AO486" s="2" t="s">
        <v>101</v>
      </c>
      <c r="AQ486" s="2" t="s">
        <v>75</v>
      </c>
      <c r="AR486" s="2" t="s">
        <v>76</v>
      </c>
      <c r="AS486" s="1">
        <v>1804.0</v>
      </c>
      <c r="AT486" s="1">
        <v>1804.0</v>
      </c>
      <c r="AU486" s="1">
        <v>728.0</v>
      </c>
      <c r="AV486" s="1">
        <v>40.0</v>
      </c>
      <c r="AW486" s="1">
        <v>147.0</v>
      </c>
      <c r="AX486" s="1">
        <v>5487.0</v>
      </c>
      <c r="AY486" s="1">
        <v>275.0</v>
      </c>
      <c r="AZ486" s="1" t="s">
        <v>133</v>
      </c>
      <c r="BA486" s="1" t="s">
        <v>121</v>
      </c>
    </row>
    <row r="487">
      <c r="A487" s="1" t="s">
        <v>1815</v>
      </c>
      <c r="B487" s="1" t="s">
        <v>53</v>
      </c>
      <c r="C487" s="1">
        <v>1979.0</v>
      </c>
      <c r="D487" s="1" t="s">
        <v>1816</v>
      </c>
      <c r="E487" s="1" t="s">
        <v>1817</v>
      </c>
      <c r="F487" s="1" t="s">
        <v>1818</v>
      </c>
      <c r="I487" s="1">
        <v>206.0</v>
      </c>
      <c r="J487" s="1">
        <v>4416.0</v>
      </c>
      <c r="K487" s="2" t="s">
        <v>1819</v>
      </c>
      <c r="L487" s="2" t="s">
        <v>60</v>
      </c>
      <c r="M487" s="1" t="s">
        <v>1824</v>
      </c>
      <c r="N487" s="1" t="s">
        <v>62</v>
      </c>
      <c r="O487" s="1" t="s">
        <v>92</v>
      </c>
      <c r="P487" s="1" t="s">
        <v>1821</v>
      </c>
      <c r="Q487" s="1">
        <v>17.061405</v>
      </c>
      <c r="R487" s="1">
        <v>-89.363565</v>
      </c>
      <c r="S487" s="1" t="s">
        <v>148</v>
      </c>
      <c r="T487" s="2" t="s">
        <v>169</v>
      </c>
      <c r="U487" s="1" t="s">
        <v>1825</v>
      </c>
      <c r="V487" s="3" t="s">
        <v>68</v>
      </c>
      <c r="W487" s="2" t="s">
        <v>72</v>
      </c>
      <c r="X487" s="2" t="s">
        <v>1826</v>
      </c>
      <c r="Y487" s="6" t="s">
        <v>76</v>
      </c>
      <c r="Z487" s="3" t="s">
        <v>76</v>
      </c>
      <c r="AA487" s="1">
        <v>1.0</v>
      </c>
      <c r="AI487" s="2" t="s">
        <v>72</v>
      </c>
      <c r="AJ487" s="1">
        <v>-50.0</v>
      </c>
      <c r="AK487" s="1">
        <v>1950.0</v>
      </c>
      <c r="AL487" s="2" t="s">
        <v>100</v>
      </c>
      <c r="AM487" s="2" t="s">
        <v>72</v>
      </c>
      <c r="AN487" s="2" t="s">
        <v>72</v>
      </c>
      <c r="AO487" s="2" t="s">
        <v>101</v>
      </c>
      <c r="AQ487" s="2" t="s">
        <v>75</v>
      </c>
      <c r="AR487" s="2" t="s">
        <v>76</v>
      </c>
      <c r="AS487" s="1">
        <v>1804.0</v>
      </c>
      <c r="AT487" s="1">
        <v>1804.0</v>
      </c>
      <c r="AU487" s="1">
        <v>728.0</v>
      </c>
      <c r="AV487" s="1">
        <v>40.0</v>
      </c>
      <c r="AW487" s="1">
        <v>147.0</v>
      </c>
      <c r="AX487" s="1">
        <v>5487.0</v>
      </c>
      <c r="AY487" s="1">
        <v>275.0</v>
      </c>
      <c r="AZ487" s="1" t="s">
        <v>133</v>
      </c>
      <c r="BA487" s="1" t="s">
        <v>121</v>
      </c>
    </row>
    <row r="488">
      <c r="A488" s="1" t="s">
        <v>1815</v>
      </c>
      <c r="B488" s="1" t="s">
        <v>53</v>
      </c>
      <c r="C488" s="1">
        <v>1979.0</v>
      </c>
      <c r="D488" s="1" t="s">
        <v>1816</v>
      </c>
      <c r="E488" s="1" t="s">
        <v>1817</v>
      </c>
      <c r="F488" s="1" t="s">
        <v>1818</v>
      </c>
      <c r="I488" s="1">
        <v>206.0</v>
      </c>
      <c r="J488" s="1">
        <v>4416.0</v>
      </c>
      <c r="K488" s="2" t="s">
        <v>1819</v>
      </c>
      <c r="L488" s="2" t="s">
        <v>60</v>
      </c>
      <c r="M488" s="1" t="s">
        <v>1827</v>
      </c>
      <c r="N488" s="1" t="s">
        <v>62</v>
      </c>
      <c r="O488" s="1" t="s">
        <v>92</v>
      </c>
      <c r="P488" s="1" t="s">
        <v>1823</v>
      </c>
      <c r="Q488" s="1">
        <v>17.061405</v>
      </c>
      <c r="R488" s="1">
        <v>-89.363565</v>
      </c>
      <c r="S488" s="1" t="s">
        <v>148</v>
      </c>
      <c r="T488" s="2" t="s">
        <v>169</v>
      </c>
      <c r="U488" s="1" t="s">
        <v>1825</v>
      </c>
      <c r="V488" s="3" t="s">
        <v>68</v>
      </c>
      <c r="W488" s="2" t="s">
        <v>72</v>
      </c>
      <c r="X488" s="2" t="s">
        <v>1826</v>
      </c>
      <c r="Y488" s="6" t="s">
        <v>76</v>
      </c>
      <c r="Z488" s="3" t="s">
        <v>76</v>
      </c>
      <c r="AA488" s="1">
        <v>1.0</v>
      </c>
      <c r="AI488" s="2" t="s">
        <v>72</v>
      </c>
      <c r="AJ488" s="1">
        <v>-2800.0</v>
      </c>
      <c r="AK488" s="1">
        <v>1950.0</v>
      </c>
      <c r="AL488" s="2" t="s">
        <v>100</v>
      </c>
      <c r="AM488" s="2" t="s">
        <v>72</v>
      </c>
      <c r="AN488" s="2" t="s">
        <v>72</v>
      </c>
      <c r="AO488" s="2" t="s">
        <v>101</v>
      </c>
      <c r="AQ488" s="2" t="s">
        <v>75</v>
      </c>
      <c r="AR488" s="2" t="s">
        <v>76</v>
      </c>
      <c r="AS488" s="1">
        <v>1804.0</v>
      </c>
      <c r="AT488" s="1">
        <v>1804.0</v>
      </c>
      <c r="AU488" s="1">
        <v>728.0</v>
      </c>
      <c r="AV488" s="1">
        <v>40.0</v>
      </c>
      <c r="AW488" s="1">
        <v>147.0</v>
      </c>
      <c r="AX488" s="1">
        <v>5487.0</v>
      </c>
      <c r="AY488" s="1">
        <v>275.0</v>
      </c>
      <c r="AZ488" s="1" t="s">
        <v>133</v>
      </c>
      <c r="BA488" s="1" t="s">
        <v>121</v>
      </c>
    </row>
    <row r="489">
      <c r="A489" s="1" t="s">
        <v>1815</v>
      </c>
      <c r="B489" s="1" t="s">
        <v>53</v>
      </c>
      <c r="C489" s="1">
        <v>1979.0</v>
      </c>
      <c r="D489" s="1" t="s">
        <v>1816</v>
      </c>
      <c r="E489" s="1" t="s">
        <v>1817</v>
      </c>
      <c r="F489" s="1" t="s">
        <v>1818</v>
      </c>
      <c r="I489" s="1">
        <v>206.0</v>
      </c>
      <c r="J489" s="1">
        <v>4416.0</v>
      </c>
      <c r="K489" s="2" t="s">
        <v>1819</v>
      </c>
      <c r="L489" s="2" t="s">
        <v>60</v>
      </c>
      <c r="M489" s="1" t="s">
        <v>1828</v>
      </c>
      <c r="N489" s="1" t="s">
        <v>62</v>
      </c>
      <c r="O489" s="1" t="s">
        <v>92</v>
      </c>
      <c r="P489" s="1" t="s">
        <v>1821</v>
      </c>
      <c r="Q489" s="1">
        <v>17.062554</v>
      </c>
      <c r="R489" s="1">
        <v>-89.405279</v>
      </c>
      <c r="S489" s="1" t="s">
        <v>148</v>
      </c>
      <c r="T489" s="2" t="s">
        <v>66</v>
      </c>
      <c r="U489" s="1" t="s">
        <v>823</v>
      </c>
      <c r="V489" s="3" t="s">
        <v>68</v>
      </c>
      <c r="W489" s="2" t="s">
        <v>72</v>
      </c>
      <c r="X489" s="1" t="s">
        <v>70</v>
      </c>
      <c r="Y489" s="5" t="s">
        <v>76</v>
      </c>
      <c r="Z489" s="3" t="s">
        <v>76</v>
      </c>
      <c r="AA489" s="1">
        <v>1.0</v>
      </c>
      <c r="AI489" s="2" t="s">
        <v>72</v>
      </c>
      <c r="AJ489" s="1">
        <v>-50.0</v>
      </c>
      <c r="AK489" s="1">
        <v>1950.0</v>
      </c>
      <c r="AL489" s="2" t="s">
        <v>100</v>
      </c>
      <c r="AM489" s="2" t="s">
        <v>72</v>
      </c>
      <c r="AN489" s="2" t="s">
        <v>72</v>
      </c>
      <c r="AO489" s="2" t="s">
        <v>101</v>
      </c>
      <c r="AQ489" s="2" t="s">
        <v>75</v>
      </c>
      <c r="AR489" s="2" t="s">
        <v>76</v>
      </c>
      <c r="AS489" s="1">
        <v>1794.0</v>
      </c>
      <c r="AT489" s="1">
        <v>1794.0</v>
      </c>
      <c r="AU489" s="1">
        <v>723.0</v>
      </c>
      <c r="AV489" s="1">
        <v>40.0</v>
      </c>
      <c r="AW489" s="1">
        <v>146.0</v>
      </c>
      <c r="AX489" s="1">
        <v>5515.0</v>
      </c>
      <c r="AY489" s="1">
        <v>265.0</v>
      </c>
      <c r="AZ489" s="1" t="s">
        <v>133</v>
      </c>
      <c r="BA489" s="1" t="s">
        <v>121</v>
      </c>
    </row>
    <row r="490">
      <c r="A490" s="1" t="s">
        <v>1815</v>
      </c>
      <c r="B490" s="1" t="s">
        <v>53</v>
      </c>
      <c r="C490" s="1">
        <v>1979.0</v>
      </c>
      <c r="D490" s="1" t="s">
        <v>1816</v>
      </c>
      <c r="E490" s="1" t="s">
        <v>1817</v>
      </c>
      <c r="F490" s="1" t="s">
        <v>1818</v>
      </c>
      <c r="I490" s="1">
        <v>206.0</v>
      </c>
      <c r="J490" s="1">
        <v>4416.0</v>
      </c>
      <c r="K490" s="2" t="s">
        <v>1819</v>
      </c>
      <c r="L490" s="2" t="s">
        <v>60</v>
      </c>
      <c r="M490" s="1" t="s">
        <v>1829</v>
      </c>
      <c r="N490" s="1" t="s">
        <v>62</v>
      </c>
      <c r="O490" s="1" t="s">
        <v>92</v>
      </c>
      <c r="P490" s="1" t="s">
        <v>1823</v>
      </c>
      <c r="Q490" s="1">
        <v>17.061405</v>
      </c>
      <c r="R490" s="1">
        <v>-89.363565</v>
      </c>
      <c r="S490" s="1" t="s">
        <v>148</v>
      </c>
      <c r="T490" s="2" t="s">
        <v>66</v>
      </c>
      <c r="U490" s="1" t="s">
        <v>823</v>
      </c>
      <c r="V490" s="3" t="s">
        <v>68</v>
      </c>
      <c r="W490" s="2" t="s">
        <v>72</v>
      </c>
      <c r="X490" s="1" t="s">
        <v>70</v>
      </c>
      <c r="Y490" s="5" t="s">
        <v>76</v>
      </c>
      <c r="Z490" s="3" t="s">
        <v>76</v>
      </c>
      <c r="AA490" s="1">
        <v>1.0</v>
      </c>
      <c r="AI490" s="2" t="s">
        <v>72</v>
      </c>
      <c r="AJ490" s="1">
        <v>-2800.0</v>
      </c>
      <c r="AK490" s="1">
        <v>1950.0</v>
      </c>
      <c r="AL490" s="2" t="s">
        <v>100</v>
      </c>
      <c r="AM490" s="2" t="s">
        <v>72</v>
      </c>
      <c r="AN490" s="2" t="s">
        <v>72</v>
      </c>
      <c r="AO490" s="2" t="s">
        <v>101</v>
      </c>
      <c r="AQ490" s="2" t="s">
        <v>75</v>
      </c>
      <c r="AR490" s="2" t="s">
        <v>76</v>
      </c>
      <c r="AS490" s="1">
        <v>1804.0</v>
      </c>
      <c r="AT490" s="1">
        <v>1804.0</v>
      </c>
      <c r="AU490" s="1">
        <v>728.0</v>
      </c>
      <c r="AV490" s="1">
        <v>40.0</v>
      </c>
      <c r="AW490" s="1">
        <v>147.0</v>
      </c>
      <c r="AX490" s="1">
        <v>5487.0</v>
      </c>
      <c r="AY490" s="1">
        <v>275.0</v>
      </c>
      <c r="AZ490" s="1" t="s">
        <v>133</v>
      </c>
      <c r="BA490" s="1" t="s">
        <v>121</v>
      </c>
    </row>
    <row r="491">
      <c r="A491" s="1" t="s">
        <v>1830</v>
      </c>
      <c r="B491" s="1" t="s">
        <v>53</v>
      </c>
      <c r="C491" s="1">
        <v>2001.0</v>
      </c>
      <c r="D491" s="1" t="s">
        <v>1831</v>
      </c>
      <c r="E491" s="1" t="s">
        <v>1832</v>
      </c>
      <c r="F491" s="1" t="s">
        <v>1818</v>
      </c>
      <c r="G491" s="1" t="s">
        <v>1833</v>
      </c>
      <c r="H491" s="1" t="s">
        <v>1834</v>
      </c>
      <c r="I491" s="1">
        <v>292.0</v>
      </c>
      <c r="J491" s="1">
        <v>5520.0</v>
      </c>
      <c r="K491" s="2" t="s">
        <v>1835</v>
      </c>
      <c r="L491" s="2" t="s">
        <v>60</v>
      </c>
      <c r="M491" s="1" t="s">
        <v>1836</v>
      </c>
      <c r="N491" s="1" t="s">
        <v>62</v>
      </c>
      <c r="O491" s="1" t="s">
        <v>92</v>
      </c>
      <c r="P491" s="1" t="s">
        <v>466</v>
      </c>
      <c r="Q491" s="1">
        <v>19.87</v>
      </c>
      <c r="R491" s="1">
        <v>-88.77</v>
      </c>
      <c r="S491" s="1" t="s">
        <v>148</v>
      </c>
      <c r="T491" s="2" t="s">
        <v>95</v>
      </c>
      <c r="U491" s="2" t="s">
        <v>96</v>
      </c>
      <c r="V491" s="3" t="s">
        <v>97</v>
      </c>
      <c r="W491" s="2" t="s">
        <v>72</v>
      </c>
      <c r="X491" s="1" t="s">
        <v>256</v>
      </c>
      <c r="Y491" s="6" t="s">
        <v>76</v>
      </c>
      <c r="Z491" s="3" t="s">
        <v>76</v>
      </c>
      <c r="AB491" s="1">
        <v>9.0</v>
      </c>
      <c r="AI491" s="2" t="s">
        <v>72</v>
      </c>
      <c r="AJ491" s="1">
        <v>-650.0</v>
      </c>
      <c r="AK491" s="1">
        <v>2000.0</v>
      </c>
      <c r="AL491" s="2" t="s">
        <v>73</v>
      </c>
      <c r="AM491" s="2" t="s">
        <v>72</v>
      </c>
      <c r="AN491" s="2" t="s">
        <v>400</v>
      </c>
      <c r="AO491" s="2" t="s">
        <v>76</v>
      </c>
      <c r="AQ491" s="2" t="s">
        <v>102</v>
      </c>
      <c r="AR491" s="2" t="s">
        <v>76</v>
      </c>
      <c r="AS491" s="1">
        <v>1244.0</v>
      </c>
      <c r="AT491" s="1">
        <v>1244.0</v>
      </c>
      <c r="AU491" s="1">
        <v>548.0</v>
      </c>
      <c r="AV491" s="1">
        <v>31.0</v>
      </c>
      <c r="AW491" s="1">
        <v>105.0</v>
      </c>
      <c r="AX491" s="1">
        <v>6267.0</v>
      </c>
      <c r="AY491" s="1">
        <v>36.0</v>
      </c>
      <c r="AZ491" s="1" t="s">
        <v>239</v>
      </c>
      <c r="BA491" s="1" t="s">
        <v>121</v>
      </c>
    </row>
    <row r="492">
      <c r="A492" s="1" t="s">
        <v>1830</v>
      </c>
      <c r="B492" s="1" t="s">
        <v>53</v>
      </c>
      <c r="C492" s="1">
        <v>2001.0</v>
      </c>
      <c r="D492" s="1" t="s">
        <v>1831</v>
      </c>
      <c r="E492" s="1" t="s">
        <v>1832</v>
      </c>
      <c r="F492" s="1" t="s">
        <v>1818</v>
      </c>
      <c r="G492" s="1" t="s">
        <v>1833</v>
      </c>
      <c r="H492" s="1" t="s">
        <v>1834</v>
      </c>
      <c r="I492" s="1">
        <v>292.0</v>
      </c>
      <c r="J492" s="1">
        <v>5520.0</v>
      </c>
      <c r="K492" s="2" t="s">
        <v>1835</v>
      </c>
      <c r="L492" s="2" t="s">
        <v>60</v>
      </c>
      <c r="M492" s="1" t="s">
        <v>1837</v>
      </c>
      <c r="N492" s="1" t="s">
        <v>62</v>
      </c>
      <c r="O492" s="1" t="s">
        <v>92</v>
      </c>
      <c r="P492" s="1" t="s">
        <v>466</v>
      </c>
      <c r="Q492" s="1">
        <v>19.87</v>
      </c>
      <c r="R492" s="1">
        <v>-88.77</v>
      </c>
      <c r="S492" s="1" t="s">
        <v>148</v>
      </c>
      <c r="T492" s="2" t="s">
        <v>189</v>
      </c>
      <c r="U492" s="2" t="s">
        <v>96</v>
      </c>
      <c r="V492" s="3" t="s">
        <v>97</v>
      </c>
      <c r="W492" s="1" t="s">
        <v>1838</v>
      </c>
      <c r="X492" s="1" t="s">
        <v>256</v>
      </c>
      <c r="Y492" s="6" t="s">
        <v>76</v>
      </c>
      <c r="Z492" s="3" t="s">
        <v>76</v>
      </c>
      <c r="AB492" s="1">
        <v>9.0</v>
      </c>
      <c r="AI492" s="2" t="s">
        <v>72</v>
      </c>
      <c r="AJ492" s="1">
        <v>-650.0</v>
      </c>
      <c r="AK492" s="1">
        <v>2000.0</v>
      </c>
      <c r="AL492" s="2" t="s">
        <v>73</v>
      </c>
      <c r="AM492" s="2" t="s">
        <v>72</v>
      </c>
      <c r="AN492" s="2" t="s">
        <v>400</v>
      </c>
      <c r="AO492" s="2" t="s">
        <v>76</v>
      </c>
      <c r="AQ492" s="2" t="s">
        <v>102</v>
      </c>
      <c r="AR492" s="2" t="s">
        <v>76</v>
      </c>
      <c r="AS492" s="1">
        <v>1244.0</v>
      </c>
      <c r="AT492" s="1">
        <v>1244.0</v>
      </c>
      <c r="AU492" s="1">
        <v>548.0</v>
      </c>
      <c r="AV492" s="1">
        <v>31.0</v>
      </c>
      <c r="AW492" s="1">
        <v>105.0</v>
      </c>
      <c r="AX492" s="1">
        <v>6267.0</v>
      </c>
      <c r="AY492" s="1">
        <v>36.0</v>
      </c>
      <c r="AZ492" s="1" t="s">
        <v>239</v>
      </c>
      <c r="BA492" s="1" t="s">
        <v>121</v>
      </c>
    </row>
    <row r="493">
      <c r="A493" s="1" t="s">
        <v>1839</v>
      </c>
      <c r="B493" s="1" t="s">
        <v>53</v>
      </c>
      <c r="C493" s="1">
        <v>2001.0</v>
      </c>
      <c r="D493" s="1" t="s">
        <v>1840</v>
      </c>
      <c r="E493" s="1" t="s">
        <v>1841</v>
      </c>
      <c r="F493" s="1" t="s">
        <v>1818</v>
      </c>
      <c r="G493" s="1" t="s">
        <v>1842</v>
      </c>
      <c r="H493" s="1" t="s">
        <v>1843</v>
      </c>
      <c r="I493" s="1">
        <v>292.0</v>
      </c>
      <c r="J493" s="1">
        <v>5520.0</v>
      </c>
      <c r="K493" s="2" t="s">
        <v>1844</v>
      </c>
      <c r="L493" s="2" t="s">
        <v>76</v>
      </c>
      <c r="M493" s="1" t="s">
        <v>1839</v>
      </c>
      <c r="N493" s="1" t="s">
        <v>62</v>
      </c>
      <c r="O493" s="1" t="s">
        <v>92</v>
      </c>
      <c r="P493" s="1" t="s">
        <v>1399</v>
      </c>
      <c r="Q493" s="1">
        <v>18.140625</v>
      </c>
      <c r="R493" s="1">
        <v>-93.988578</v>
      </c>
      <c r="S493" s="1" t="s">
        <v>148</v>
      </c>
      <c r="T493" s="2" t="s">
        <v>66</v>
      </c>
      <c r="U493" s="3" t="s">
        <v>67</v>
      </c>
      <c r="V493" s="3" t="s">
        <v>68</v>
      </c>
      <c r="W493" s="2" t="s">
        <v>72</v>
      </c>
      <c r="X493" s="2" t="s">
        <v>72</v>
      </c>
      <c r="Y493" s="5" t="s">
        <v>60</v>
      </c>
      <c r="Z493" s="3" t="s">
        <v>71</v>
      </c>
      <c r="AA493" s="1">
        <v>1.0</v>
      </c>
      <c r="AB493" s="1">
        <v>25.0</v>
      </c>
      <c r="AI493" s="1" t="s">
        <v>1845</v>
      </c>
      <c r="AJ493" s="1">
        <v>-5100.0</v>
      </c>
      <c r="AK493" s="1">
        <v>-399.0</v>
      </c>
      <c r="AL493" s="3" t="s">
        <v>73</v>
      </c>
      <c r="AM493" s="2" t="s">
        <v>76</v>
      </c>
      <c r="AN493" s="2" t="s">
        <v>72</v>
      </c>
      <c r="AO493" s="2" t="s">
        <v>72</v>
      </c>
      <c r="AQ493" s="2" t="s">
        <v>75</v>
      </c>
      <c r="AR493" s="2" t="s">
        <v>76</v>
      </c>
      <c r="AS493" s="1">
        <v>2413.0</v>
      </c>
      <c r="AT493" s="1">
        <v>2413.0</v>
      </c>
      <c r="AU493" s="1">
        <v>1084.0</v>
      </c>
      <c r="AV493" s="1">
        <v>46.0</v>
      </c>
      <c r="AW493" s="1">
        <v>172.0</v>
      </c>
      <c r="AX493" s="1">
        <v>6130.0</v>
      </c>
      <c r="AY493" s="1">
        <v>3.0</v>
      </c>
      <c r="AZ493" s="1" t="s">
        <v>133</v>
      </c>
      <c r="BA493" s="1" t="s">
        <v>121</v>
      </c>
    </row>
    <row r="494">
      <c r="A494" s="1" t="s">
        <v>1846</v>
      </c>
      <c r="B494" s="1" t="s">
        <v>53</v>
      </c>
      <c r="C494" s="1">
        <v>2012.0</v>
      </c>
      <c r="D494" s="1" t="s">
        <v>1847</v>
      </c>
      <c r="E494" s="1" t="s">
        <v>1848</v>
      </c>
      <c r="F494" s="1" t="s">
        <v>1818</v>
      </c>
      <c r="G494" s="1" t="s">
        <v>1849</v>
      </c>
      <c r="H494" s="1" t="s">
        <v>1850</v>
      </c>
      <c r="I494" s="1">
        <v>338.0</v>
      </c>
      <c r="J494" s="1">
        <v>6108.0</v>
      </c>
      <c r="K494" s="2" t="s">
        <v>1851</v>
      </c>
      <c r="L494" s="2" t="s">
        <v>60</v>
      </c>
      <c r="M494" s="1" t="s">
        <v>1852</v>
      </c>
      <c r="N494" s="1" t="s">
        <v>62</v>
      </c>
      <c r="O494" s="1" t="s">
        <v>187</v>
      </c>
      <c r="P494" s="1" t="s">
        <v>1251</v>
      </c>
      <c r="Q494" s="1">
        <v>16.208333</v>
      </c>
      <c r="R494" s="1">
        <v>-89.073333</v>
      </c>
      <c r="S494" s="1" t="s">
        <v>94</v>
      </c>
      <c r="T494" s="2" t="s">
        <v>135</v>
      </c>
      <c r="U494" s="2" t="s">
        <v>96</v>
      </c>
      <c r="V494" s="3" t="s">
        <v>97</v>
      </c>
      <c r="W494" s="1" t="s">
        <v>1853</v>
      </c>
      <c r="X494" s="2" t="s">
        <v>99</v>
      </c>
      <c r="Y494" s="6" t="s">
        <v>76</v>
      </c>
      <c r="Z494" s="3" t="s">
        <v>76</v>
      </c>
      <c r="AF494" s="1">
        <v>40.0</v>
      </c>
      <c r="AJ494" s="1">
        <v>-40.0</v>
      </c>
      <c r="AK494" s="1">
        <v>2006.0</v>
      </c>
      <c r="AL494" s="2" t="s">
        <v>153</v>
      </c>
      <c r="AM494" s="2" t="s">
        <v>60</v>
      </c>
      <c r="AN494" s="2" t="s">
        <v>101</v>
      </c>
      <c r="AO494" s="2" t="s">
        <v>101</v>
      </c>
      <c r="AQ494" s="2" t="s">
        <v>102</v>
      </c>
      <c r="AR494" s="2" t="s">
        <v>60</v>
      </c>
      <c r="AS494" s="1">
        <v>3337.0</v>
      </c>
      <c r="AT494" s="1">
        <v>3337.0</v>
      </c>
      <c r="AU494" s="1">
        <v>1668.0</v>
      </c>
      <c r="AV494" s="1">
        <v>70.0</v>
      </c>
      <c r="AW494" s="1">
        <v>252.0</v>
      </c>
      <c r="AX494" s="1">
        <v>7076.0</v>
      </c>
      <c r="AY494" s="1">
        <v>262.0</v>
      </c>
      <c r="AZ494" s="1" t="s">
        <v>133</v>
      </c>
      <c r="BA494" s="1" t="s">
        <v>121</v>
      </c>
    </row>
    <row r="495">
      <c r="A495" s="1" t="s">
        <v>1846</v>
      </c>
      <c r="B495" s="1" t="s">
        <v>53</v>
      </c>
      <c r="C495" s="1">
        <v>2012.0</v>
      </c>
      <c r="D495" s="1" t="s">
        <v>1847</v>
      </c>
      <c r="E495" s="1" t="s">
        <v>1848</v>
      </c>
      <c r="F495" s="1" t="s">
        <v>1818</v>
      </c>
      <c r="G495" s="1" t="s">
        <v>1849</v>
      </c>
      <c r="H495" s="1" t="s">
        <v>1850</v>
      </c>
      <c r="I495" s="1">
        <v>338.0</v>
      </c>
      <c r="J495" s="1">
        <v>6108.0</v>
      </c>
      <c r="K495" s="2" t="s">
        <v>1851</v>
      </c>
      <c r="L495" s="2" t="s">
        <v>60</v>
      </c>
      <c r="M495" s="1" t="s">
        <v>1854</v>
      </c>
      <c r="N495" s="1" t="s">
        <v>62</v>
      </c>
      <c r="O495" s="1" t="s">
        <v>187</v>
      </c>
      <c r="P495" s="1" t="s">
        <v>1251</v>
      </c>
      <c r="Q495" s="1">
        <v>16.208333</v>
      </c>
      <c r="R495" s="1">
        <v>-89.073333</v>
      </c>
      <c r="S495" s="1" t="s">
        <v>94</v>
      </c>
      <c r="T495" s="2" t="s">
        <v>95</v>
      </c>
      <c r="U495" s="2" t="s">
        <v>96</v>
      </c>
      <c r="V495" s="3" t="s">
        <v>97</v>
      </c>
      <c r="W495" s="1" t="s">
        <v>1853</v>
      </c>
      <c r="X495" s="2" t="s">
        <v>99</v>
      </c>
      <c r="Y495" s="6" t="s">
        <v>76</v>
      </c>
      <c r="Z495" s="3" t="s">
        <v>76</v>
      </c>
      <c r="AF495" s="1">
        <v>40.0</v>
      </c>
      <c r="AJ495" s="1">
        <v>-40.0</v>
      </c>
      <c r="AK495" s="1">
        <v>2006.0</v>
      </c>
      <c r="AL495" s="2" t="s">
        <v>153</v>
      </c>
      <c r="AM495" s="2" t="s">
        <v>60</v>
      </c>
      <c r="AN495" s="2" t="s">
        <v>101</v>
      </c>
      <c r="AO495" s="2" t="s">
        <v>101</v>
      </c>
      <c r="AQ495" s="2" t="s">
        <v>102</v>
      </c>
      <c r="AR495" s="2" t="s">
        <v>60</v>
      </c>
      <c r="AS495" s="1">
        <v>3337.0</v>
      </c>
      <c r="AT495" s="1">
        <v>3337.0</v>
      </c>
      <c r="AU495" s="1">
        <v>1668.0</v>
      </c>
      <c r="AV495" s="1">
        <v>70.0</v>
      </c>
      <c r="AW495" s="1">
        <v>252.0</v>
      </c>
      <c r="AX495" s="1">
        <v>7076.0</v>
      </c>
      <c r="AY495" s="1">
        <v>262.0</v>
      </c>
      <c r="AZ495" s="1" t="s">
        <v>133</v>
      </c>
      <c r="BA495" s="1" t="s">
        <v>121</v>
      </c>
    </row>
    <row r="496">
      <c r="A496" s="1" t="s">
        <v>1855</v>
      </c>
      <c r="B496" s="1" t="s">
        <v>53</v>
      </c>
      <c r="C496" s="1">
        <v>2018.0</v>
      </c>
      <c r="D496" s="1" t="s">
        <v>1856</v>
      </c>
      <c r="E496" s="1" t="s">
        <v>1857</v>
      </c>
      <c r="F496" s="1" t="s">
        <v>1858</v>
      </c>
      <c r="G496" s="1" t="s">
        <v>1859</v>
      </c>
      <c r="H496" s="1" t="s">
        <v>1860</v>
      </c>
      <c r="I496" s="1">
        <v>630.0</v>
      </c>
      <c r="K496" s="2" t="s">
        <v>1861</v>
      </c>
      <c r="L496" s="2" t="s">
        <v>60</v>
      </c>
      <c r="M496" s="1" t="s">
        <v>1862</v>
      </c>
      <c r="N496" s="1" t="s">
        <v>62</v>
      </c>
      <c r="O496" s="1" t="s">
        <v>737</v>
      </c>
      <c r="P496" s="1" t="s">
        <v>1863</v>
      </c>
      <c r="Q496" s="1">
        <v>13.192232</v>
      </c>
      <c r="R496" s="1">
        <v>-88.398807</v>
      </c>
      <c r="S496" s="3" t="s">
        <v>1864</v>
      </c>
      <c r="T496" s="2" t="s">
        <v>169</v>
      </c>
      <c r="U496" s="3" t="s">
        <v>1597</v>
      </c>
      <c r="V496" s="3" t="s">
        <v>97</v>
      </c>
      <c r="W496" s="1" t="s">
        <v>1865</v>
      </c>
      <c r="X496" s="1" t="s">
        <v>70</v>
      </c>
      <c r="Y496" s="6" t="s">
        <v>76</v>
      </c>
      <c r="Z496" s="3" t="s">
        <v>76</v>
      </c>
      <c r="AD496" s="2" t="s">
        <v>72</v>
      </c>
      <c r="AI496" s="2" t="s">
        <v>72</v>
      </c>
      <c r="AJ496" s="1">
        <v>1982.0</v>
      </c>
      <c r="AK496" s="1">
        <v>2012.0</v>
      </c>
      <c r="AL496" s="2" t="s">
        <v>153</v>
      </c>
      <c r="AM496" s="2" t="s">
        <v>72</v>
      </c>
      <c r="AN496" s="2" t="s">
        <v>72</v>
      </c>
      <c r="AO496" s="2" t="s">
        <v>101</v>
      </c>
      <c r="AQ496" s="2" t="s">
        <v>576</v>
      </c>
      <c r="AR496" s="2" t="s">
        <v>76</v>
      </c>
      <c r="AS496" s="1">
        <v>1897.0</v>
      </c>
      <c r="AT496" s="1">
        <v>1897.0</v>
      </c>
      <c r="AU496" s="1">
        <v>1018.0</v>
      </c>
      <c r="AV496" s="1">
        <v>0.0</v>
      </c>
      <c r="AW496" s="1">
        <v>7.0</v>
      </c>
      <c r="AX496" s="1">
        <v>9916.0</v>
      </c>
      <c r="AY496" s="1">
        <v>3.0</v>
      </c>
      <c r="AZ496" s="1" t="s">
        <v>1162</v>
      </c>
      <c r="BA496" s="1" t="s">
        <v>659</v>
      </c>
    </row>
    <row r="497">
      <c r="A497" s="1" t="s">
        <v>1855</v>
      </c>
      <c r="B497" s="1" t="s">
        <v>53</v>
      </c>
      <c r="C497" s="1">
        <v>2018.0</v>
      </c>
      <c r="D497" s="1" t="s">
        <v>1856</v>
      </c>
      <c r="E497" s="1" t="s">
        <v>1857</v>
      </c>
      <c r="F497" s="1" t="s">
        <v>1858</v>
      </c>
      <c r="G497" s="1" t="s">
        <v>1859</v>
      </c>
      <c r="H497" s="1" t="s">
        <v>1860</v>
      </c>
      <c r="I497" s="1">
        <v>630.0</v>
      </c>
      <c r="K497" s="2" t="s">
        <v>1861</v>
      </c>
      <c r="L497" s="2" t="s">
        <v>60</v>
      </c>
      <c r="M497" s="1" t="s">
        <v>1866</v>
      </c>
      <c r="N497" s="1" t="s">
        <v>62</v>
      </c>
      <c r="O497" s="1" t="s">
        <v>737</v>
      </c>
      <c r="P497" s="1" t="s">
        <v>1863</v>
      </c>
      <c r="Q497" s="1">
        <v>13.256202</v>
      </c>
      <c r="R497" s="1">
        <v>-88.493592</v>
      </c>
      <c r="S497" s="3" t="s">
        <v>1864</v>
      </c>
      <c r="T497" s="2" t="s">
        <v>169</v>
      </c>
      <c r="U497" s="3" t="s">
        <v>1597</v>
      </c>
      <c r="V497" s="3" t="s">
        <v>97</v>
      </c>
      <c r="W497" s="1" t="s">
        <v>1865</v>
      </c>
      <c r="X497" s="1" t="s">
        <v>70</v>
      </c>
      <c r="Y497" s="6" t="s">
        <v>76</v>
      </c>
      <c r="Z497" s="3" t="s">
        <v>76</v>
      </c>
      <c r="AD497" s="2" t="s">
        <v>72</v>
      </c>
      <c r="AI497" s="2" t="s">
        <v>72</v>
      </c>
      <c r="AJ497" s="1">
        <v>1982.0</v>
      </c>
      <c r="AK497" s="1">
        <v>2012.0</v>
      </c>
      <c r="AL497" s="2" t="s">
        <v>153</v>
      </c>
      <c r="AM497" s="2" t="s">
        <v>72</v>
      </c>
      <c r="AN497" s="2" t="s">
        <v>72</v>
      </c>
      <c r="AO497" s="2" t="s">
        <v>101</v>
      </c>
      <c r="AQ497" s="2" t="s">
        <v>576</v>
      </c>
      <c r="AR497" s="2" t="s">
        <v>76</v>
      </c>
      <c r="AS497" s="1">
        <v>1898.0</v>
      </c>
      <c r="AT497" s="1">
        <v>1898.0</v>
      </c>
      <c r="AU497" s="1">
        <v>1014.0</v>
      </c>
      <c r="AV497" s="1">
        <v>1.0</v>
      </c>
      <c r="AW497" s="1">
        <v>7.0</v>
      </c>
      <c r="AX497" s="1">
        <v>9893.0</v>
      </c>
      <c r="AY497" s="1">
        <v>13.0</v>
      </c>
      <c r="AZ497" s="1" t="s">
        <v>1162</v>
      </c>
      <c r="BA497" s="1" t="s">
        <v>659</v>
      </c>
    </row>
    <row r="498">
      <c r="A498" s="1" t="s">
        <v>1855</v>
      </c>
      <c r="B498" s="1" t="s">
        <v>53</v>
      </c>
      <c r="C498" s="1">
        <v>2018.0</v>
      </c>
      <c r="D498" s="1" t="s">
        <v>1856</v>
      </c>
      <c r="E498" s="1" t="s">
        <v>1857</v>
      </c>
      <c r="F498" s="1" t="s">
        <v>1858</v>
      </c>
      <c r="G498" s="1" t="s">
        <v>1859</v>
      </c>
      <c r="H498" s="1" t="s">
        <v>1860</v>
      </c>
      <c r="I498" s="1">
        <v>630.0</v>
      </c>
      <c r="K498" s="2" t="s">
        <v>1861</v>
      </c>
      <c r="L498" s="2" t="s">
        <v>60</v>
      </c>
      <c r="M498" s="1" t="s">
        <v>1867</v>
      </c>
      <c r="N498" s="1" t="s">
        <v>62</v>
      </c>
      <c r="O498" s="1" t="s">
        <v>92</v>
      </c>
      <c r="P498" s="1" t="s">
        <v>1868</v>
      </c>
      <c r="Q498" s="1">
        <v>19.613729</v>
      </c>
      <c r="R498" s="1">
        <v>-87.45764</v>
      </c>
      <c r="S498" s="3" t="s">
        <v>1864</v>
      </c>
      <c r="T498" s="2" t="s">
        <v>169</v>
      </c>
      <c r="U498" s="3" t="s">
        <v>1597</v>
      </c>
      <c r="V498" s="3" t="s">
        <v>97</v>
      </c>
      <c r="W498" s="1" t="s">
        <v>1865</v>
      </c>
      <c r="X498" s="1" t="s">
        <v>70</v>
      </c>
      <c r="Y498" s="6" t="s">
        <v>76</v>
      </c>
      <c r="Z498" s="3" t="s">
        <v>76</v>
      </c>
      <c r="AD498" s="2" t="s">
        <v>72</v>
      </c>
      <c r="AI498" s="2" t="s">
        <v>72</v>
      </c>
      <c r="AJ498" s="1">
        <v>1983.0</v>
      </c>
      <c r="AK498" s="1">
        <v>2012.0</v>
      </c>
      <c r="AL498" s="2" t="s">
        <v>153</v>
      </c>
      <c r="AM498" s="2" t="s">
        <v>72</v>
      </c>
      <c r="AN498" s="2" t="s">
        <v>72</v>
      </c>
      <c r="AO498" s="2" t="s">
        <v>101</v>
      </c>
      <c r="AQ498" s="2" t="s">
        <v>576</v>
      </c>
      <c r="AR498" s="2" t="s">
        <v>76</v>
      </c>
      <c r="AS498" s="1">
        <v>1316.0</v>
      </c>
      <c r="AT498" s="1">
        <v>1316.0</v>
      </c>
      <c r="AU498" s="1">
        <v>538.0</v>
      </c>
      <c r="AV498" s="1">
        <v>35.0</v>
      </c>
      <c r="AW498" s="1">
        <v>131.0</v>
      </c>
      <c r="AX498" s="1">
        <v>5276.0</v>
      </c>
      <c r="AY498" s="1">
        <v>1.0</v>
      </c>
      <c r="AZ498" s="1" t="s">
        <v>658</v>
      </c>
      <c r="BA498" s="1" t="s">
        <v>659</v>
      </c>
    </row>
    <row r="499">
      <c r="A499" s="1" t="s">
        <v>1855</v>
      </c>
      <c r="B499" s="1" t="s">
        <v>53</v>
      </c>
      <c r="C499" s="1">
        <v>2018.0</v>
      </c>
      <c r="D499" s="1" t="s">
        <v>1856</v>
      </c>
      <c r="E499" s="1" t="s">
        <v>1857</v>
      </c>
      <c r="F499" s="1" t="s">
        <v>1858</v>
      </c>
      <c r="G499" s="1" t="s">
        <v>1859</v>
      </c>
      <c r="H499" s="1" t="s">
        <v>1860</v>
      </c>
      <c r="I499" s="1">
        <v>630.0</v>
      </c>
      <c r="K499" s="2" t="s">
        <v>1861</v>
      </c>
      <c r="L499" s="2" t="s">
        <v>60</v>
      </c>
      <c r="M499" s="1" t="s">
        <v>1869</v>
      </c>
      <c r="N499" s="1" t="s">
        <v>62</v>
      </c>
      <c r="O499" s="1" t="s">
        <v>92</v>
      </c>
      <c r="P499" s="1" t="s">
        <v>1870</v>
      </c>
      <c r="Q499" s="1">
        <v>19.703751</v>
      </c>
      <c r="R499" s="1">
        <v>-87.484473</v>
      </c>
      <c r="S499" s="3" t="s">
        <v>1864</v>
      </c>
      <c r="T499" s="2" t="s">
        <v>169</v>
      </c>
      <c r="U499" s="3" t="s">
        <v>1597</v>
      </c>
      <c r="V499" s="3" t="s">
        <v>97</v>
      </c>
      <c r="W499" s="1" t="s">
        <v>1865</v>
      </c>
      <c r="X499" s="1" t="s">
        <v>70</v>
      </c>
      <c r="Y499" s="6" t="s">
        <v>76</v>
      </c>
      <c r="Z499" s="3" t="s">
        <v>76</v>
      </c>
      <c r="AD499" s="2" t="s">
        <v>72</v>
      </c>
      <c r="AI499" s="2" t="s">
        <v>72</v>
      </c>
      <c r="AJ499" s="1">
        <v>1983.0</v>
      </c>
      <c r="AK499" s="1">
        <v>2012.0</v>
      </c>
      <c r="AL499" s="2" t="s">
        <v>153</v>
      </c>
      <c r="AM499" s="2" t="s">
        <v>72</v>
      </c>
      <c r="AN499" s="2" t="s">
        <v>72</v>
      </c>
      <c r="AO499" s="2" t="s">
        <v>101</v>
      </c>
      <c r="AQ499" s="2" t="s">
        <v>576</v>
      </c>
      <c r="AR499" s="2" t="s">
        <v>76</v>
      </c>
      <c r="AS499" s="1">
        <v>1289.0</v>
      </c>
      <c r="AT499" s="1">
        <v>1289.0</v>
      </c>
      <c r="AU499" s="1">
        <v>534.0</v>
      </c>
      <c r="AV499" s="1">
        <v>35.0</v>
      </c>
      <c r="AW499" s="1">
        <v>128.0</v>
      </c>
      <c r="AX499" s="1">
        <v>5381.0</v>
      </c>
      <c r="AY499" s="1">
        <v>1.0</v>
      </c>
      <c r="AZ499" s="1" t="s">
        <v>658</v>
      </c>
      <c r="BA499" s="1" t="s">
        <v>659</v>
      </c>
    </row>
    <row r="500">
      <c r="A500" s="1" t="s">
        <v>1871</v>
      </c>
      <c r="B500" s="1" t="s">
        <v>53</v>
      </c>
      <c r="C500" s="1">
        <v>1996.0</v>
      </c>
      <c r="D500" s="1" t="s">
        <v>1872</v>
      </c>
      <c r="E500" s="1" t="s">
        <v>1873</v>
      </c>
      <c r="F500" s="1" t="s">
        <v>1874</v>
      </c>
      <c r="G500" s="1" t="s">
        <v>1875</v>
      </c>
      <c r="H500" s="1" t="s">
        <v>1876</v>
      </c>
      <c r="I500" s="1">
        <v>124.0</v>
      </c>
      <c r="K500" s="2" t="s">
        <v>1877</v>
      </c>
      <c r="L500" s="2" t="s">
        <v>60</v>
      </c>
      <c r="M500" s="1" t="s">
        <v>1878</v>
      </c>
      <c r="N500" s="1" t="s">
        <v>62</v>
      </c>
      <c r="O500" s="1" t="s">
        <v>112</v>
      </c>
      <c r="P500" s="1" t="s">
        <v>1644</v>
      </c>
      <c r="Q500" s="1">
        <v>9.833333</v>
      </c>
      <c r="R500" s="1">
        <v>-84.0</v>
      </c>
      <c r="S500" s="1" t="s">
        <v>148</v>
      </c>
      <c r="T500" s="2" t="s">
        <v>66</v>
      </c>
      <c r="U500" s="1" t="s">
        <v>1287</v>
      </c>
      <c r="V500" s="3" t="s">
        <v>788</v>
      </c>
      <c r="W500" s="1" t="s">
        <v>1879</v>
      </c>
      <c r="X500" s="2" t="s">
        <v>83</v>
      </c>
      <c r="Y500" s="5" t="s">
        <v>76</v>
      </c>
      <c r="Z500" s="3" t="s">
        <v>76</v>
      </c>
      <c r="AA500" s="1">
        <v>1.0</v>
      </c>
      <c r="AI500" s="2" t="s">
        <v>72</v>
      </c>
      <c r="AJ500" s="2" t="s">
        <v>72</v>
      </c>
      <c r="AK500" s="2" t="s">
        <v>72</v>
      </c>
      <c r="AL500" s="2" t="s">
        <v>100</v>
      </c>
      <c r="AM500" s="2" t="s">
        <v>72</v>
      </c>
      <c r="AN500" s="2" t="s">
        <v>72</v>
      </c>
      <c r="AO500" s="2" t="s">
        <v>72</v>
      </c>
      <c r="AQ500" s="2" t="s">
        <v>75</v>
      </c>
      <c r="AR500" s="2" t="s">
        <v>76</v>
      </c>
      <c r="AS500" s="1">
        <v>2289.0</v>
      </c>
      <c r="AT500" s="1">
        <v>2289.0</v>
      </c>
      <c r="AU500" s="1">
        <v>927.0</v>
      </c>
      <c r="AV500" s="1">
        <v>22.0</v>
      </c>
      <c r="AW500" s="1">
        <v>134.0</v>
      </c>
      <c r="AX500" s="1">
        <v>6580.0</v>
      </c>
      <c r="AY500" s="1">
        <v>1577.0</v>
      </c>
      <c r="AZ500" s="1" t="s">
        <v>627</v>
      </c>
      <c r="BA500" s="1" t="s">
        <v>121</v>
      </c>
    </row>
    <row r="501">
      <c r="A501" s="1" t="s">
        <v>1871</v>
      </c>
      <c r="B501" s="1" t="s">
        <v>53</v>
      </c>
      <c r="C501" s="1">
        <v>1996.0</v>
      </c>
      <c r="D501" s="1" t="s">
        <v>1872</v>
      </c>
      <c r="E501" s="1" t="s">
        <v>1873</v>
      </c>
      <c r="F501" s="1" t="s">
        <v>1874</v>
      </c>
      <c r="G501" s="1" t="s">
        <v>1875</v>
      </c>
      <c r="H501" s="1" t="s">
        <v>1876</v>
      </c>
      <c r="I501" s="1">
        <v>124.0</v>
      </c>
      <c r="K501" s="2" t="s">
        <v>1877</v>
      </c>
      <c r="L501" s="2" t="s">
        <v>60</v>
      </c>
      <c r="M501" s="1" t="s">
        <v>1880</v>
      </c>
      <c r="N501" s="1" t="s">
        <v>62</v>
      </c>
      <c r="O501" s="1" t="s">
        <v>112</v>
      </c>
      <c r="P501" s="1" t="s">
        <v>1072</v>
      </c>
      <c r="Q501" s="1">
        <v>9.683333</v>
      </c>
      <c r="R501" s="1">
        <v>-83.95</v>
      </c>
      <c r="S501" s="1" t="s">
        <v>148</v>
      </c>
      <c r="T501" s="2" t="s">
        <v>66</v>
      </c>
      <c r="U501" s="1" t="s">
        <v>1287</v>
      </c>
      <c r="V501" s="3" t="s">
        <v>788</v>
      </c>
      <c r="W501" s="1" t="s">
        <v>1879</v>
      </c>
      <c r="X501" s="2" t="s">
        <v>83</v>
      </c>
      <c r="Y501" s="5" t="s">
        <v>76</v>
      </c>
      <c r="Z501" s="3" t="s">
        <v>76</v>
      </c>
      <c r="AB501" s="1">
        <v>5.0</v>
      </c>
      <c r="AI501" s="2" t="s">
        <v>72</v>
      </c>
      <c r="AJ501" s="1">
        <v>-7550.0</v>
      </c>
      <c r="AK501" s="1">
        <v>450.0</v>
      </c>
      <c r="AL501" s="3" t="s">
        <v>153</v>
      </c>
      <c r="AM501" s="2" t="s">
        <v>72</v>
      </c>
      <c r="AN501" s="2" t="s">
        <v>72</v>
      </c>
      <c r="AO501" s="2" t="s">
        <v>72</v>
      </c>
      <c r="AQ501" s="2" t="s">
        <v>75</v>
      </c>
      <c r="AR501" s="2" t="s">
        <v>76</v>
      </c>
      <c r="AS501" s="1">
        <v>2384.0</v>
      </c>
      <c r="AT501" s="1">
        <v>2384.0</v>
      </c>
      <c r="AU501" s="1">
        <v>1211.0</v>
      </c>
      <c r="AV501" s="1">
        <v>13.0</v>
      </c>
      <c r="AW501" s="1">
        <v>51.0</v>
      </c>
      <c r="AX501" s="1">
        <v>8299.0</v>
      </c>
      <c r="AY501" s="1">
        <v>2279.0</v>
      </c>
      <c r="AZ501" s="1" t="s">
        <v>627</v>
      </c>
      <c r="BA501" s="1" t="s">
        <v>121</v>
      </c>
    </row>
    <row r="502">
      <c r="A502" s="1" t="s">
        <v>1881</v>
      </c>
      <c r="B502" s="1" t="s">
        <v>53</v>
      </c>
      <c r="C502" s="1">
        <v>2008.0</v>
      </c>
      <c r="D502" s="1" t="s">
        <v>1882</v>
      </c>
      <c r="E502" s="1" t="s">
        <v>1883</v>
      </c>
      <c r="F502" s="1" t="s">
        <v>1884</v>
      </c>
      <c r="G502" s="1" t="s">
        <v>1885</v>
      </c>
      <c r="H502" s="1" t="s">
        <v>1886</v>
      </c>
      <c r="I502" s="1">
        <v>17.0</v>
      </c>
      <c r="J502" s="1">
        <v>3.0</v>
      </c>
      <c r="K502" s="2" t="s">
        <v>1887</v>
      </c>
      <c r="L502" s="2" t="s">
        <v>76</v>
      </c>
      <c r="M502" s="1" t="s">
        <v>1881</v>
      </c>
      <c r="N502" s="1" t="s">
        <v>62</v>
      </c>
      <c r="O502" s="1" t="s">
        <v>92</v>
      </c>
      <c r="P502" s="1" t="s">
        <v>1888</v>
      </c>
      <c r="Q502" s="1">
        <v>16.991</v>
      </c>
      <c r="R502" s="1">
        <v>-91.59156</v>
      </c>
      <c r="S502" s="1" t="s">
        <v>148</v>
      </c>
      <c r="T502" s="2" t="s">
        <v>66</v>
      </c>
      <c r="U502" s="1" t="s">
        <v>1287</v>
      </c>
      <c r="V502" s="3" t="s">
        <v>138</v>
      </c>
      <c r="W502" s="1" t="s">
        <v>1889</v>
      </c>
      <c r="X502" s="1" t="s">
        <v>70</v>
      </c>
      <c r="Y502" s="5" t="s">
        <v>76</v>
      </c>
      <c r="Z502" s="3" t="s">
        <v>76</v>
      </c>
      <c r="AB502" s="1">
        <v>6.0</v>
      </c>
      <c r="AI502" s="2" t="s">
        <v>72</v>
      </c>
      <c r="AJ502" s="1">
        <v>-70.0</v>
      </c>
      <c r="AK502" s="1">
        <v>1950.0</v>
      </c>
      <c r="AL502" s="2" t="s">
        <v>73</v>
      </c>
      <c r="AM502" s="2" t="s">
        <v>60</v>
      </c>
      <c r="AN502" s="1" t="s">
        <v>74</v>
      </c>
      <c r="AO502" s="2" t="s">
        <v>72</v>
      </c>
      <c r="AQ502" s="2" t="s">
        <v>75</v>
      </c>
      <c r="AR502" s="2" t="s">
        <v>76</v>
      </c>
      <c r="AS502" s="1">
        <v>2106.0</v>
      </c>
      <c r="AT502" s="1">
        <v>2106.0</v>
      </c>
      <c r="AU502" s="1">
        <v>892.0</v>
      </c>
      <c r="AV502" s="1">
        <v>57.0</v>
      </c>
      <c r="AW502" s="1">
        <v>187.0</v>
      </c>
      <c r="AX502" s="1">
        <v>6177.0</v>
      </c>
      <c r="AY502" s="1">
        <v>835.0</v>
      </c>
      <c r="AZ502" s="1" t="s">
        <v>133</v>
      </c>
      <c r="BA502" s="1" t="s">
        <v>121</v>
      </c>
    </row>
    <row r="503">
      <c r="A503" s="1" t="s">
        <v>1890</v>
      </c>
      <c r="B503" s="1" t="s">
        <v>53</v>
      </c>
      <c r="C503" s="1">
        <v>2020.0</v>
      </c>
      <c r="D503" s="1" t="s">
        <v>1891</v>
      </c>
      <c r="E503" s="1" t="s">
        <v>1892</v>
      </c>
      <c r="F503" s="1" t="s">
        <v>1884</v>
      </c>
      <c r="G503" s="1" t="s">
        <v>1893</v>
      </c>
      <c r="H503" s="1" t="s">
        <v>1894</v>
      </c>
      <c r="L503" s="2" t="s">
        <v>60</v>
      </c>
      <c r="M503" s="1" t="s">
        <v>1895</v>
      </c>
      <c r="N503" s="1" t="s">
        <v>62</v>
      </c>
      <c r="O503" s="1" t="s">
        <v>167</v>
      </c>
      <c r="P503" s="1" t="s">
        <v>263</v>
      </c>
      <c r="Q503" s="1">
        <v>16.000583</v>
      </c>
      <c r="R503" s="1">
        <v>-91.554216</v>
      </c>
      <c r="S503" s="1" t="s">
        <v>148</v>
      </c>
      <c r="T503" s="2" t="s">
        <v>66</v>
      </c>
      <c r="U503" s="3" t="s">
        <v>67</v>
      </c>
      <c r="V503" s="3" t="s">
        <v>68</v>
      </c>
      <c r="W503" s="1" t="s">
        <v>344</v>
      </c>
      <c r="X503" s="1" t="s">
        <v>70</v>
      </c>
      <c r="Y503" s="5" t="s">
        <v>60</v>
      </c>
      <c r="Z503" s="3" t="s">
        <v>71</v>
      </c>
      <c r="AB503" s="1">
        <v>4.0</v>
      </c>
      <c r="AD503" s="1">
        <v>10.0</v>
      </c>
      <c r="AI503" s="1" t="s">
        <v>523</v>
      </c>
      <c r="AJ503" s="1">
        <v>1550.0</v>
      </c>
      <c r="AK503" s="1">
        <v>2015.0</v>
      </c>
      <c r="AL503" s="2" t="s">
        <v>153</v>
      </c>
      <c r="AM503" s="2" t="s">
        <v>60</v>
      </c>
      <c r="AN503" s="2" t="s">
        <v>132</v>
      </c>
      <c r="AO503" s="2" t="s">
        <v>72</v>
      </c>
      <c r="AQ503" s="2" t="s">
        <v>102</v>
      </c>
      <c r="AR503" s="2" t="s">
        <v>60</v>
      </c>
      <c r="AS503" s="1">
        <v>3417.0</v>
      </c>
      <c r="AT503" s="1">
        <v>3417.0</v>
      </c>
      <c r="AU503" s="1">
        <v>1566.0</v>
      </c>
      <c r="AV503" s="1">
        <v>75.0</v>
      </c>
      <c r="AW503" s="1">
        <v>258.0</v>
      </c>
      <c r="AX503" s="1">
        <v>6710.0</v>
      </c>
      <c r="AY503" s="1">
        <v>1520.0</v>
      </c>
      <c r="AZ503" s="1" t="s">
        <v>77</v>
      </c>
      <c r="BA503" s="1" t="s">
        <v>78</v>
      </c>
    </row>
    <row r="504">
      <c r="A504" s="1" t="s">
        <v>1890</v>
      </c>
      <c r="B504" s="1" t="s">
        <v>53</v>
      </c>
      <c r="C504" s="1">
        <v>2020.0</v>
      </c>
      <c r="D504" s="1" t="s">
        <v>1891</v>
      </c>
      <c r="E504" s="1" t="s">
        <v>1892</v>
      </c>
      <c r="F504" s="1" t="s">
        <v>1884</v>
      </c>
      <c r="G504" s="1" t="s">
        <v>1893</v>
      </c>
      <c r="H504" s="1" t="s">
        <v>1894</v>
      </c>
      <c r="L504" s="2" t="s">
        <v>60</v>
      </c>
      <c r="M504" s="1" t="s">
        <v>1896</v>
      </c>
      <c r="N504" s="1" t="s">
        <v>62</v>
      </c>
      <c r="O504" s="1" t="s">
        <v>167</v>
      </c>
      <c r="P504" s="1" t="s">
        <v>263</v>
      </c>
      <c r="Q504" s="1">
        <v>16.000583</v>
      </c>
      <c r="R504" s="1">
        <v>-91.554216</v>
      </c>
      <c r="S504" s="1" t="s">
        <v>148</v>
      </c>
      <c r="T504" s="2" t="s">
        <v>80</v>
      </c>
      <c r="U504" s="1" t="s">
        <v>156</v>
      </c>
      <c r="V504" s="3" t="s">
        <v>68</v>
      </c>
      <c r="W504" s="1" t="s">
        <v>348</v>
      </c>
      <c r="X504" s="1" t="s">
        <v>349</v>
      </c>
      <c r="Y504" s="6" t="s">
        <v>76</v>
      </c>
      <c r="Z504" s="3" t="s">
        <v>76</v>
      </c>
      <c r="AB504" s="1">
        <v>4.0</v>
      </c>
      <c r="AD504" s="1">
        <v>10.0</v>
      </c>
      <c r="AI504" s="1" t="s">
        <v>523</v>
      </c>
      <c r="AJ504" s="1">
        <v>1550.0</v>
      </c>
      <c r="AK504" s="1">
        <v>2015.0</v>
      </c>
      <c r="AL504" s="2" t="s">
        <v>153</v>
      </c>
      <c r="AM504" s="2" t="s">
        <v>60</v>
      </c>
      <c r="AN504" s="2" t="s">
        <v>132</v>
      </c>
      <c r="AO504" s="2" t="s">
        <v>72</v>
      </c>
      <c r="AQ504" s="2" t="s">
        <v>102</v>
      </c>
      <c r="AR504" s="2" t="s">
        <v>60</v>
      </c>
      <c r="AS504" s="1">
        <v>3417.0</v>
      </c>
      <c r="AT504" s="1">
        <v>3417.0</v>
      </c>
      <c r="AU504" s="1">
        <v>1566.0</v>
      </c>
      <c r="AV504" s="1">
        <v>75.0</v>
      </c>
      <c r="AW504" s="1">
        <v>258.0</v>
      </c>
      <c r="AX504" s="1">
        <v>6710.0</v>
      </c>
      <c r="AY504" s="1">
        <v>1520.0</v>
      </c>
      <c r="AZ504" s="1" t="s">
        <v>77</v>
      </c>
      <c r="BA504" s="1" t="s">
        <v>78</v>
      </c>
    </row>
    <row r="505">
      <c r="A505" s="1" t="s">
        <v>1890</v>
      </c>
      <c r="B505" s="1" t="s">
        <v>53</v>
      </c>
      <c r="C505" s="1">
        <v>2020.0</v>
      </c>
      <c r="D505" s="1" t="s">
        <v>1891</v>
      </c>
      <c r="E505" s="1" t="s">
        <v>1892</v>
      </c>
      <c r="F505" s="1" t="s">
        <v>1884</v>
      </c>
      <c r="G505" s="1" t="s">
        <v>1893</v>
      </c>
      <c r="H505" s="1" t="s">
        <v>1894</v>
      </c>
      <c r="L505" s="2" t="s">
        <v>60</v>
      </c>
      <c r="M505" s="1" t="s">
        <v>1897</v>
      </c>
      <c r="N505" s="1" t="s">
        <v>62</v>
      </c>
      <c r="O505" s="1" t="s">
        <v>167</v>
      </c>
      <c r="P505" s="1" t="s">
        <v>263</v>
      </c>
      <c r="Q505" s="1">
        <v>16.000583</v>
      </c>
      <c r="R505" s="1">
        <v>-91.554216</v>
      </c>
      <c r="S505" s="1" t="s">
        <v>148</v>
      </c>
      <c r="T505" s="2" t="s">
        <v>321</v>
      </c>
      <c r="U505" s="1" t="s">
        <v>156</v>
      </c>
      <c r="V505" s="3" t="s">
        <v>68</v>
      </c>
      <c r="W505" s="1" t="s">
        <v>82</v>
      </c>
      <c r="X505" s="2" t="s">
        <v>158</v>
      </c>
      <c r="Y505" s="6" t="s">
        <v>76</v>
      </c>
      <c r="Z505" s="3" t="s">
        <v>76</v>
      </c>
      <c r="AB505" s="1">
        <v>4.0</v>
      </c>
      <c r="AD505" s="1">
        <v>10.0</v>
      </c>
      <c r="AI505" s="1" t="s">
        <v>523</v>
      </c>
      <c r="AJ505" s="1">
        <v>1550.0</v>
      </c>
      <c r="AK505" s="1">
        <v>2015.0</v>
      </c>
      <c r="AL505" s="2" t="s">
        <v>153</v>
      </c>
      <c r="AM505" s="2" t="s">
        <v>60</v>
      </c>
      <c r="AN505" s="2" t="s">
        <v>132</v>
      </c>
      <c r="AO505" s="2" t="s">
        <v>72</v>
      </c>
      <c r="AQ505" s="2" t="s">
        <v>102</v>
      </c>
      <c r="AR505" s="2" t="s">
        <v>60</v>
      </c>
      <c r="AS505" s="1">
        <v>3417.0</v>
      </c>
      <c r="AT505" s="1">
        <v>3417.0</v>
      </c>
      <c r="AU505" s="1">
        <v>1566.0</v>
      </c>
      <c r="AV505" s="1">
        <v>75.0</v>
      </c>
      <c r="AW505" s="1">
        <v>258.0</v>
      </c>
      <c r="AX505" s="1">
        <v>6710.0</v>
      </c>
      <c r="AY505" s="1">
        <v>1520.0</v>
      </c>
      <c r="AZ505" s="1" t="s">
        <v>77</v>
      </c>
      <c r="BA505" s="1" t="s">
        <v>78</v>
      </c>
    </row>
    <row r="506">
      <c r="A506" s="1" t="s">
        <v>1890</v>
      </c>
      <c r="B506" s="1" t="s">
        <v>53</v>
      </c>
      <c r="C506" s="1">
        <v>2020.0</v>
      </c>
      <c r="D506" s="1" t="s">
        <v>1891</v>
      </c>
      <c r="E506" s="1" t="s">
        <v>1892</v>
      </c>
      <c r="F506" s="1" t="s">
        <v>1884</v>
      </c>
      <c r="G506" s="1" t="s">
        <v>1893</v>
      </c>
      <c r="H506" s="1" t="s">
        <v>1894</v>
      </c>
      <c r="L506" s="2" t="s">
        <v>60</v>
      </c>
      <c r="M506" s="1" t="s">
        <v>1898</v>
      </c>
      <c r="N506" s="1" t="s">
        <v>62</v>
      </c>
      <c r="O506" s="1" t="s">
        <v>167</v>
      </c>
      <c r="P506" s="1" t="s">
        <v>263</v>
      </c>
      <c r="Q506" s="1">
        <v>16.000583</v>
      </c>
      <c r="R506" s="1">
        <v>-91.554216</v>
      </c>
      <c r="S506" s="1" t="s">
        <v>148</v>
      </c>
      <c r="T506" s="2" t="s">
        <v>352</v>
      </c>
      <c r="U506" s="7" t="s">
        <v>353</v>
      </c>
      <c r="V506" s="3" t="s">
        <v>116</v>
      </c>
      <c r="W506" s="1" t="s">
        <v>344</v>
      </c>
      <c r="X506" s="2" t="s">
        <v>355</v>
      </c>
      <c r="Y506" s="6" t="s">
        <v>76</v>
      </c>
      <c r="Z506" s="3" t="s">
        <v>76</v>
      </c>
      <c r="AB506" s="1">
        <v>4.0</v>
      </c>
      <c r="AD506" s="1">
        <v>10.0</v>
      </c>
      <c r="AI506" s="1" t="s">
        <v>523</v>
      </c>
      <c r="AJ506" s="1">
        <v>1550.0</v>
      </c>
      <c r="AK506" s="1">
        <v>2015.0</v>
      </c>
      <c r="AL506" s="2" t="s">
        <v>153</v>
      </c>
      <c r="AM506" s="2" t="s">
        <v>60</v>
      </c>
      <c r="AN506" s="2" t="s">
        <v>132</v>
      </c>
      <c r="AO506" s="2" t="s">
        <v>72</v>
      </c>
      <c r="AQ506" s="2" t="s">
        <v>102</v>
      </c>
      <c r="AR506" s="2" t="s">
        <v>60</v>
      </c>
      <c r="AS506" s="1">
        <v>3417.0</v>
      </c>
      <c r="AT506" s="1">
        <v>3417.0</v>
      </c>
      <c r="AU506" s="1">
        <v>1566.0</v>
      </c>
      <c r="AV506" s="1">
        <v>75.0</v>
      </c>
      <c r="AW506" s="1">
        <v>258.0</v>
      </c>
      <c r="AX506" s="1">
        <v>6710.0</v>
      </c>
      <c r="AY506" s="1">
        <v>1520.0</v>
      </c>
      <c r="AZ506" s="1" t="s">
        <v>77</v>
      </c>
      <c r="BA506" s="1" t="s">
        <v>78</v>
      </c>
    </row>
    <row r="507">
      <c r="A507" s="1" t="s">
        <v>1899</v>
      </c>
      <c r="B507" s="1" t="s">
        <v>53</v>
      </c>
      <c r="C507" s="1">
        <v>2020.0</v>
      </c>
      <c r="D507" s="1" t="s">
        <v>1900</v>
      </c>
      <c r="E507" s="1" t="s">
        <v>1901</v>
      </c>
      <c r="F507" s="1" t="s">
        <v>1884</v>
      </c>
      <c r="G507" s="1" t="s">
        <v>1902</v>
      </c>
      <c r="H507" s="1" t="s">
        <v>1903</v>
      </c>
      <c r="I507" s="1">
        <v>29.0</v>
      </c>
      <c r="J507" s="1">
        <v>4.0</v>
      </c>
      <c r="K507" s="2" t="s">
        <v>1904</v>
      </c>
      <c r="L507" s="2" t="s">
        <v>60</v>
      </c>
      <c r="M507" s="1" t="s">
        <v>1905</v>
      </c>
      <c r="N507" s="1" t="s">
        <v>62</v>
      </c>
      <c r="O507" s="1" t="s">
        <v>112</v>
      </c>
      <c r="P507" s="1" t="s">
        <v>798</v>
      </c>
      <c r="Q507" s="1">
        <v>8.929</v>
      </c>
      <c r="R507" s="1">
        <v>-82.9257</v>
      </c>
      <c r="S507" s="1" t="s">
        <v>148</v>
      </c>
      <c r="T507" s="2" t="s">
        <v>189</v>
      </c>
      <c r="U507" s="1" t="s">
        <v>116</v>
      </c>
      <c r="V507" s="3" t="s">
        <v>68</v>
      </c>
      <c r="W507" s="1" t="s">
        <v>284</v>
      </c>
      <c r="X507" s="1" t="s">
        <v>70</v>
      </c>
      <c r="Y507" s="6" t="s">
        <v>76</v>
      </c>
      <c r="Z507" s="3" t="s">
        <v>173</v>
      </c>
      <c r="AB507" s="1">
        <v>6.0</v>
      </c>
      <c r="AI507" s="1" t="s">
        <v>1906</v>
      </c>
      <c r="AJ507" s="1">
        <v>382.0</v>
      </c>
      <c r="AK507" s="1">
        <v>2000.0</v>
      </c>
      <c r="AL507" s="3" t="s">
        <v>153</v>
      </c>
      <c r="AM507" s="3" t="s">
        <v>72</v>
      </c>
      <c r="AN507" s="2" t="s">
        <v>132</v>
      </c>
      <c r="AO507" s="2" t="s">
        <v>72</v>
      </c>
      <c r="AQ507" s="2" t="s">
        <v>102</v>
      </c>
      <c r="AR507" s="2" t="s">
        <v>60</v>
      </c>
      <c r="AS507" s="1">
        <v>2756.0</v>
      </c>
      <c r="AT507" s="1">
        <v>2756.0</v>
      </c>
      <c r="AU507" s="1">
        <v>1197.0</v>
      </c>
      <c r="AV507" s="1">
        <v>40.0</v>
      </c>
      <c r="AW507" s="1">
        <v>160.0</v>
      </c>
      <c r="AX507" s="1">
        <v>6258.0</v>
      </c>
      <c r="AY507" s="1">
        <v>1017.0</v>
      </c>
      <c r="AZ507" s="1" t="s">
        <v>281</v>
      </c>
      <c r="BA507" s="1" t="s">
        <v>121</v>
      </c>
    </row>
    <row r="508">
      <c r="A508" s="1" t="s">
        <v>1899</v>
      </c>
      <c r="B508" s="1" t="s">
        <v>53</v>
      </c>
      <c r="C508" s="1">
        <v>2020.0</v>
      </c>
      <c r="D508" s="1" t="s">
        <v>1900</v>
      </c>
      <c r="E508" s="1" t="s">
        <v>1901</v>
      </c>
      <c r="F508" s="1" t="s">
        <v>1884</v>
      </c>
      <c r="G508" s="1" t="s">
        <v>1902</v>
      </c>
      <c r="H508" s="1" t="s">
        <v>1903</v>
      </c>
      <c r="I508" s="1">
        <v>29.0</v>
      </c>
      <c r="J508" s="1">
        <v>4.0</v>
      </c>
      <c r="K508" s="2" t="s">
        <v>1904</v>
      </c>
      <c r="L508" s="2" t="s">
        <v>60</v>
      </c>
      <c r="M508" s="1" t="s">
        <v>1907</v>
      </c>
      <c r="N508" s="1" t="s">
        <v>62</v>
      </c>
      <c r="O508" s="1" t="s">
        <v>112</v>
      </c>
      <c r="P508" s="1" t="s">
        <v>798</v>
      </c>
      <c r="Q508" s="1">
        <v>8.929</v>
      </c>
      <c r="R508" s="1">
        <v>-82.9257</v>
      </c>
      <c r="S508" s="1" t="s">
        <v>148</v>
      </c>
      <c r="T508" s="2" t="s">
        <v>194</v>
      </c>
      <c r="U508" s="1" t="s">
        <v>116</v>
      </c>
      <c r="V508" s="3" t="s">
        <v>68</v>
      </c>
      <c r="W508" s="1" t="s">
        <v>286</v>
      </c>
      <c r="X508" s="1" t="s">
        <v>70</v>
      </c>
      <c r="Y508" s="6" t="s">
        <v>76</v>
      </c>
      <c r="Z508" s="3" t="s">
        <v>173</v>
      </c>
      <c r="AB508" s="1">
        <v>6.0</v>
      </c>
      <c r="AI508" s="1" t="s">
        <v>1906</v>
      </c>
      <c r="AJ508" s="1">
        <v>382.0</v>
      </c>
      <c r="AK508" s="1">
        <v>2000.0</v>
      </c>
      <c r="AL508" s="3" t="s">
        <v>153</v>
      </c>
      <c r="AM508" s="3" t="s">
        <v>72</v>
      </c>
      <c r="AN508" s="2" t="s">
        <v>132</v>
      </c>
      <c r="AO508" s="2" t="s">
        <v>72</v>
      </c>
      <c r="AQ508" s="2" t="s">
        <v>102</v>
      </c>
      <c r="AR508" s="2" t="s">
        <v>60</v>
      </c>
      <c r="AS508" s="1">
        <v>2756.0</v>
      </c>
      <c r="AT508" s="1">
        <v>2756.0</v>
      </c>
      <c r="AU508" s="1">
        <v>1197.0</v>
      </c>
      <c r="AV508" s="1">
        <v>40.0</v>
      </c>
      <c r="AW508" s="1">
        <v>160.0</v>
      </c>
      <c r="AX508" s="1">
        <v>6258.0</v>
      </c>
      <c r="AY508" s="1">
        <v>1017.0</v>
      </c>
      <c r="AZ508" s="1" t="s">
        <v>281</v>
      </c>
      <c r="BA508" s="1" t="s">
        <v>121</v>
      </c>
    </row>
    <row r="509">
      <c r="A509" s="1" t="s">
        <v>1899</v>
      </c>
      <c r="B509" s="1" t="s">
        <v>53</v>
      </c>
      <c r="C509" s="1">
        <v>2020.0</v>
      </c>
      <c r="D509" s="1" t="s">
        <v>1900</v>
      </c>
      <c r="E509" s="1" t="s">
        <v>1901</v>
      </c>
      <c r="F509" s="1" t="s">
        <v>1884</v>
      </c>
      <c r="G509" s="1" t="s">
        <v>1902</v>
      </c>
      <c r="H509" s="1" t="s">
        <v>1903</v>
      </c>
      <c r="I509" s="1">
        <v>29.0</v>
      </c>
      <c r="J509" s="1">
        <v>4.0</v>
      </c>
      <c r="K509" s="2" t="s">
        <v>1904</v>
      </c>
      <c r="L509" s="2" t="s">
        <v>60</v>
      </c>
      <c r="M509" s="1" t="s">
        <v>1908</v>
      </c>
      <c r="N509" s="1" t="s">
        <v>62</v>
      </c>
      <c r="O509" s="1" t="s">
        <v>112</v>
      </c>
      <c r="P509" s="1" t="s">
        <v>798</v>
      </c>
      <c r="Q509" s="1">
        <v>8.929</v>
      </c>
      <c r="R509" s="1">
        <v>-82.9257</v>
      </c>
      <c r="S509" s="1" t="s">
        <v>148</v>
      </c>
      <c r="T509" s="2" t="s">
        <v>388</v>
      </c>
      <c r="U509" s="2" t="s">
        <v>1909</v>
      </c>
      <c r="V509" s="3" t="s">
        <v>68</v>
      </c>
      <c r="W509" s="1" t="s">
        <v>1910</v>
      </c>
      <c r="X509" s="1" t="s">
        <v>483</v>
      </c>
      <c r="Y509" s="6" t="s">
        <v>76</v>
      </c>
      <c r="Z509" s="3" t="s">
        <v>411</v>
      </c>
      <c r="AB509" s="1">
        <v>6.0</v>
      </c>
      <c r="AI509" s="1" t="s">
        <v>1906</v>
      </c>
      <c r="AJ509" s="1">
        <v>382.0</v>
      </c>
      <c r="AK509" s="1">
        <v>2000.0</v>
      </c>
      <c r="AL509" s="3" t="s">
        <v>153</v>
      </c>
      <c r="AM509" s="3" t="s">
        <v>72</v>
      </c>
      <c r="AN509" s="2" t="s">
        <v>132</v>
      </c>
      <c r="AO509" s="2" t="s">
        <v>72</v>
      </c>
      <c r="AQ509" s="2" t="s">
        <v>102</v>
      </c>
      <c r="AR509" s="2" t="s">
        <v>60</v>
      </c>
      <c r="AS509" s="1">
        <v>2756.0</v>
      </c>
      <c r="AT509" s="1">
        <v>2756.0</v>
      </c>
      <c r="AU509" s="1">
        <v>1197.0</v>
      </c>
      <c r="AV509" s="1">
        <v>40.0</v>
      </c>
      <c r="AW509" s="1">
        <v>160.0</v>
      </c>
      <c r="AX509" s="1">
        <v>6258.0</v>
      </c>
      <c r="AY509" s="1">
        <v>1017.0</v>
      </c>
      <c r="AZ509" s="1" t="s">
        <v>281</v>
      </c>
      <c r="BA509" s="1" t="s">
        <v>121</v>
      </c>
    </row>
    <row r="510">
      <c r="A510" s="1" t="s">
        <v>1899</v>
      </c>
      <c r="B510" s="1" t="s">
        <v>53</v>
      </c>
      <c r="C510" s="1">
        <v>2020.0</v>
      </c>
      <c r="D510" s="1" t="s">
        <v>1900</v>
      </c>
      <c r="E510" s="1" t="s">
        <v>1901</v>
      </c>
      <c r="F510" s="1" t="s">
        <v>1884</v>
      </c>
      <c r="G510" s="1" t="s">
        <v>1902</v>
      </c>
      <c r="H510" s="1" t="s">
        <v>1903</v>
      </c>
      <c r="I510" s="1">
        <v>29.0</v>
      </c>
      <c r="J510" s="1">
        <v>4.0</v>
      </c>
      <c r="K510" s="2" t="s">
        <v>1904</v>
      </c>
      <c r="L510" s="2" t="s">
        <v>60</v>
      </c>
      <c r="M510" s="1" t="s">
        <v>1911</v>
      </c>
      <c r="N510" s="1" t="s">
        <v>62</v>
      </c>
      <c r="O510" s="1" t="s">
        <v>112</v>
      </c>
      <c r="P510" s="1" t="s">
        <v>798</v>
      </c>
      <c r="Q510" s="1">
        <v>8.929</v>
      </c>
      <c r="R510" s="1">
        <v>-82.9257</v>
      </c>
      <c r="S510" s="1" t="s">
        <v>148</v>
      </c>
      <c r="T510" s="2" t="s">
        <v>135</v>
      </c>
      <c r="U510" s="2" t="s">
        <v>1909</v>
      </c>
      <c r="V510" s="3" t="s">
        <v>68</v>
      </c>
      <c r="W510" s="1" t="s">
        <v>1910</v>
      </c>
      <c r="X510" s="1" t="s">
        <v>483</v>
      </c>
      <c r="Y510" s="6" t="s">
        <v>76</v>
      </c>
      <c r="Z510" s="3" t="s">
        <v>411</v>
      </c>
      <c r="AB510" s="1">
        <v>6.0</v>
      </c>
      <c r="AI510" s="1" t="s">
        <v>1906</v>
      </c>
      <c r="AJ510" s="1">
        <v>382.0</v>
      </c>
      <c r="AK510" s="1">
        <v>2000.0</v>
      </c>
      <c r="AL510" s="3" t="s">
        <v>153</v>
      </c>
      <c r="AM510" s="3" t="s">
        <v>72</v>
      </c>
      <c r="AN510" s="2" t="s">
        <v>132</v>
      </c>
      <c r="AO510" s="2" t="s">
        <v>72</v>
      </c>
      <c r="AQ510" s="2" t="s">
        <v>102</v>
      </c>
      <c r="AR510" s="2" t="s">
        <v>60</v>
      </c>
      <c r="AS510" s="1">
        <v>2756.0</v>
      </c>
      <c r="AT510" s="1">
        <v>2756.0</v>
      </c>
      <c r="AU510" s="1">
        <v>1197.0</v>
      </c>
      <c r="AV510" s="1">
        <v>40.0</v>
      </c>
      <c r="AW510" s="1">
        <v>160.0</v>
      </c>
      <c r="AX510" s="1">
        <v>6258.0</v>
      </c>
      <c r="AY510" s="1">
        <v>1017.0</v>
      </c>
      <c r="AZ510" s="1" t="s">
        <v>281</v>
      </c>
      <c r="BA510" s="1" t="s">
        <v>121</v>
      </c>
    </row>
    <row r="511">
      <c r="A511" s="1" t="s">
        <v>1912</v>
      </c>
      <c r="B511" s="1" t="s">
        <v>268</v>
      </c>
      <c r="C511" s="1">
        <v>1990.0</v>
      </c>
      <c r="D511" s="1" t="s">
        <v>1913</v>
      </c>
      <c r="E511" s="1" t="s">
        <v>1914</v>
      </c>
      <c r="F511" s="3" t="s">
        <v>303</v>
      </c>
      <c r="H511" s="1" t="s">
        <v>1915</v>
      </c>
      <c r="I511" s="1">
        <v>33.0</v>
      </c>
      <c r="K511" s="2" t="s">
        <v>1916</v>
      </c>
      <c r="L511" s="2" t="s">
        <v>60</v>
      </c>
      <c r="M511" s="1" t="s">
        <v>1917</v>
      </c>
      <c r="N511" s="1" t="s">
        <v>62</v>
      </c>
      <c r="O511" s="1" t="s">
        <v>146</v>
      </c>
      <c r="P511" s="1" t="s">
        <v>274</v>
      </c>
      <c r="Q511" s="1">
        <v>8.45</v>
      </c>
      <c r="R511" s="1">
        <v>-80.85</v>
      </c>
      <c r="S511" s="1" t="s">
        <v>148</v>
      </c>
      <c r="T511" s="2" t="s">
        <v>66</v>
      </c>
      <c r="U511" s="2" t="s">
        <v>1073</v>
      </c>
      <c r="V511" s="3" t="s">
        <v>68</v>
      </c>
      <c r="W511" s="1" t="s">
        <v>364</v>
      </c>
      <c r="X511" s="2" t="s">
        <v>355</v>
      </c>
      <c r="Y511" s="6" t="s">
        <v>76</v>
      </c>
      <c r="Z511" s="3" t="s">
        <v>316</v>
      </c>
      <c r="AB511" s="1">
        <v>9.0</v>
      </c>
      <c r="AI511" s="2" t="s">
        <v>72</v>
      </c>
      <c r="AJ511" s="1">
        <v>-12350.0</v>
      </c>
      <c r="AK511" s="1">
        <v>1950.0</v>
      </c>
      <c r="AL511" s="2" t="s">
        <v>153</v>
      </c>
      <c r="AM511" s="2" t="s">
        <v>72</v>
      </c>
      <c r="AN511" s="2" t="s">
        <v>72</v>
      </c>
      <c r="AO511" s="2" t="s">
        <v>72</v>
      </c>
      <c r="AQ511" s="2" t="s">
        <v>102</v>
      </c>
      <c r="AR511" s="2" t="s">
        <v>76</v>
      </c>
      <c r="AS511" s="1">
        <v>2747.0</v>
      </c>
      <c r="AT511" s="1">
        <v>2747.0</v>
      </c>
      <c r="AU511" s="1">
        <v>1232.0</v>
      </c>
      <c r="AV511" s="1">
        <v>7.0</v>
      </c>
      <c r="AW511" s="1">
        <v>94.0</v>
      </c>
      <c r="AX511" s="1">
        <v>7025.0</v>
      </c>
      <c r="AY511" s="1">
        <v>695.0</v>
      </c>
      <c r="AZ511" s="1" t="s">
        <v>281</v>
      </c>
      <c r="BA511" s="1" t="s">
        <v>121</v>
      </c>
    </row>
    <row r="512">
      <c r="A512" s="1" t="s">
        <v>1912</v>
      </c>
      <c r="B512" s="1" t="s">
        <v>268</v>
      </c>
      <c r="C512" s="1">
        <v>1990.0</v>
      </c>
      <c r="D512" s="1" t="s">
        <v>1913</v>
      </c>
      <c r="E512" s="1" t="s">
        <v>1914</v>
      </c>
      <c r="F512" s="3" t="s">
        <v>303</v>
      </c>
      <c r="H512" s="1" t="s">
        <v>1915</v>
      </c>
      <c r="I512" s="1">
        <v>33.0</v>
      </c>
      <c r="K512" s="2" t="s">
        <v>1916</v>
      </c>
      <c r="L512" s="2" t="s">
        <v>60</v>
      </c>
      <c r="M512" s="1" t="s">
        <v>1918</v>
      </c>
      <c r="N512" s="1" t="s">
        <v>62</v>
      </c>
      <c r="O512" s="1" t="s">
        <v>146</v>
      </c>
      <c r="P512" s="1" t="s">
        <v>274</v>
      </c>
      <c r="Q512" s="1">
        <v>8.45</v>
      </c>
      <c r="R512" s="1">
        <v>-80.85</v>
      </c>
      <c r="S512" s="1" t="s">
        <v>148</v>
      </c>
      <c r="T512" s="2" t="s">
        <v>293</v>
      </c>
      <c r="U512" s="2" t="s">
        <v>1073</v>
      </c>
      <c r="V512" s="3" t="s">
        <v>68</v>
      </c>
      <c r="W512" s="1" t="s">
        <v>366</v>
      </c>
      <c r="X512" s="2" t="s">
        <v>355</v>
      </c>
      <c r="Y512" s="6" t="s">
        <v>76</v>
      </c>
      <c r="Z512" s="3" t="s">
        <v>316</v>
      </c>
      <c r="AB512" s="1">
        <v>9.0</v>
      </c>
      <c r="AI512" s="2" t="s">
        <v>72</v>
      </c>
      <c r="AJ512" s="1">
        <v>-12350.0</v>
      </c>
      <c r="AK512" s="1">
        <v>1950.0</v>
      </c>
      <c r="AL512" s="2" t="s">
        <v>153</v>
      </c>
      <c r="AM512" s="2" t="s">
        <v>72</v>
      </c>
      <c r="AN512" s="2" t="s">
        <v>72</v>
      </c>
      <c r="AO512" s="2" t="s">
        <v>72</v>
      </c>
      <c r="AQ512" s="2" t="s">
        <v>102</v>
      </c>
      <c r="AR512" s="2" t="s">
        <v>76</v>
      </c>
      <c r="AS512" s="1">
        <v>2747.0</v>
      </c>
      <c r="AT512" s="1">
        <v>2747.0</v>
      </c>
      <c r="AU512" s="1">
        <v>1232.0</v>
      </c>
      <c r="AV512" s="1">
        <v>7.0</v>
      </c>
      <c r="AW512" s="1">
        <v>94.0</v>
      </c>
      <c r="AX512" s="1">
        <v>7025.0</v>
      </c>
      <c r="AY512" s="1">
        <v>695.0</v>
      </c>
      <c r="AZ512" s="1" t="s">
        <v>281</v>
      </c>
      <c r="BA512" s="1" t="s">
        <v>121</v>
      </c>
    </row>
    <row r="513">
      <c r="A513" s="1" t="s">
        <v>1912</v>
      </c>
      <c r="B513" s="1" t="s">
        <v>268</v>
      </c>
      <c r="C513" s="1">
        <v>1990.0</v>
      </c>
      <c r="D513" s="1" t="s">
        <v>1913</v>
      </c>
      <c r="E513" s="1" t="s">
        <v>1914</v>
      </c>
      <c r="F513" s="3" t="s">
        <v>303</v>
      </c>
      <c r="H513" s="1" t="s">
        <v>1915</v>
      </c>
      <c r="I513" s="1">
        <v>33.0</v>
      </c>
      <c r="K513" s="2" t="s">
        <v>1916</v>
      </c>
      <c r="L513" s="2" t="s">
        <v>60</v>
      </c>
      <c r="M513" s="1" t="s">
        <v>1919</v>
      </c>
      <c r="N513" s="1" t="s">
        <v>62</v>
      </c>
      <c r="O513" s="1" t="s">
        <v>146</v>
      </c>
      <c r="P513" s="1" t="s">
        <v>274</v>
      </c>
      <c r="Q513" s="1">
        <v>8.45</v>
      </c>
      <c r="R513" s="1">
        <v>-80.85</v>
      </c>
      <c r="S513" s="1" t="s">
        <v>148</v>
      </c>
      <c r="T513" s="2" t="s">
        <v>80</v>
      </c>
      <c r="U513" s="2" t="s">
        <v>1073</v>
      </c>
      <c r="V513" s="3" t="s">
        <v>68</v>
      </c>
      <c r="W513" s="2" t="s">
        <v>72</v>
      </c>
      <c r="X513" s="2" t="s">
        <v>355</v>
      </c>
      <c r="Y513" s="6" t="s">
        <v>76</v>
      </c>
      <c r="Z513" s="3" t="s">
        <v>84</v>
      </c>
      <c r="AB513" s="1">
        <v>9.0</v>
      </c>
      <c r="AI513" s="2" t="s">
        <v>72</v>
      </c>
      <c r="AJ513" s="1">
        <v>-12350.0</v>
      </c>
      <c r="AK513" s="1">
        <v>-6500.0</v>
      </c>
      <c r="AL513" s="2" t="s">
        <v>153</v>
      </c>
      <c r="AM513" s="2" t="s">
        <v>72</v>
      </c>
      <c r="AN513" s="2" t="s">
        <v>72</v>
      </c>
      <c r="AO513" s="2" t="s">
        <v>72</v>
      </c>
      <c r="AQ513" s="2" t="s">
        <v>102</v>
      </c>
      <c r="AR513" s="2" t="s">
        <v>76</v>
      </c>
      <c r="AS513" s="1">
        <v>2747.0</v>
      </c>
      <c r="AT513" s="1">
        <v>2747.0</v>
      </c>
      <c r="AU513" s="1">
        <v>1232.0</v>
      </c>
      <c r="AV513" s="1">
        <v>7.0</v>
      </c>
      <c r="AW513" s="1">
        <v>94.0</v>
      </c>
      <c r="AX513" s="1">
        <v>7025.0</v>
      </c>
      <c r="AY513" s="1">
        <v>695.0</v>
      </c>
      <c r="AZ513" s="1" t="s">
        <v>281</v>
      </c>
      <c r="BA513" s="1" t="s">
        <v>121</v>
      </c>
    </row>
    <row r="514">
      <c r="A514" s="1" t="s">
        <v>1920</v>
      </c>
      <c r="B514" s="1" t="s">
        <v>53</v>
      </c>
      <c r="C514" s="1">
        <v>1994.0</v>
      </c>
      <c r="D514" s="1" t="s">
        <v>1921</v>
      </c>
      <c r="E514" s="1" t="s">
        <v>1922</v>
      </c>
      <c r="F514" s="3" t="s">
        <v>1923</v>
      </c>
      <c r="H514" s="1" t="s">
        <v>1924</v>
      </c>
      <c r="I514" s="1">
        <v>75.0</v>
      </c>
      <c r="K514" s="2" t="s">
        <v>1925</v>
      </c>
      <c r="L514" s="2" t="s">
        <v>60</v>
      </c>
      <c r="M514" s="1" t="s">
        <v>1926</v>
      </c>
      <c r="N514" s="1" t="s">
        <v>62</v>
      </c>
      <c r="O514" s="1" t="s">
        <v>146</v>
      </c>
      <c r="P514" s="1" t="s">
        <v>1927</v>
      </c>
      <c r="Q514" s="1">
        <v>7.75</v>
      </c>
      <c r="R514" s="1">
        <v>-77.583333</v>
      </c>
      <c r="S514" s="1" t="s">
        <v>148</v>
      </c>
      <c r="T514" s="2" t="s">
        <v>149</v>
      </c>
      <c r="U514" s="2" t="s">
        <v>727</v>
      </c>
      <c r="V514" s="3" t="s">
        <v>97</v>
      </c>
      <c r="W514" s="1" t="s">
        <v>1928</v>
      </c>
      <c r="X514" s="1" t="s">
        <v>70</v>
      </c>
      <c r="Y514" s="6" t="s">
        <v>76</v>
      </c>
      <c r="Z514" s="3" t="s">
        <v>76</v>
      </c>
      <c r="AB514" s="1">
        <v>7.0</v>
      </c>
      <c r="AI514" s="2" t="s">
        <v>72</v>
      </c>
      <c r="AJ514" s="1">
        <v>-1960.0</v>
      </c>
      <c r="AK514" s="1">
        <v>1640.0</v>
      </c>
      <c r="AL514" s="3" t="s">
        <v>73</v>
      </c>
      <c r="AM514" s="2" t="s">
        <v>72</v>
      </c>
      <c r="AN514" s="2" t="s">
        <v>72</v>
      </c>
      <c r="AO514" s="2" t="s">
        <v>72</v>
      </c>
      <c r="AQ514" s="2" t="s">
        <v>75</v>
      </c>
      <c r="AR514" s="2" t="s">
        <v>76</v>
      </c>
      <c r="AS514" s="1">
        <v>2886.0</v>
      </c>
      <c r="AT514" s="1">
        <v>2886.0</v>
      </c>
      <c r="AU514" s="1">
        <v>1202.0</v>
      </c>
      <c r="AV514" s="1">
        <v>22.0</v>
      </c>
      <c r="AW514" s="1">
        <v>120.0</v>
      </c>
      <c r="AX514" s="1">
        <v>6329.0</v>
      </c>
      <c r="AY514" s="1">
        <v>415.0</v>
      </c>
      <c r="AZ514" s="1" t="s">
        <v>1929</v>
      </c>
      <c r="BA514" s="1" t="s">
        <v>121</v>
      </c>
    </row>
    <row r="515">
      <c r="A515" s="1" t="s">
        <v>1920</v>
      </c>
      <c r="B515" s="1" t="s">
        <v>53</v>
      </c>
      <c r="C515" s="1">
        <v>1994.0</v>
      </c>
      <c r="D515" s="1" t="s">
        <v>1921</v>
      </c>
      <c r="E515" s="1" t="s">
        <v>1922</v>
      </c>
      <c r="F515" s="3" t="s">
        <v>1923</v>
      </c>
      <c r="H515" s="1" t="s">
        <v>1924</v>
      </c>
      <c r="I515" s="1">
        <v>75.0</v>
      </c>
      <c r="K515" s="2" t="s">
        <v>1925</v>
      </c>
      <c r="L515" s="2" t="s">
        <v>60</v>
      </c>
      <c r="M515" s="1" t="s">
        <v>1930</v>
      </c>
      <c r="N515" s="1" t="s">
        <v>62</v>
      </c>
      <c r="O515" s="1" t="s">
        <v>146</v>
      </c>
      <c r="P515" s="1" t="s">
        <v>1927</v>
      </c>
      <c r="Q515" s="1">
        <v>7.75</v>
      </c>
      <c r="R515" s="1">
        <v>-77.583333</v>
      </c>
      <c r="S515" s="1" t="s">
        <v>148</v>
      </c>
      <c r="T515" s="2" t="s">
        <v>66</v>
      </c>
      <c r="U515" s="3" t="s">
        <v>67</v>
      </c>
      <c r="V515" s="3" t="s">
        <v>68</v>
      </c>
      <c r="W515" s="1" t="s">
        <v>1931</v>
      </c>
      <c r="X515" s="1" t="s">
        <v>70</v>
      </c>
      <c r="Y515" s="5" t="s">
        <v>60</v>
      </c>
      <c r="Z515" s="3" t="s">
        <v>625</v>
      </c>
      <c r="AB515" s="1">
        <v>7.0</v>
      </c>
      <c r="AI515" s="2" t="s">
        <v>72</v>
      </c>
      <c r="AJ515" s="1">
        <v>-1960.0</v>
      </c>
      <c r="AK515" s="1">
        <v>1640.0</v>
      </c>
      <c r="AL515" s="3" t="s">
        <v>73</v>
      </c>
      <c r="AM515" s="2" t="s">
        <v>72</v>
      </c>
      <c r="AN515" s="2" t="s">
        <v>72</v>
      </c>
      <c r="AO515" s="2" t="s">
        <v>72</v>
      </c>
      <c r="AQ515" s="2" t="s">
        <v>75</v>
      </c>
      <c r="AR515" s="2" t="s">
        <v>76</v>
      </c>
      <c r="AS515" s="1">
        <v>2886.0</v>
      </c>
      <c r="AT515" s="1">
        <v>2886.0</v>
      </c>
      <c r="AU515" s="1">
        <v>1202.0</v>
      </c>
      <c r="AV515" s="1">
        <v>22.0</v>
      </c>
      <c r="AW515" s="1">
        <v>120.0</v>
      </c>
      <c r="AX515" s="1">
        <v>6329.0</v>
      </c>
      <c r="AY515" s="1">
        <v>415.0</v>
      </c>
      <c r="AZ515" s="1" t="s">
        <v>1929</v>
      </c>
      <c r="BA515" s="1" t="s">
        <v>121</v>
      </c>
    </row>
    <row r="516">
      <c r="A516" s="1" t="s">
        <v>1920</v>
      </c>
      <c r="B516" s="1" t="s">
        <v>53</v>
      </c>
      <c r="C516" s="1">
        <v>1994.0</v>
      </c>
      <c r="D516" s="1" t="s">
        <v>1921</v>
      </c>
      <c r="E516" s="1" t="s">
        <v>1922</v>
      </c>
      <c r="F516" s="3" t="s">
        <v>1923</v>
      </c>
      <c r="H516" s="1" t="s">
        <v>1924</v>
      </c>
      <c r="I516" s="1">
        <v>75.0</v>
      </c>
      <c r="K516" s="2" t="s">
        <v>1925</v>
      </c>
      <c r="L516" s="2" t="s">
        <v>60</v>
      </c>
      <c r="M516" s="1" t="s">
        <v>1932</v>
      </c>
      <c r="N516" s="1" t="s">
        <v>62</v>
      </c>
      <c r="O516" s="1" t="s">
        <v>146</v>
      </c>
      <c r="P516" s="1" t="s">
        <v>1933</v>
      </c>
      <c r="Q516" s="1">
        <v>7.75</v>
      </c>
      <c r="R516" s="1">
        <v>-77.583333</v>
      </c>
      <c r="S516" s="1" t="s">
        <v>114</v>
      </c>
      <c r="T516" s="3" t="s">
        <v>1150</v>
      </c>
      <c r="U516" s="8" t="s">
        <v>67</v>
      </c>
      <c r="V516" s="3" t="s">
        <v>68</v>
      </c>
      <c r="W516" s="3" t="s">
        <v>72</v>
      </c>
      <c r="X516" s="2" t="s">
        <v>83</v>
      </c>
      <c r="Y516" s="5" t="s">
        <v>60</v>
      </c>
      <c r="Z516" s="3" t="s">
        <v>84</v>
      </c>
      <c r="AB516" s="1">
        <v>1.0</v>
      </c>
      <c r="AI516" s="2" t="s">
        <v>72</v>
      </c>
      <c r="AJ516" s="1">
        <v>-1790.0</v>
      </c>
      <c r="AK516" s="2" t="s">
        <v>72</v>
      </c>
      <c r="AL516" s="3" t="s">
        <v>73</v>
      </c>
      <c r="AM516" s="2" t="s">
        <v>72</v>
      </c>
      <c r="AN516" s="2" t="s">
        <v>72</v>
      </c>
      <c r="AO516" s="2" t="s">
        <v>72</v>
      </c>
      <c r="AQ516" s="2" t="s">
        <v>75</v>
      </c>
      <c r="AR516" s="2" t="s">
        <v>76</v>
      </c>
      <c r="AS516" s="1">
        <v>2886.0</v>
      </c>
      <c r="AT516" s="1">
        <v>2886.0</v>
      </c>
      <c r="AU516" s="1">
        <v>1202.0</v>
      </c>
      <c r="AV516" s="1">
        <v>22.0</v>
      </c>
      <c r="AW516" s="1">
        <v>120.0</v>
      </c>
      <c r="AX516" s="1">
        <v>6329.0</v>
      </c>
      <c r="AY516" s="1">
        <v>415.0</v>
      </c>
      <c r="AZ516" s="1" t="s">
        <v>1929</v>
      </c>
      <c r="BA516" s="1" t="s">
        <v>121</v>
      </c>
    </row>
    <row r="517">
      <c r="A517" s="1" t="s">
        <v>1920</v>
      </c>
      <c r="B517" s="1" t="s">
        <v>53</v>
      </c>
      <c r="C517" s="1">
        <v>1994.0</v>
      </c>
      <c r="D517" s="1" t="s">
        <v>1921</v>
      </c>
      <c r="E517" s="1" t="s">
        <v>1922</v>
      </c>
      <c r="F517" s="3" t="s">
        <v>1923</v>
      </c>
      <c r="H517" s="1" t="s">
        <v>1924</v>
      </c>
      <c r="I517" s="1">
        <v>75.0</v>
      </c>
      <c r="K517" s="2" t="s">
        <v>1925</v>
      </c>
      <c r="L517" s="2" t="s">
        <v>60</v>
      </c>
      <c r="M517" s="1" t="s">
        <v>1930</v>
      </c>
      <c r="N517" s="1" t="s">
        <v>62</v>
      </c>
      <c r="O517" s="1" t="s">
        <v>146</v>
      </c>
      <c r="P517" s="1" t="s">
        <v>1927</v>
      </c>
      <c r="Q517" s="1">
        <v>7.75</v>
      </c>
      <c r="R517" s="1">
        <v>-77.583333</v>
      </c>
      <c r="S517" s="1" t="s">
        <v>148</v>
      </c>
      <c r="T517" s="2" t="s">
        <v>80</v>
      </c>
      <c r="U517" s="8" t="s">
        <v>67</v>
      </c>
      <c r="V517" s="3" t="s">
        <v>68</v>
      </c>
      <c r="W517" s="3" t="s">
        <v>72</v>
      </c>
      <c r="X517" s="2" t="s">
        <v>83</v>
      </c>
      <c r="Y517" s="5" t="s">
        <v>60</v>
      </c>
      <c r="Z517" s="3" t="s">
        <v>84</v>
      </c>
      <c r="AB517" s="1">
        <v>7.0</v>
      </c>
      <c r="AI517" s="2" t="s">
        <v>72</v>
      </c>
      <c r="AJ517" s="1">
        <v>-1960.0</v>
      </c>
      <c r="AK517" s="1">
        <v>1640.0</v>
      </c>
      <c r="AL517" s="3" t="s">
        <v>73</v>
      </c>
      <c r="AM517" s="2" t="s">
        <v>72</v>
      </c>
      <c r="AN517" s="2" t="s">
        <v>72</v>
      </c>
      <c r="AO517" s="2" t="s">
        <v>72</v>
      </c>
      <c r="AQ517" s="2" t="s">
        <v>75</v>
      </c>
      <c r="AR517" s="2" t="s">
        <v>76</v>
      </c>
      <c r="AS517" s="1">
        <v>2886.0</v>
      </c>
      <c r="AT517" s="1">
        <v>2886.0</v>
      </c>
      <c r="AU517" s="1">
        <v>1202.0</v>
      </c>
      <c r="AV517" s="1">
        <v>22.0</v>
      </c>
      <c r="AW517" s="1">
        <v>120.0</v>
      </c>
      <c r="AX517" s="1">
        <v>6329.0</v>
      </c>
      <c r="AY517" s="1">
        <v>415.0</v>
      </c>
      <c r="AZ517" s="1" t="s">
        <v>1929</v>
      </c>
      <c r="BA517" s="1" t="s">
        <v>121</v>
      </c>
    </row>
    <row r="518">
      <c r="A518" s="1" t="s">
        <v>1920</v>
      </c>
      <c r="B518" s="1" t="s">
        <v>53</v>
      </c>
      <c r="C518" s="1">
        <v>1994.0</v>
      </c>
      <c r="D518" s="1" t="s">
        <v>1921</v>
      </c>
      <c r="E518" s="1" t="s">
        <v>1922</v>
      </c>
      <c r="F518" s="3" t="s">
        <v>1923</v>
      </c>
      <c r="H518" s="1" t="s">
        <v>1924</v>
      </c>
      <c r="I518" s="1">
        <v>75.0</v>
      </c>
      <c r="K518" s="2" t="s">
        <v>1925</v>
      </c>
      <c r="L518" s="2" t="s">
        <v>60</v>
      </c>
      <c r="M518" s="1" t="s">
        <v>1932</v>
      </c>
      <c r="N518" s="1" t="s">
        <v>62</v>
      </c>
      <c r="O518" s="1" t="s">
        <v>146</v>
      </c>
      <c r="P518" s="1" t="s">
        <v>1933</v>
      </c>
      <c r="Q518" s="1">
        <v>7.75</v>
      </c>
      <c r="R518" s="1">
        <v>-77.583333</v>
      </c>
      <c r="S518" s="1" t="s">
        <v>114</v>
      </c>
      <c r="T518" s="3" t="s">
        <v>1150</v>
      </c>
      <c r="U518" s="8" t="s">
        <v>67</v>
      </c>
      <c r="V518" s="3" t="s">
        <v>68</v>
      </c>
      <c r="W518" s="3" t="s">
        <v>72</v>
      </c>
      <c r="X518" s="2" t="s">
        <v>83</v>
      </c>
      <c r="Y518" s="5" t="s">
        <v>60</v>
      </c>
      <c r="Z518" s="3" t="s">
        <v>84</v>
      </c>
      <c r="AB518" s="1">
        <v>1.0</v>
      </c>
      <c r="AI518" s="2" t="s">
        <v>72</v>
      </c>
      <c r="AJ518" s="1">
        <v>-1790.0</v>
      </c>
      <c r="AK518" s="2" t="s">
        <v>72</v>
      </c>
      <c r="AL518" s="3" t="s">
        <v>73</v>
      </c>
      <c r="AM518" s="2" t="s">
        <v>72</v>
      </c>
      <c r="AN518" s="2" t="s">
        <v>72</v>
      </c>
      <c r="AO518" s="2" t="s">
        <v>72</v>
      </c>
      <c r="AQ518" s="2" t="s">
        <v>75</v>
      </c>
      <c r="AR518" s="2" t="s">
        <v>76</v>
      </c>
      <c r="AS518" s="1">
        <v>2886.0</v>
      </c>
      <c r="AT518" s="1">
        <v>2886.0</v>
      </c>
      <c r="AU518" s="1">
        <v>1202.0</v>
      </c>
      <c r="AV518" s="1">
        <v>22.0</v>
      </c>
      <c r="AW518" s="1">
        <v>120.0</v>
      </c>
      <c r="AX518" s="1">
        <v>6329.0</v>
      </c>
      <c r="AY518" s="1">
        <v>415.0</v>
      </c>
      <c r="AZ518" s="1" t="s">
        <v>1929</v>
      </c>
      <c r="BA518" s="1" t="s">
        <v>121</v>
      </c>
    </row>
    <row r="519">
      <c r="A519" s="1" t="s">
        <v>1920</v>
      </c>
      <c r="B519" s="1" t="s">
        <v>53</v>
      </c>
      <c r="C519" s="1">
        <v>1994.0</v>
      </c>
      <c r="D519" s="1" t="s">
        <v>1921</v>
      </c>
      <c r="E519" s="1" t="s">
        <v>1922</v>
      </c>
      <c r="F519" s="3" t="s">
        <v>1923</v>
      </c>
      <c r="H519" s="1" t="s">
        <v>1924</v>
      </c>
      <c r="I519" s="1">
        <v>75.0</v>
      </c>
      <c r="K519" s="2" t="s">
        <v>1925</v>
      </c>
      <c r="L519" s="2" t="s">
        <v>60</v>
      </c>
      <c r="M519" s="1" t="s">
        <v>1930</v>
      </c>
      <c r="N519" s="1" t="s">
        <v>62</v>
      </c>
      <c r="O519" s="1" t="s">
        <v>146</v>
      </c>
      <c r="P519" s="1" t="s">
        <v>1927</v>
      </c>
      <c r="Q519" s="1">
        <v>7.75</v>
      </c>
      <c r="R519" s="1">
        <v>-77.583333</v>
      </c>
      <c r="S519" s="1" t="s">
        <v>148</v>
      </c>
      <c r="T519" s="2" t="s">
        <v>80</v>
      </c>
      <c r="U519" s="8" t="s">
        <v>67</v>
      </c>
      <c r="V519" s="3" t="s">
        <v>68</v>
      </c>
      <c r="W519" s="3" t="s">
        <v>72</v>
      </c>
      <c r="X519" s="2" t="s">
        <v>83</v>
      </c>
      <c r="Y519" s="5" t="s">
        <v>60</v>
      </c>
      <c r="Z519" s="3" t="s">
        <v>84</v>
      </c>
      <c r="AB519" s="1">
        <v>7.0</v>
      </c>
      <c r="AI519" s="2" t="s">
        <v>72</v>
      </c>
      <c r="AJ519" s="1">
        <v>-1960.0</v>
      </c>
      <c r="AK519" s="1">
        <v>1640.0</v>
      </c>
      <c r="AL519" s="3" t="s">
        <v>73</v>
      </c>
      <c r="AM519" s="2" t="s">
        <v>72</v>
      </c>
      <c r="AN519" s="2" t="s">
        <v>72</v>
      </c>
      <c r="AO519" s="2" t="s">
        <v>72</v>
      </c>
      <c r="AQ519" s="2" t="s">
        <v>75</v>
      </c>
      <c r="AR519" s="2" t="s">
        <v>76</v>
      </c>
      <c r="AS519" s="1">
        <v>2886.0</v>
      </c>
      <c r="AT519" s="1">
        <v>2886.0</v>
      </c>
      <c r="AU519" s="1">
        <v>1202.0</v>
      </c>
      <c r="AV519" s="1">
        <v>22.0</v>
      </c>
      <c r="AW519" s="1">
        <v>120.0</v>
      </c>
      <c r="AX519" s="1">
        <v>6329.0</v>
      </c>
      <c r="AY519" s="1">
        <v>415.0</v>
      </c>
      <c r="AZ519" s="1" t="s">
        <v>1929</v>
      </c>
      <c r="BA519" s="1" t="s">
        <v>121</v>
      </c>
    </row>
    <row r="520">
      <c r="A520" s="1" t="s">
        <v>390</v>
      </c>
      <c r="B520" s="1" t="s">
        <v>53</v>
      </c>
      <c r="C520" s="1">
        <v>2017.0</v>
      </c>
      <c r="D520" s="1" t="s">
        <v>391</v>
      </c>
      <c r="E520" s="1" t="s">
        <v>392</v>
      </c>
      <c r="F520" s="1" t="s">
        <v>359</v>
      </c>
      <c r="G520" s="1" t="s">
        <v>393</v>
      </c>
      <c r="H520" s="1" t="s">
        <v>394</v>
      </c>
      <c r="I520" s="1">
        <v>32.0</v>
      </c>
      <c r="J520" s="1">
        <v>1.0</v>
      </c>
      <c r="K520" s="2" t="s">
        <v>395</v>
      </c>
      <c r="L520" s="2" t="s">
        <v>60</v>
      </c>
      <c r="M520" s="1" t="s">
        <v>1934</v>
      </c>
      <c r="N520" s="1" t="s">
        <v>62</v>
      </c>
      <c r="O520" s="1" t="s">
        <v>167</v>
      </c>
      <c r="P520" s="1" t="s">
        <v>404</v>
      </c>
      <c r="Q520" s="1">
        <v>17.228088</v>
      </c>
      <c r="R520" s="1">
        <v>-89.761455</v>
      </c>
      <c r="S520" s="1" t="s">
        <v>398</v>
      </c>
      <c r="T520" s="2" t="s">
        <v>382</v>
      </c>
      <c r="U520" s="2" t="s">
        <v>72</v>
      </c>
      <c r="V520" s="3" t="s">
        <v>277</v>
      </c>
      <c r="W520" s="1" t="s">
        <v>1935</v>
      </c>
      <c r="X520" s="1" t="s">
        <v>968</v>
      </c>
      <c r="Y520" s="5" t="s">
        <v>76</v>
      </c>
      <c r="Z520" s="3" t="s">
        <v>76</v>
      </c>
      <c r="AB520" s="1">
        <v>1.0</v>
      </c>
      <c r="AI520" s="1" t="s">
        <v>399</v>
      </c>
      <c r="AJ520" s="1">
        <v>-475.0</v>
      </c>
      <c r="AK520" s="1">
        <v>0.0</v>
      </c>
      <c r="AL520" s="2" t="s">
        <v>100</v>
      </c>
      <c r="AM520" s="2" t="s">
        <v>72</v>
      </c>
      <c r="AN520" s="1" t="s">
        <v>400</v>
      </c>
      <c r="AO520" s="2" t="s">
        <v>72</v>
      </c>
      <c r="AQ520" s="2" t="s">
        <v>75</v>
      </c>
      <c r="AR520" s="2" t="s">
        <v>76</v>
      </c>
      <c r="AS520" s="1">
        <v>1614.0</v>
      </c>
      <c r="AT520" s="1">
        <v>1614.0</v>
      </c>
      <c r="AU520" s="1">
        <v>641.0</v>
      </c>
      <c r="AV520" s="1">
        <v>38.0</v>
      </c>
      <c r="AW520" s="1">
        <v>130.0</v>
      </c>
      <c r="AX520" s="1">
        <v>5597.0</v>
      </c>
      <c r="AY520" s="1">
        <v>229.0</v>
      </c>
      <c r="AZ520" s="1" t="s">
        <v>133</v>
      </c>
      <c r="BA520" s="1" t="s">
        <v>121</v>
      </c>
    </row>
    <row r="521">
      <c r="A521" s="1" t="s">
        <v>390</v>
      </c>
      <c r="B521" s="1" t="s">
        <v>53</v>
      </c>
      <c r="C521" s="1">
        <v>2017.0</v>
      </c>
      <c r="D521" s="1" t="s">
        <v>391</v>
      </c>
      <c r="E521" s="1" t="s">
        <v>392</v>
      </c>
      <c r="F521" s="1" t="s">
        <v>359</v>
      </c>
      <c r="G521" s="1" t="s">
        <v>393</v>
      </c>
      <c r="H521" s="1" t="s">
        <v>394</v>
      </c>
      <c r="I521" s="1">
        <v>32.0</v>
      </c>
      <c r="J521" s="1">
        <v>1.0</v>
      </c>
      <c r="K521" s="2" t="s">
        <v>395</v>
      </c>
      <c r="L521" s="2" t="s">
        <v>60</v>
      </c>
      <c r="M521" s="1" t="s">
        <v>1936</v>
      </c>
      <c r="N521" s="1" t="s">
        <v>62</v>
      </c>
      <c r="O521" s="1" t="s">
        <v>167</v>
      </c>
      <c r="P521" s="1" t="s">
        <v>397</v>
      </c>
      <c r="Q521" s="1">
        <v>17.239926</v>
      </c>
      <c r="R521" s="1">
        <v>-89.804629</v>
      </c>
      <c r="S521" s="1" t="s">
        <v>398</v>
      </c>
      <c r="T521" s="2" t="s">
        <v>382</v>
      </c>
      <c r="U521" s="2" t="s">
        <v>72</v>
      </c>
      <c r="V521" s="3" t="s">
        <v>277</v>
      </c>
      <c r="W521" s="1" t="s">
        <v>1937</v>
      </c>
      <c r="X521" s="1" t="s">
        <v>968</v>
      </c>
      <c r="Y521" s="5" t="s">
        <v>76</v>
      </c>
      <c r="Z521" s="3" t="s">
        <v>76</v>
      </c>
      <c r="AB521" s="1">
        <v>3.0</v>
      </c>
      <c r="AI521" s="1" t="s">
        <v>399</v>
      </c>
      <c r="AJ521" s="1">
        <v>220.0</v>
      </c>
      <c r="AK521" s="1">
        <v>760.0</v>
      </c>
      <c r="AL521" s="2" t="s">
        <v>100</v>
      </c>
      <c r="AM521" s="2" t="s">
        <v>72</v>
      </c>
      <c r="AN521" s="1" t="s">
        <v>400</v>
      </c>
      <c r="AO521" s="2" t="s">
        <v>72</v>
      </c>
      <c r="AQ521" s="2" t="s">
        <v>75</v>
      </c>
      <c r="AR521" s="2" t="s">
        <v>76</v>
      </c>
      <c r="AS521" s="1">
        <v>1616.0</v>
      </c>
      <c r="AT521" s="1">
        <v>1616.0</v>
      </c>
      <c r="AU521" s="1">
        <v>647.0</v>
      </c>
      <c r="AV521" s="1">
        <v>38.0</v>
      </c>
      <c r="AW521" s="1">
        <v>128.0</v>
      </c>
      <c r="AX521" s="1">
        <v>5637.0</v>
      </c>
      <c r="AY521" s="1">
        <v>226.0</v>
      </c>
      <c r="AZ521" s="1" t="s">
        <v>133</v>
      </c>
      <c r="BA521" s="1" t="s">
        <v>121</v>
      </c>
    </row>
    <row r="522">
      <c r="A522" s="1" t="s">
        <v>390</v>
      </c>
      <c r="B522" s="1" t="s">
        <v>53</v>
      </c>
      <c r="C522" s="1">
        <v>2017.0</v>
      </c>
      <c r="D522" s="1" t="s">
        <v>391</v>
      </c>
      <c r="E522" s="1" t="s">
        <v>392</v>
      </c>
      <c r="F522" s="1" t="s">
        <v>359</v>
      </c>
      <c r="G522" s="1" t="s">
        <v>393</v>
      </c>
      <c r="H522" s="1" t="s">
        <v>394</v>
      </c>
      <c r="I522" s="1">
        <v>32.0</v>
      </c>
      <c r="J522" s="1">
        <v>1.0</v>
      </c>
      <c r="K522" s="2" t="s">
        <v>395</v>
      </c>
      <c r="L522" s="2" t="s">
        <v>60</v>
      </c>
      <c r="M522" s="1" t="s">
        <v>1938</v>
      </c>
      <c r="N522" s="1" t="s">
        <v>62</v>
      </c>
      <c r="O522" s="1" t="s">
        <v>167</v>
      </c>
      <c r="P522" s="1" t="s">
        <v>406</v>
      </c>
      <c r="Q522" s="1">
        <v>17.228088</v>
      </c>
      <c r="R522" s="1">
        <v>-89.761455</v>
      </c>
      <c r="S522" s="1" t="s">
        <v>398</v>
      </c>
      <c r="T522" s="2" t="s">
        <v>382</v>
      </c>
      <c r="U522" s="2" t="s">
        <v>72</v>
      </c>
      <c r="V522" s="3" t="s">
        <v>277</v>
      </c>
      <c r="W522" s="1" t="s">
        <v>1939</v>
      </c>
      <c r="X522" s="1" t="s">
        <v>968</v>
      </c>
      <c r="Y522" s="5" t="s">
        <v>76</v>
      </c>
      <c r="Z522" s="3" t="s">
        <v>76</v>
      </c>
      <c r="AB522" s="1">
        <v>3.0</v>
      </c>
      <c r="AI522" s="1" t="s">
        <v>399</v>
      </c>
      <c r="AJ522" s="1">
        <v>-1725.0</v>
      </c>
      <c r="AK522" s="1">
        <v>20.0</v>
      </c>
      <c r="AL522" s="2" t="s">
        <v>73</v>
      </c>
      <c r="AM522" s="2" t="s">
        <v>72</v>
      </c>
      <c r="AN522" s="1" t="s">
        <v>400</v>
      </c>
      <c r="AO522" s="2" t="s">
        <v>72</v>
      </c>
      <c r="AQ522" s="2" t="s">
        <v>75</v>
      </c>
      <c r="AR522" s="2" t="s">
        <v>76</v>
      </c>
      <c r="AS522" s="1">
        <v>1614.0</v>
      </c>
      <c r="AT522" s="1">
        <v>1614.0</v>
      </c>
      <c r="AU522" s="1">
        <v>641.0</v>
      </c>
      <c r="AV522" s="1">
        <v>38.0</v>
      </c>
      <c r="AW522" s="1">
        <v>130.0</v>
      </c>
      <c r="AX522" s="1">
        <v>5597.0</v>
      </c>
      <c r="AY522" s="1">
        <v>229.0</v>
      </c>
      <c r="AZ522" s="1" t="s">
        <v>133</v>
      </c>
      <c r="BA522" s="1" t="s">
        <v>121</v>
      </c>
    </row>
    <row r="523">
      <c r="A523" s="1" t="s">
        <v>390</v>
      </c>
      <c r="B523" s="1" t="s">
        <v>53</v>
      </c>
      <c r="C523" s="1">
        <v>2017.0</v>
      </c>
      <c r="D523" s="1" t="s">
        <v>391</v>
      </c>
      <c r="E523" s="1" t="s">
        <v>392</v>
      </c>
      <c r="F523" s="1" t="s">
        <v>359</v>
      </c>
      <c r="G523" s="1" t="s">
        <v>393</v>
      </c>
      <c r="H523" s="1" t="s">
        <v>394</v>
      </c>
      <c r="I523" s="1">
        <v>32.0</v>
      </c>
      <c r="J523" s="1">
        <v>1.0</v>
      </c>
      <c r="K523" s="2" t="s">
        <v>395</v>
      </c>
      <c r="L523" s="2" t="s">
        <v>60</v>
      </c>
      <c r="M523" s="1" t="s">
        <v>1940</v>
      </c>
      <c r="N523" s="1" t="s">
        <v>62</v>
      </c>
      <c r="O523" s="1" t="s">
        <v>167</v>
      </c>
      <c r="P523" s="1" t="s">
        <v>406</v>
      </c>
      <c r="Q523" s="1">
        <v>17.228088</v>
      </c>
      <c r="R523" s="1">
        <v>-89.761455</v>
      </c>
      <c r="S523" s="1" t="s">
        <v>398</v>
      </c>
      <c r="T523" s="2" t="s">
        <v>382</v>
      </c>
      <c r="U523" s="2" t="s">
        <v>72</v>
      </c>
      <c r="V523" s="3" t="s">
        <v>277</v>
      </c>
      <c r="W523" s="1" t="s">
        <v>1941</v>
      </c>
      <c r="X523" s="1" t="s">
        <v>968</v>
      </c>
      <c r="Y523" s="5" t="s">
        <v>76</v>
      </c>
      <c r="Z523" s="3" t="s">
        <v>76</v>
      </c>
      <c r="AB523" s="1">
        <v>2.0</v>
      </c>
      <c r="AI523" s="1" t="s">
        <v>408</v>
      </c>
      <c r="AJ523" s="1">
        <v>235.0</v>
      </c>
      <c r="AK523" s="1">
        <v>660.0</v>
      </c>
      <c r="AL523" s="2" t="s">
        <v>100</v>
      </c>
      <c r="AM523" s="2" t="s">
        <v>72</v>
      </c>
      <c r="AN523" s="1" t="s">
        <v>400</v>
      </c>
      <c r="AO523" s="2" t="s">
        <v>72</v>
      </c>
      <c r="AQ523" s="2" t="s">
        <v>75</v>
      </c>
      <c r="AR523" s="2" t="s">
        <v>76</v>
      </c>
      <c r="AS523" s="1">
        <v>1614.0</v>
      </c>
      <c r="AT523" s="1">
        <v>1614.0</v>
      </c>
      <c r="AU523" s="1">
        <v>641.0</v>
      </c>
      <c r="AV523" s="1">
        <v>38.0</v>
      </c>
      <c r="AW523" s="1">
        <v>130.0</v>
      </c>
      <c r="AX523" s="1">
        <v>5597.0</v>
      </c>
      <c r="AY523" s="1">
        <v>229.0</v>
      </c>
      <c r="AZ523" s="1" t="s">
        <v>133</v>
      </c>
      <c r="BA523" s="1" t="s">
        <v>121</v>
      </c>
    </row>
    <row r="524">
      <c r="A524" s="1" t="s">
        <v>390</v>
      </c>
      <c r="B524" s="1" t="s">
        <v>53</v>
      </c>
      <c r="C524" s="1">
        <v>2017.0</v>
      </c>
      <c r="D524" s="1" t="s">
        <v>391</v>
      </c>
      <c r="E524" s="1" t="s">
        <v>392</v>
      </c>
      <c r="F524" s="1" t="s">
        <v>359</v>
      </c>
      <c r="G524" s="1" t="s">
        <v>393</v>
      </c>
      <c r="H524" s="1" t="s">
        <v>394</v>
      </c>
      <c r="I524" s="1">
        <v>32.0</v>
      </c>
      <c r="J524" s="1">
        <v>1.0</v>
      </c>
      <c r="K524" s="2" t="s">
        <v>395</v>
      </c>
      <c r="L524" s="2" t="s">
        <v>60</v>
      </c>
      <c r="M524" s="1" t="s">
        <v>1942</v>
      </c>
      <c r="N524" s="1" t="s">
        <v>62</v>
      </c>
      <c r="O524" s="1" t="s">
        <v>167</v>
      </c>
      <c r="P524" s="1" t="s">
        <v>402</v>
      </c>
      <c r="Q524" s="1">
        <v>17.239567</v>
      </c>
      <c r="R524" s="1">
        <v>-89.810542</v>
      </c>
      <c r="S524" s="1" t="s">
        <v>398</v>
      </c>
      <c r="T524" s="2" t="s">
        <v>382</v>
      </c>
      <c r="U524" s="2" t="s">
        <v>72</v>
      </c>
      <c r="V524" s="3" t="s">
        <v>277</v>
      </c>
      <c r="W524" s="1" t="s">
        <v>1943</v>
      </c>
      <c r="X524" s="1" t="s">
        <v>968</v>
      </c>
      <c r="Y524" s="5" t="s">
        <v>76</v>
      </c>
      <c r="Z524" s="3" t="s">
        <v>76</v>
      </c>
      <c r="AB524" s="1">
        <v>2.0</v>
      </c>
      <c r="AI524" s="1" t="s">
        <v>399</v>
      </c>
      <c r="AJ524" s="1">
        <v>255.0</v>
      </c>
      <c r="AK524" s="1">
        <v>370.0</v>
      </c>
      <c r="AL524" s="2" t="s">
        <v>100</v>
      </c>
      <c r="AM524" s="2" t="s">
        <v>72</v>
      </c>
      <c r="AN524" s="1" t="s">
        <v>400</v>
      </c>
      <c r="AO524" s="2" t="s">
        <v>72</v>
      </c>
      <c r="AQ524" s="2" t="s">
        <v>75</v>
      </c>
      <c r="AR524" s="2" t="s">
        <v>76</v>
      </c>
      <c r="AS524" s="1">
        <v>1621.0</v>
      </c>
      <c r="AT524" s="1">
        <v>1621.0</v>
      </c>
      <c r="AU524" s="1">
        <v>649.0</v>
      </c>
      <c r="AV524" s="1">
        <v>38.0</v>
      </c>
      <c r="AW524" s="1">
        <v>130.0</v>
      </c>
      <c r="AX524" s="1">
        <v>5627.0</v>
      </c>
      <c r="AY524" s="1">
        <v>249.0</v>
      </c>
      <c r="AZ524" s="1" t="s">
        <v>133</v>
      </c>
      <c r="BA524" s="1" t="s">
        <v>121</v>
      </c>
    </row>
    <row r="525">
      <c r="A525" s="1" t="s">
        <v>1944</v>
      </c>
      <c r="B525" s="1" t="s">
        <v>53</v>
      </c>
      <c r="C525" s="1">
        <v>1996.0</v>
      </c>
      <c r="D525" s="1" t="s">
        <v>1945</v>
      </c>
      <c r="E525" s="1" t="s">
        <v>1946</v>
      </c>
      <c r="F525" s="3" t="s">
        <v>1947</v>
      </c>
      <c r="H525" s="1" t="s">
        <v>1948</v>
      </c>
      <c r="I525" s="1">
        <v>6.0</v>
      </c>
      <c r="K525" s="2" t="s">
        <v>1949</v>
      </c>
      <c r="L525" s="2" t="s">
        <v>60</v>
      </c>
      <c r="M525" s="1" t="s">
        <v>1950</v>
      </c>
      <c r="N525" s="1" t="s">
        <v>62</v>
      </c>
      <c r="O525" s="1" t="s">
        <v>167</v>
      </c>
      <c r="P525" s="1" t="s">
        <v>512</v>
      </c>
      <c r="Q525" s="1">
        <v>16.916667</v>
      </c>
      <c r="R525" s="1">
        <v>-89.833333</v>
      </c>
      <c r="S525" s="1" t="s">
        <v>148</v>
      </c>
      <c r="T525" s="2" t="s">
        <v>189</v>
      </c>
      <c r="U525" s="1" t="s">
        <v>116</v>
      </c>
      <c r="V525" s="3" t="s">
        <v>68</v>
      </c>
      <c r="W525" s="1" t="s">
        <v>1951</v>
      </c>
      <c r="X525" s="1" t="s">
        <v>70</v>
      </c>
      <c r="Y525" s="6" t="s">
        <v>76</v>
      </c>
      <c r="Z525" s="3" t="s">
        <v>76</v>
      </c>
      <c r="AB525" s="1">
        <v>7.0</v>
      </c>
      <c r="AI525" s="2" t="s">
        <v>72</v>
      </c>
      <c r="AJ525" s="1">
        <v>-6890.0</v>
      </c>
      <c r="AK525" s="1">
        <v>1950.0</v>
      </c>
      <c r="AL525" s="2" t="s">
        <v>73</v>
      </c>
      <c r="AM525" s="2" t="s">
        <v>60</v>
      </c>
      <c r="AN525" s="2" t="s">
        <v>72</v>
      </c>
      <c r="AO525" s="2" t="s">
        <v>72</v>
      </c>
      <c r="AQ525" s="2" t="s">
        <v>75</v>
      </c>
      <c r="AR525" s="2" t="s">
        <v>76</v>
      </c>
      <c r="AS525" s="1">
        <v>1738.0</v>
      </c>
      <c r="AT525" s="1">
        <v>1738.0</v>
      </c>
      <c r="AU525" s="1">
        <v>690.0</v>
      </c>
      <c r="AV525" s="1">
        <v>36.0</v>
      </c>
      <c r="AW525" s="1">
        <v>144.0</v>
      </c>
      <c r="AX525" s="1">
        <v>5677.0</v>
      </c>
      <c r="AY525" s="1">
        <v>131.0</v>
      </c>
      <c r="AZ525" s="1" t="s">
        <v>133</v>
      </c>
      <c r="BA525" s="1" t="s">
        <v>121</v>
      </c>
    </row>
    <row r="526">
      <c r="A526" s="1" t="s">
        <v>1944</v>
      </c>
      <c r="B526" s="1" t="s">
        <v>53</v>
      </c>
      <c r="C526" s="1">
        <v>1996.0</v>
      </c>
      <c r="D526" s="1" t="s">
        <v>1945</v>
      </c>
      <c r="E526" s="1" t="s">
        <v>1946</v>
      </c>
      <c r="F526" s="3" t="s">
        <v>1947</v>
      </c>
      <c r="H526" s="1" t="s">
        <v>1948</v>
      </c>
      <c r="I526" s="1">
        <v>6.0</v>
      </c>
      <c r="K526" s="2" t="s">
        <v>1949</v>
      </c>
      <c r="L526" s="2" t="s">
        <v>60</v>
      </c>
      <c r="M526" s="1" t="s">
        <v>1952</v>
      </c>
      <c r="N526" s="1" t="s">
        <v>62</v>
      </c>
      <c r="O526" s="1" t="s">
        <v>167</v>
      </c>
      <c r="P526" s="1" t="s">
        <v>512</v>
      </c>
      <c r="Q526" s="1">
        <v>16.916667</v>
      </c>
      <c r="R526" s="1">
        <v>-89.833333</v>
      </c>
      <c r="S526" s="1" t="s">
        <v>148</v>
      </c>
      <c r="T526" s="2" t="s">
        <v>66</v>
      </c>
      <c r="U526" s="1" t="s">
        <v>823</v>
      </c>
      <c r="V526" s="3" t="s">
        <v>68</v>
      </c>
      <c r="W526" s="1" t="s">
        <v>1953</v>
      </c>
      <c r="X526" s="1" t="s">
        <v>70</v>
      </c>
      <c r="Y526" s="5" t="s">
        <v>60</v>
      </c>
      <c r="Z526" s="3" t="s">
        <v>345</v>
      </c>
      <c r="AB526" s="1">
        <v>7.0</v>
      </c>
      <c r="AI526" s="2" t="s">
        <v>72</v>
      </c>
      <c r="AJ526" s="1">
        <v>-6890.0</v>
      </c>
      <c r="AK526" s="1">
        <v>1950.0</v>
      </c>
      <c r="AL526" s="2" t="s">
        <v>73</v>
      </c>
      <c r="AM526" s="2" t="s">
        <v>60</v>
      </c>
      <c r="AN526" s="2" t="s">
        <v>72</v>
      </c>
      <c r="AO526" s="2" t="s">
        <v>72</v>
      </c>
      <c r="AQ526" s="2" t="s">
        <v>75</v>
      </c>
      <c r="AR526" s="2" t="s">
        <v>76</v>
      </c>
      <c r="AS526" s="1">
        <v>1738.0</v>
      </c>
      <c r="AT526" s="1">
        <v>1738.0</v>
      </c>
      <c r="AU526" s="1">
        <v>690.0</v>
      </c>
      <c r="AV526" s="1">
        <v>36.0</v>
      </c>
      <c r="AW526" s="1">
        <v>144.0</v>
      </c>
      <c r="AX526" s="1">
        <v>5677.0</v>
      </c>
      <c r="AY526" s="1">
        <v>131.0</v>
      </c>
      <c r="AZ526" s="1" t="s">
        <v>133</v>
      </c>
      <c r="BA526" s="1" t="s">
        <v>121</v>
      </c>
    </row>
    <row r="527">
      <c r="A527" s="1" t="s">
        <v>1944</v>
      </c>
      <c r="B527" s="1" t="s">
        <v>53</v>
      </c>
      <c r="C527" s="1">
        <v>1996.0</v>
      </c>
      <c r="D527" s="1" t="s">
        <v>1945</v>
      </c>
      <c r="E527" s="1" t="s">
        <v>1946</v>
      </c>
      <c r="F527" s="3" t="s">
        <v>1947</v>
      </c>
      <c r="H527" s="1" t="s">
        <v>1948</v>
      </c>
      <c r="I527" s="1">
        <v>6.0</v>
      </c>
      <c r="K527" s="2" t="s">
        <v>1949</v>
      </c>
      <c r="L527" s="2" t="s">
        <v>60</v>
      </c>
      <c r="M527" s="1" t="s">
        <v>1954</v>
      </c>
      <c r="N527" s="1" t="s">
        <v>62</v>
      </c>
      <c r="O527" s="1" t="s">
        <v>167</v>
      </c>
      <c r="P527" s="1" t="s">
        <v>512</v>
      </c>
      <c r="Q527" s="1">
        <v>16.916667</v>
      </c>
      <c r="R527" s="1">
        <v>-89.833333</v>
      </c>
      <c r="S527" s="1" t="s">
        <v>148</v>
      </c>
      <c r="T527" s="2" t="s">
        <v>194</v>
      </c>
      <c r="U527" s="3" t="s">
        <v>116</v>
      </c>
      <c r="V527" s="3" t="s">
        <v>68</v>
      </c>
      <c r="W527" s="1" t="s">
        <v>286</v>
      </c>
      <c r="X527" s="1" t="s">
        <v>70</v>
      </c>
      <c r="Y527" s="6" t="s">
        <v>76</v>
      </c>
      <c r="Z527" s="3" t="s">
        <v>76</v>
      </c>
      <c r="AB527" s="1">
        <v>7.0</v>
      </c>
      <c r="AI527" s="2" t="s">
        <v>72</v>
      </c>
      <c r="AJ527" s="1">
        <v>-6890.0</v>
      </c>
      <c r="AK527" s="1">
        <v>1950.0</v>
      </c>
      <c r="AL527" s="2" t="s">
        <v>73</v>
      </c>
      <c r="AM527" s="2" t="s">
        <v>60</v>
      </c>
      <c r="AN527" s="2" t="s">
        <v>72</v>
      </c>
      <c r="AO527" s="2" t="s">
        <v>72</v>
      </c>
      <c r="AQ527" s="2" t="s">
        <v>75</v>
      </c>
      <c r="AR527" s="2" t="s">
        <v>76</v>
      </c>
      <c r="AS527" s="1">
        <v>1738.0</v>
      </c>
      <c r="AT527" s="1">
        <v>1738.0</v>
      </c>
      <c r="AU527" s="1">
        <v>690.0</v>
      </c>
      <c r="AV527" s="1">
        <v>36.0</v>
      </c>
      <c r="AW527" s="1">
        <v>144.0</v>
      </c>
      <c r="AX527" s="1">
        <v>5677.0</v>
      </c>
      <c r="AY527" s="1">
        <v>131.0</v>
      </c>
      <c r="AZ527" s="1" t="s">
        <v>133</v>
      </c>
      <c r="BA527" s="1" t="s">
        <v>121</v>
      </c>
    </row>
    <row r="528">
      <c r="A528" s="1" t="s">
        <v>418</v>
      </c>
      <c r="B528" s="1" t="s">
        <v>53</v>
      </c>
      <c r="C528" s="1">
        <v>1996.0</v>
      </c>
      <c r="D528" s="1" t="s">
        <v>419</v>
      </c>
      <c r="E528" s="1" t="s">
        <v>420</v>
      </c>
      <c r="F528" s="3" t="s">
        <v>1947</v>
      </c>
      <c r="H528" s="1" t="s">
        <v>421</v>
      </c>
      <c r="I528" s="1">
        <v>9.0</v>
      </c>
      <c r="K528" s="2" t="s">
        <v>422</v>
      </c>
      <c r="L528" s="2" t="s">
        <v>60</v>
      </c>
      <c r="M528" s="1" t="s">
        <v>1955</v>
      </c>
      <c r="N528" s="1" t="s">
        <v>62</v>
      </c>
      <c r="O528" s="1" t="s">
        <v>112</v>
      </c>
      <c r="P528" s="1" t="s">
        <v>424</v>
      </c>
      <c r="Q528" s="1">
        <v>9.994167</v>
      </c>
      <c r="R528" s="1">
        <v>-83.613056</v>
      </c>
      <c r="S528" s="1" t="s">
        <v>148</v>
      </c>
      <c r="T528" s="2" t="s">
        <v>80</v>
      </c>
      <c r="U528" s="3" t="s">
        <v>81</v>
      </c>
      <c r="V528" s="3" t="s">
        <v>68</v>
      </c>
      <c r="W528" s="1" t="s">
        <v>82</v>
      </c>
      <c r="X528" s="1" t="s">
        <v>1791</v>
      </c>
      <c r="Y528" s="6" t="s">
        <v>76</v>
      </c>
      <c r="Z528" s="3" t="s">
        <v>84</v>
      </c>
      <c r="AB528" s="1">
        <v>8.0</v>
      </c>
      <c r="AI528" s="1" t="s">
        <v>425</v>
      </c>
      <c r="AJ528" s="1">
        <v>-610.0</v>
      </c>
      <c r="AK528" s="1">
        <v>1950.0</v>
      </c>
      <c r="AL528" s="2" t="s">
        <v>153</v>
      </c>
      <c r="AM528" s="2" t="s">
        <v>72</v>
      </c>
      <c r="AN528" s="2" t="s">
        <v>72</v>
      </c>
      <c r="AO528" s="2" t="s">
        <v>72</v>
      </c>
      <c r="AQ528" s="2" t="s">
        <v>75</v>
      </c>
      <c r="AR528" s="2" t="s">
        <v>76</v>
      </c>
      <c r="AS528" s="1">
        <v>3518.0</v>
      </c>
      <c r="AT528" s="1">
        <v>3518.0</v>
      </c>
      <c r="AU528" s="1">
        <v>1148.0</v>
      </c>
      <c r="AV528" s="1">
        <v>76.0</v>
      </c>
      <c r="AW528" s="1">
        <v>368.0</v>
      </c>
      <c r="AX528" s="1">
        <v>3848.0</v>
      </c>
      <c r="AY528" s="1">
        <v>490.0</v>
      </c>
      <c r="AZ528" s="1" t="s">
        <v>120</v>
      </c>
      <c r="BA528" s="1" t="s">
        <v>121</v>
      </c>
    </row>
    <row r="529">
      <c r="A529" s="1" t="s">
        <v>418</v>
      </c>
      <c r="B529" s="1" t="s">
        <v>53</v>
      </c>
      <c r="C529" s="1">
        <v>1996.0</v>
      </c>
      <c r="D529" s="1" t="s">
        <v>419</v>
      </c>
      <c r="E529" s="1" t="s">
        <v>420</v>
      </c>
      <c r="F529" s="3" t="s">
        <v>1947</v>
      </c>
      <c r="H529" s="1" t="s">
        <v>421</v>
      </c>
      <c r="I529" s="1">
        <v>9.0</v>
      </c>
      <c r="K529" s="2" t="s">
        <v>422</v>
      </c>
      <c r="L529" s="2" t="s">
        <v>60</v>
      </c>
      <c r="M529" s="1" t="s">
        <v>1956</v>
      </c>
      <c r="N529" s="1" t="s">
        <v>62</v>
      </c>
      <c r="O529" s="1" t="s">
        <v>112</v>
      </c>
      <c r="P529" s="1" t="s">
        <v>427</v>
      </c>
      <c r="Q529" s="1">
        <v>9.994167</v>
      </c>
      <c r="R529" s="1">
        <v>-83.603056</v>
      </c>
      <c r="S529" s="1" t="s">
        <v>148</v>
      </c>
      <c r="T529" s="2" t="s">
        <v>66</v>
      </c>
      <c r="U529" s="3" t="s">
        <v>67</v>
      </c>
      <c r="V529" s="3" t="s">
        <v>68</v>
      </c>
      <c r="W529" s="1" t="s">
        <v>1957</v>
      </c>
      <c r="X529" s="1" t="s">
        <v>70</v>
      </c>
      <c r="Y529" s="5" t="s">
        <v>60</v>
      </c>
      <c r="Z529" s="3" t="s">
        <v>71</v>
      </c>
      <c r="AB529" s="1">
        <v>4.0</v>
      </c>
      <c r="AI529" s="1" t="s">
        <v>1125</v>
      </c>
      <c r="AJ529" s="2" t="s">
        <v>72</v>
      </c>
      <c r="AK529" s="2" t="s">
        <v>72</v>
      </c>
      <c r="AL529" s="2" t="s">
        <v>73</v>
      </c>
      <c r="AM529" s="2" t="s">
        <v>72</v>
      </c>
      <c r="AN529" s="2" t="s">
        <v>72</v>
      </c>
      <c r="AO529" s="2" t="s">
        <v>72</v>
      </c>
      <c r="AQ529" s="2" t="s">
        <v>75</v>
      </c>
      <c r="AR529" s="2" t="s">
        <v>76</v>
      </c>
      <c r="AS529" s="1">
        <v>3589.0</v>
      </c>
      <c r="AT529" s="1">
        <v>3589.0</v>
      </c>
      <c r="AU529" s="1">
        <v>1136.0</v>
      </c>
      <c r="AV529" s="1">
        <v>79.0</v>
      </c>
      <c r="AW529" s="1">
        <v>440.0</v>
      </c>
      <c r="AX529" s="1">
        <v>3547.0</v>
      </c>
      <c r="AY529" s="1">
        <v>383.0</v>
      </c>
      <c r="AZ529" s="1" t="s">
        <v>120</v>
      </c>
      <c r="BA529" s="1" t="s">
        <v>121</v>
      </c>
    </row>
    <row r="530">
      <c r="A530" s="1" t="s">
        <v>418</v>
      </c>
      <c r="B530" s="1" t="s">
        <v>53</v>
      </c>
      <c r="C530" s="1">
        <v>1996.0</v>
      </c>
      <c r="D530" s="1" t="s">
        <v>419</v>
      </c>
      <c r="E530" s="1" t="s">
        <v>420</v>
      </c>
      <c r="F530" s="3" t="s">
        <v>1947</v>
      </c>
      <c r="H530" s="1" t="s">
        <v>421</v>
      </c>
      <c r="I530" s="1">
        <v>9.0</v>
      </c>
      <c r="K530" s="2" t="s">
        <v>422</v>
      </c>
      <c r="L530" s="2" t="s">
        <v>60</v>
      </c>
      <c r="M530" s="1" t="s">
        <v>1958</v>
      </c>
      <c r="N530" s="1" t="s">
        <v>62</v>
      </c>
      <c r="O530" s="1" t="s">
        <v>112</v>
      </c>
      <c r="P530" s="1" t="s">
        <v>424</v>
      </c>
      <c r="Q530" s="1">
        <v>9.994167</v>
      </c>
      <c r="R530" s="1">
        <v>-83.613056</v>
      </c>
      <c r="S530" s="1" t="s">
        <v>148</v>
      </c>
      <c r="T530" s="2" t="s">
        <v>66</v>
      </c>
      <c r="U530" s="3" t="s">
        <v>67</v>
      </c>
      <c r="V530" s="3" t="s">
        <v>68</v>
      </c>
      <c r="W530" s="1" t="s">
        <v>1959</v>
      </c>
      <c r="X530" s="1" t="s">
        <v>70</v>
      </c>
      <c r="Y530" s="5" t="s">
        <v>60</v>
      </c>
      <c r="Z530" s="3" t="s">
        <v>71</v>
      </c>
      <c r="AB530" s="1">
        <v>8.0</v>
      </c>
      <c r="AI530" s="1" t="s">
        <v>425</v>
      </c>
      <c r="AJ530" s="1">
        <v>-610.0</v>
      </c>
      <c r="AK530" s="1">
        <v>1950.0</v>
      </c>
      <c r="AL530" s="2" t="s">
        <v>153</v>
      </c>
      <c r="AM530" s="2" t="s">
        <v>72</v>
      </c>
      <c r="AN530" s="2" t="s">
        <v>72</v>
      </c>
      <c r="AO530" s="2" t="s">
        <v>72</v>
      </c>
      <c r="AQ530" s="2" t="s">
        <v>75</v>
      </c>
      <c r="AR530" s="2" t="s">
        <v>76</v>
      </c>
      <c r="AS530" s="1">
        <v>3518.0</v>
      </c>
      <c r="AT530" s="1">
        <v>3518.0</v>
      </c>
      <c r="AU530" s="1">
        <v>1148.0</v>
      </c>
      <c r="AV530" s="1">
        <v>76.0</v>
      </c>
      <c r="AW530" s="1">
        <v>368.0</v>
      </c>
      <c r="AX530" s="1">
        <v>3848.0</v>
      </c>
      <c r="AY530" s="1">
        <v>490.0</v>
      </c>
      <c r="AZ530" s="1" t="s">
        <v>120</v>
      </c>
      <c r="BA530" s="1" t="s">
        <v>121</v>
      </c>
    </row>
    <row r="531">
      <c r="A531" s="1" t="s">
        <v>418</v>
      </c>
      <c r="B531" s="1" t="s">
        <v>53</v>
      </c>
      <c r="C531" s="1">
        <v>1996.0</v>
      </c>
      <c r="D531" s="1" t="s">
        <v>419</v>
      </c>
      <c r="E531" s="1" t="s">
        <v>420</v>
      </c>
      <c r="F531" s="3" t="s">
        <v>1947</v>
      </c>
      <c r="H531" s="1" t="s">
        <v>421</v>
      </c>
      <c r="I531" s="1">
        <v>9.0</v>
      </c>
      <c r="K531" s="2" t="s">
        <v>422</v>
      </c>
      <c r="L531" s="2" t="s">
        <v>60</v>
      </c>
      <c r="M531" s="1" t="s">
        <v>1960</v>
      </c>
      <c r="N531" s="1" t="s">
        <v>62</v>
      </c>
      <c r="O531" s="1" t="s">
        <v>112</v>
      </c>
      <c r="P531" s="1" t="s">
        <v>424</v>
      </c>
      <c r="Q531" s="1">
        <v>9.994167</v>
      </c>
      <c r="R531" s="1">
        <v>-83.613056</v>
      </c>
      <c r="S531" s="1" t="s">
        <v>148</v>
      </c>
      <c r="T531" s="2" t="s">
        <v>194</v>
      </c>
      <c r="U531" s="1" t="s">
        <v>115</v>
      </c>
      <c r="V531" s="3" t="s">
        <v>68</v>
      </c>
      <c r="W531" s="1" t="s">
        <v>286</v>
      </c>
      <c r="X531" s="1" t="s">
        <v>70</v>
      </c>
      <c r="Y531" s="6" t="s">
        <v>76</v>
      </c>
      <c r="Z531" s="3" t="s">
        <v>76</v>
      </c>
      <c r="AB531" s="1">
        <v>8.0</v>
      </c>
      <c r="AI531" s="1" t="s">
        <v>425</v>
      </c>
      <c r="AJ531" s="1">
        <v>-610.0</v>
      </c>
      <c r="AK531" s="1">
        <v>1950.0</v>
      </c>
      <c r="AL531" s="2" t="s">
        <v>153</v>
      </c>
      <c r="AM531" s="2" t="s">
        <v>72</v>
      </c>
      <c r="AN531" s="2" t="s">
        <v>72</v>
      </c>
      <c r="AO531" s="2" t="s">
        <v>72</v>
      </c>
      <c r="AQ531" s="2" t="s">
        <v>75</v>
      </c>
      <c r="AR531" s="2" t="s">
        <v>76</v>
      </c>
      <c r="AS531" s="1">
        <v>3518.0</v>
      </c>
      <c r="AT531" s="1">
        <v>3518.0</v>
      </c>
      <c r="AU531" s="1">
        <v>1148.0</v>
      </c>
      <c r="AV531" s="1">
        <v>76.0</v>
      </c>
      <c r="AW531" s="1">
        <v>368.0</v>
      </c>
      <c r="AX531" s="1">
        <v>3848.0</v>
      </c>
      <c r="AY531" s="1">
        <v>490.0</v>
      </c>
      <c r="AZ531" s="1" t="s">
        <v>120</v>
      </c>
      <c r="BA531" s="1" t="s">
        <v>121</v>
      </c>
    </row>
    <row r="532">
      <c r="A532" s="1" t="s">
        <v>418</v>
      </c>
      <c r="B532" s="1" t="s">
        <v>53</v>
      </c>
      <c r="C532" s="1">
        <v>1996.0</v>
      </c>
      <c r="D532" s="1" t="s">
        <v>419</v>
      </c>
      <c r="E532" s="1" t="s">
        <v>420</v>
      </c>
      <c r="F532" s="3" t="s">
        <v>1947</v>
      </c>
      <c r="H532" s="1" t="s">
        <v>421</v>
      </c>
      <c r="I532" s="1">
        <v>9.0</v>
      </c>
      <c r="K532" s="2" t="s">
        <v>422</v>
      </c>
      <c r="L532" s="2" t="s">
        <v>60</v>
      </c>
      <c r="M532" s="1" t="s">
        <v>1961</v>
      </c>
      <c r="N532" s="1" t="s">
        <v>62</v>
      </c>
      <c r="O532" s="1" t="s">
        <v>112</v>
      </c>
      <c r="P532" s="1" t="s">
        <v>427</v>
      </c>
      <c r="Q532" s="1">
        <v>9.994167</v>
      </c>
      <c r="R532" s="1">
        <v>-83.603056</v>
      </c>
      <c r="S532" s="1" t="s">
        <v>148</v>
      </c>
      <c r="T532" s="2" t="s">
        <v>189</v>
      </c>
      <c r="U532" s="1" t="s">
        <v>115</v>
      </c>
      <c r="V532" s="3" t="s">
        <v>68</v>
      </c>
      <c r="W532" s="1" t="s">
        <v>284</v>
      </c>
      <c r="X532" s="1" t="s">
        <v>70</v>
      </c>
      <c r="Y532" s="6" t="s">
        <v>76</v>
      </c>
      <c r="Z532" s="3" t="s">
        <v>173</v>
      </c>
      <c r="AB532" s="1">
        <v>6.0</v>
      </c>
      <c r="AI532" s="1" t="s">
        <v>428</v>
      </c>
      <c r="AJ532" s="2" t="s">
        <v>72</v>
      </c>
      <c r="AK532" s="2" t="s">
        <v>72</v>
      </c>
      <c r="AL532" s="2" t="s">
        <v>73</v>
      </c>
      <c r="AM532" s="2" t="s">
        <v>72</v>
      </c>
      <c r="AN532" s="2" t="s">
        <v>72</v>
      </c>
      <c r="AO532" s="2" t="s">
        <v>72</v>
      </c>
      <c r="AQ532" s="2" t="s">
        <v>75</v>
      </c>
      <c r="AR532" s="2" t="s">
        <v>76</v>
      </c>
      <c r="AS532" s="1">
        <v>3589.0</v>
      </c>
      <c r="AT532" s="1">
        <v>3589.0</v>
      </c>
      <c r="AU532" s="1">
        <v>1136.0</v>
      </c>
      <c r="AV532" s="1">
        <v>79.0</v>
      </c>
      <c r="AW532" s="1">
        <v>440.0</v>
      </c>
      <c r="AX532" s="1">
        <v>3547.0</v>
      </c>
      <c r="AY532" s="1">
        <v>383.0</v>
      </c>
      <c r="AZ532" s="1" t="s">
        <v>120</v>
      </c>
      <c r="BA532" s="1" t="s">
        <v>121</v>
      </c>
    </row>
    <row r="533">
      <c r="A533" s="1" t="s">
        <v>418</v>
      </c>
      <c r="B533" s="1" t="s">
        <v>53</v>
      </c>
      <c r="C533" s="1">
        <v>1996.0</v>
      </c>
      <c r="D533" s="1" t="s">
        <v>419</v>
      </c>
      <c r="E533" s="1" t="s">
        <v>420</v>
      </c>
      <c r="F533" s="3" t="s">
        <v>1947</v>
      </c>
      <c r="H533" s="1" t="s">
        <v>421</v>
      </c>
      <c r="I533" s="1">
        <v>9.0</v>
      </c>
      <c r="K533" s="2" t="s">
        <v>422</v>
      </c>
      <c r="L533" s="2" t="s">
        <v>60</v>
      </c>
      <c r="M533" s="1" t="s">
        <v>1962</v>
      </c>
      <c r="N533" s="1" t="s">
        <v>62</v>
      </c>
      <c r="O533" s="1" t="s">
        <v>112</v>
      </c>
      <c r="P533" s="1" t="s">
        <v>424</v>
      </c>
      <c r="Q533" s="1">
        <v>9.994167</v>
      </c>
      <c r="R533" s="1">
        <v>-83.613056</v>
      </c>
      <c r="S533" s="1" t="s">
        <v>148</v>
      </c>
      <c r="T533" s="2" t="s">
        <v>194</v>
      </c>
      <c r="U533" s="1" t="s">
        <v>115</v>
      </c>
      <c r="V533" s="3" t="s">
        <v>68</v>
      </c>
      <c r="W533" s="1" t="s">
        <v>286</v>
      </c>
      <c r="X533" s="1" t="s">
        <v>70</v>
      </c>
      <c r="Y533" s="6" t="s">
        <v>76</v>
      </c>
      <c r="Z533" s="3" t="s">
        <v>76</v>
      </c>
      <c r="AB533" s="1">
        <v>8.0</v>
      </c>
      <c r="AI533" s="1" t="s">
        <v>425</v>
      </c>
      <c r="AJ533" s="1">
        <v>-610.0</v>
      </c>
      <c r="AK533" s="1">
        <v>1950.0</v>
      </c>
      <c r="AL533" s="2" t="s">
        <v>153</v>
      </c>
      <c r="AM533" s="2" t="s">
        <v>72</v>
      </c>
      <c r="AN533" s="2" t="s">
        <v>72</v>
      </c>
      <c r="AO533" s="2" t="s">
        <v>72</v>
      </c>
      <c r="AQ533" s="2" t="s">
        <v>75</v>
      </c>
      <c r="AR533" s="2" t="s">
        <v>76</v>
      </c>
      <c r="AS533" s="1">
        <v>3518.0</v>
      </c>
      <c r="AT533" s="1">
        <v>3518.0</v>
      </c>
      <c r="AU533" s="1">
        <v>1148.0</v>
      </c>
      <c r="AV533" s="1">
        <v>76.0</v>
      </c>
      <c r="AW533" s="1">
        <v>368.0</v>
      </c>
      <c r="AX533" s="1">
        <v>3848.0</v>
      </c>
      <c r="AY533" s="1">
        <v>490.0</v>
      </c>
      <c r="AZ533" s="1" t="s">
        <v>120</v>
      </c>
      <c r="BA533" s="1" t="s">
        <v>121</v>
      </c>
    </row>
    <row r="534">
      <c r="A534" s="1" t="s">
        <v>418</v>
      </c>
      <c r="B534" s="1" t="s">
        <v>53</v>
      </c>
      <c r="C534" s="1">
        <v>1996.0</v>
      </c>
      <c r="D534" s="1" t="s">
        <v>419</v>
      </c>
      <c r="E534" s="1" t="s">
        <v>420</v>
      </c>
      <c r="F534" s="3" t="s">
        <v>1947</v>
      </c>
      <c r="H534" s="1" t="s">
        <v>421</v>
      </c>
      <c r="I534" s="1">
        <v>9.0</v>
      </c>
      <c r="K534" s="2" t="s">
        <v>422</v>
      </c>
      <c r="L534" s="2" t="s">
        <v>60</v>
      </c>
      <c r="M534" s="1" t="s">
        <v>1963</v>
      </c>
      <c r="N534" s="1" t="s">
        <v>62</v>
      </c>
      <c r="O534" s="1" t="s">
        <v>112</v>
      </c>
      <c r="P534" s="1" t="s">
        <v>427</v>
      </c>
      <c r="Q534" s="1">
        <v>9.994167</v>
      </c>
      <c r="R534" s="1">
        <v>-83.603056</v>
      </c>
      <c r="S534" s="1" t="s">
        <v>148</v>
      </c>
      <c r="T534" s="2" t="s">
        <v>189</v>
      </c>
      <c r="U534" s="1" t="s">
        <v>115</v>
      </c>
      <c r="V534" s="3" t="s">
        <v>68</v>
      </c>
      <c r="W534" s="1" t="s">
        <v>284</v>
      </c>
      <c r="X534" s="1" t="s">
        <v>70</v>
      </c>
      <c r="Y534" s="6" t="s">
        <v>76</v>
      </c>
      <c r="Z534" s="3" t="s">
        <v>173</v>
      </c>
      <c r="AB534" s="1">
        <v>6.0</v>
      </c>
      <c r="AI534" s="1" t="s">
        <v>428</v>
      </c>
      <c r="AJ534" s="2" t="s">
        <v>72</v>
      </c>
      <c r="AK534" s="2" t="s">
        <v>72</v>
      </c>
      <c r="AL534" s="2" t="s">
        <v>73</v>
      </c>
      <c r="AM534" s="2" t="s">
        <v>72</v>
      </c>
      <c r="AN534" s="2" t="s">
        <v>72</v>
      </c>
      <c r="AO534" s="2" t="s">
        <v>72</v>
      </c>
      <c r="AQ534" s="2" t="s">
        <v>75</v>
      </c>
      <c r="AR534" s="2" t="s">
        <v>76</v>
      </c>
      <c r="AS534" s="1">
        <v>3589.0</v>
      </c>
      <c r="AT534" s="1">
        <v>3589.0</v>
      </c>
      <c r="AU534" s="1">
        <v>1136.0</v>
      </c>
      <c r="AV534" s="1">
        <v>79.0</v>
      </c>
      <c r="AW534" s="1">
        <v>440.0</v>
      </c>
      <c r="AX534" s="1">
        <v>3547.0</v>
      </c>
      <c r="AY534" s="1">
        <v>383.0</v>
      </c>
      <c r="AZ534" s="1" t="s">
        <v>120</v>
      </c>
      <c r="BA534" s="1" t="s">
        <v>121</v>
      </c>
    </row>
    <row r="535">
      <c r="A535" s="1" t="s">
        <v>447</v>
      </c>
      <c r="B535" s="1" t="s">
        <v>53</v>
      </c>
      <c r="C535" s="1">
        <v>1996.0</v>
      </c>
      <c r="D535" s="1" t="s">
        <v>448</v>
      </c>
      <c r="E535" s="1" t="s">
        <v>449</v>
      </c>
      <c r="F535" s="3" t="s">
        <v>1947</v>
      </c>
      <c r="H535" s="1" t="s">
        <v>450</v>
      </c>
      <c r="I535" s="1">
        <v>5.0</v>
      </c>
      <c r="K535" s="2" t="s">
        <v>451</v>
      </c>
      <c r="L535" s="2" t="s">
        <v>60</v>
      </c>
      <c r="M535" s="1" t="s">
        <v>1964</v>
      </c>
      <c r="N535" s="1" t="s">
        <v>62</v>
      </c>
      <c r="O535" s="1" t="s">
        <v>92</v>
      </c>
      <c r="P535" s="1" t="s">
        <v>453</v>
      </c>
      <c r="Q535" s="1">
        <v>20.491511</v>
      </c>
      <c r="R535" s="1">
        <v>-87.738733</v>
      </c>
      <c r="S535" s="1" t="s">
        <v>148</v>
      </c>
      <c r="T535" s="2" t="s">
        <v>189</v>
      </c>
      <c r="U535" s="1" t="s">
        <v>173</v>
      </c>
      <c r="V535" s="3" t="s">
        <v>68</v>
      </c>
      <c r="W535" s="1" t="s">
        <v>1965</v>
      </c>
      <c r="X535" s="1" t="s">
        <v>70</v>
      </c>
      <c r="Y535" s="6" t="s">
        <v>76</v>
      </c>
      <c r="Z535" s="3" t="s">
        <v>76</v>
      </c>
      <c r="AI535" s="1" t="s">
        <v>457</v>
      </c>
      <c r="AJ535" s="1">
        <v>-5650.0</v>
      </c>
      <c r="AK535" s="1">
        <v>1950.0</v>
      </c>
      <c r="AL535" s="2" t="s">
        <v>73</v>
      </c>
      <c r="AM535" s="2" t="s">
        <v>72</v>
      </c>
      <c r="AN535" s="2" t="s">
        <v>72</v>
      </c>
      <c r="AO535" s="2" t="s">
        <v>72</v>
      </c>
      <c r="AQ535" s="2" t="s">
        <v>75</v>
      </c>
      <c r="AR535" s="2" t="s">
        <v>76</v>
      </c>
      <c r="AS535" s="1">
        <v>1151.0</v>
      </c>
      <c r="AT535" s="1">
        <v>1151.0</v>
      </c>
      <c r="AU535" s="1">
        <v>500.0</v>
      </c>
      <c r="AV535" s="1">
        <v>42.0</v>
      </c>
      <c r="AW535" s="1">
        <v>129.0</v>
      </c>
      <c r="AX535" s="1">
        <v>5567.0</v>
      </c>
      <c r="AY535" s="1">
        <v>14.0</v>
      </c>
      <c r="AZ535" s="1" t="s">
        <v>239</v>
      </c>
      <c r="BA535" s="1" t="s">
        <v>121</v>
      </c>
    </row>
    <row r="536">
      <c r="A536" s="1" t="s">
        <v>447</v>
      </c>
      <c r="B536" s="1" t="s">
        <v>53</v>
      </c>
      <c r="C536" s="1">
        <v>1996.0</v>
      </c>
      <c r="D536" s="1" t="s">
        <v>448</v>
      </c>
      <c r="E536" s="1" t="s">
        <v>449</v>
      </c>
      <c r="F536" s="3" t="s">
        <v>1947</v>
      </c>
      <c r="H536" s="1" t="s">
        <v>450</v>
      </c>
      <c r="I536" s="1">
        <v>5.0</v>
      </c>
      <c r="K536" s="2" t="s">
        <v>451</v>
      </c>
      <c r="L536" s="2" t="s">
        <v>60</v>
      </c>
      <c r="M536" s="1" t="s">
        <v>1966</v>
      </c>
      <c r="N536" s="1" t="s">
        <v>62</v>
      </c>
      <c r="O536" s="1" t="s">
        <v>92</v>
      </c>
      <c r="P536" s="1" t="s">
        <v>453</v>
      </c>
      <c r="Q536" s="1">
        <v>20.491511</v>
      </c>
      <c r="R536" s="1">
        <v>-87.738733</v>
      </c>
      <c r="S536" s="1" t="s">
        <v>148</v>
      </c>
      <c r="T536" s="2" t="s">
        <v>95</v>
      </c>
      <c r="U536" s="3" t="s">
        <v>1026</v>
      </c>
      <c r="V536" s="3" t="s">
        <v>97</v>
      </c>
      <c r="W536" s="1" t="s">
        <v>264</v>
      </c>
      <c r="X536" s="1" t="s">
        <v>456</v>
      </c>
      <c r="Y536" s="6" t="s">
        <v>76</v>
      </c>
      <c r="Z536" s="3" t="s">
        <v>76</v>
      </c>
      <c r="AI536" s="1" t="s">
        <v>457</v>
      </c>
      <c r="AJ536" s="1">
        <v>-5650.0</v>
      </c>
      <c r="AK536" s="1">
        <v>1950.0</v>
      </c>
      <c r="AL536" s="2" t="s">
        <v>73</v>
      </c>
      <c r="AM536" s="2" t="s">
        <v>72</v>
      </c>
      <c r="AN536" s="2" t="s">
        <v>72</v>
      </c>
      <c r="AO536" s="2" t="s">
        <v>72</v>
      </c>
      <c r="AQ536" s="2" t="s">
        <v>75</v>
      </c>
      <c r="AR536" s="2" t="s">
        <v>76</v>
      </c>
      <c r="AS536" s="1">
        <v>1151.0</v>
      </c>
      <c r="AT536" s="1">
        <v>1151.0</v>
      </c>
      <c r="AU536" s="1">
        <v>500.0</v>
      </c>
      <c r="AV536" s="1">
        <v>42.0</v>
      </c>
      <c r="AW536" s="1">
        <v>129.0</v>
      </c>
      <c r="AX536" s="1">
        <v>5567.0</v>
      </c>
      <c r="AY536" s="1">
        <v>14.0</v>
      </c>
      <c r="AZ536" s="1" t="s">
        <v>239</v>
      </c>
      <c r="BA536" s="1" t="s">
        <v>121</v>
      </c>
    </row>
    <row r="537">
      <c r="A537" s="1" t="s">
        <v>1019</v>
      </c>
      <c r="B537" s="1" t="s">
        <v>53</v>
      </c>
      <c r="C537" s="1">
        <v>2017.0</v>
      </c>
      <c r="D537" s="1" t="s">
        <v>1020</v>
      </c>
      <c r="E537" s="1" t="s">
        <v>1021</v>
      </c>
      <c r="F537" s="1" t="s">
        <v>732</v>
      </c>
      <c r="G537" s="1" t="s">
        <v>1022</v>
      </c>
      <c r="H537" s="1" t="s">
        <v>1023</v>
      </c>
      <c r="I537" s="1">
        <v>57.0</v>
      </c>
      <c r="J537" s="1">
        <v>4.0</v>
      </c>
      <c r="K537" s="2" t="s">
        <v>1024</v>
      </c>
      <c r="L537" s="2" t="s">
        <v>60</v>
      </c>
      <c r="M537" s="1" t="s">
        <v>1967</v>
      </c>
      <c r="N537" s="1" t="s">
        <v>62</v>
      </c>
      <c r="O537" s="1" t="s">
        <v>167</v>
      </c>
      <c r="P537" s="1" t="s">
        <v>512</v>
      </c>
      <c r="Q537" s="1">
        <v>16.916667</v>
      </c>
      <c r="R537" s="1">
        <v>-89.833333</v>
      </c>
      <c r="S537" s="1" t="s">
        <v>148</v>
      </c>
      <c r="T537" s="2" t="s">
        <v>275</v>
      </c>
      <c r="U537" s="1" t="s">
        <v>72</v>
      </c>
      <c r="V537" s="3" t="s">
        <v>277</v>
      </c>
      <c r="W537" s="1" t="s">
        <v>278</v>
      </c>
      <c r="X537" s="1" t="s">
        <v>279</v>
      </c>
      <c r="Y537" s="6" t="s">
        <v>76</v>
      </c>
      <c r="Z537" s="3" t="s">
        <v>76</v>
      </c>
      <c r="AB537" s="1">
        <v>36.0</v>
      </c>
      <c r="AH537" s="1">
        <v>1.0</v>
      </c>
      <c r="AI537" s="2" t="s">
        <v>72</v>
      </c>
      <c r="AJ537" s="1">
        <v>-41000.0</v>
      </c>
      <c r="AK537" s="1">
        <v>2006.0</v>
      </c>
      <c r="AL537" s="2" t="s">
        <v>100</v>
      </c>
      <c r="AM537" s="2" t="s">
        <v>60</v>
      </c>
      <c r="AN537" s="2" t="s">
        <v>132</v>
      </c>
      <c r="AO537" s="2" t="s">
        <v>76</v>
      </c>
      <c r="AQ537" s="2" t="s">
        <v>75</v>
      </c>
      <c r="AR537" s="2" t="s">
        <v>76</v>
      </c>
      <c r="AS537" s="1">
        <v>1738.0</v>
      </c>
      <c r="AT537" s="1">
        <v>1738.0</v>
      </c>
      <c r="AU537" s="1">
        <v>690.0</v>
      </c>
      <c r="AV537" s="1">
        <v>36.0</v>
      </c>
      <c r="AW537" s="1">
        <v>144.0</v>
      </c>
      <c r="AX537" s="1">
        <v>5677.0</v>
      </c>
      <c r="AY537" s="1">
        <v>131.0</v>
      </c>
      <c r="AZ537" s="1" t="s">
        <v>133</v>
      </c>
      <c r="BA537" s="1" t="s">
        <v>121</v>
      </c>
    </row>
    <row r="538">
      <c r="A538" s="1" t="s">
        <v>447</v>
      </c>
      <c r="B538" s="1" t="s">
        <v>53</v>
      </c>
      <c r="C538" s="1">
        <v>1996.0</v>
      </c>
      <c r="D538" s="1" t="s">
        <v>448</v>
      </c>
      <c r="E538" s="1" t="s">
        <v>449</v>
      </c>
      <c r="F538" s="3" t="s">
        <v>1947</v>
      </c>
      <c r="H538" s="1" t="s">
        <v>450</v>
      </c>
      <c r="I538" s="1">
        <v>5.0</v>
      </c>
      <c r="K538" s="2" t="s">
        <v>451</v>
      </c>
      <c r="L538" s="2" t="s">
        <v>60</v>
      </c>
      <c r="M538" s="1" t="s">
        <v>1968</v>
      </c>
      <c r="N538" s="1" t="s">
        <v>62</v>
      </c>
      <c r="O538" s="1" t="s">
        <v>92</v>
      </c>
      <c r="P538" s="1" t="s">
        <v>453</v>
      </c>
      <c r="Q538" s="1">
        <v>20.491511</v>
      </c>
      <c r="R538" s="1">
        <v>-87.738733</v>
      </c>
      <c r="S538" s="1" t="s">
        <v>148</v>
      </c>
      <c r="T538" s="2" t="s">
        <v>149</v>
      </c>
      <c r="U538" s="1" t="s">
        <v>150</v>
      </c>
      <c r="V538" s="3" t="s">
        <v>97</v>
      </c>
      <c r="W538" s="1" t="s">
        <v>1969</v>
      </c>
      <c r="X538" s="1" t="s">
        <v>70</v>
      </c>
      <c r="Y538" s="6" t="s">
        <v>76</v>
      </c>
      <c r="Z538" s="3" t="s">
        <v>76</v>
      </c>
      <c r="AB538" s="1">
        <v>3.0</v>
      </c>
      <c r="AI538" s="1" t="s">
        <v>457</v>
      </c>
      <c r="AJ538" s="1">
        <v>-5650.0</v>
      </c>
      <c r="AK538" s="1">
        <v>1950.0</v>
      </c>
      <c r="AL538" s="2" t="s">
        <v>73</v>
      </c>
      <c r="AM538" s="2" t="s">
        <v>72</v>
      </c>
      <c r="AN538" s="2" t="s">
        <v>72</v>
      </c>
      <c r="AO538" s="2" t="s">
        <v>72</v>
      </c>
      <c r="AQ538" s="2" t="s">
        <v>75</v>
      </c>
      <c r="AR538" s="2" t="s">
        <v>76</v>
      </c>
      <c r="AS538" s="1">
        <v>1151.0</v>
      </c>
      <c r="AT538" s="1">
        <v>1151.0</v>
      </c>
      <c r="AU538" s="1">
        <v>500.0</v>
      </c>
      <c r="AV538" s="1">
        <v>42.0</v>
      </c>
      <c r="AW538" s="1">
        <v>129.0</v>
      </c>
      <c r="AX538" s="1">
        <v>5567.0</v>
      </c>
      <c r="AY538" s="1">
        <v>14.0</v>
      </c>
      <c r="AZ538" s="1" t="s">
        <v>239</v>
      </c>
      <c r="BA538" s="1" t="s">
        <v>121</v>
      </c>
    </row>
    <row r="539">
      <c r="A539" s="1" t="s">
        <v>447</v>
      </c>
      <c r="B539" s="1" t="s">
        <v>53</v>
      </c>
      <c r="C539" s="1">
        <v>1996.0</v>
      </c>
      <c r="D539" s="1" t="s">
        <v>448</v>
      </c>
      <c r="E539" s="1" t="s">
        <v>449</v>
      </c>
      <c r="F539" s="3" t="s">
        <v>1947</v>
      </c>
      <c r="H539" s="1" t="s">
        <v>450</v>
      </c>
      <c r="I539" s="1">
        <v>5.0</v>
      </c>
      <c r="K539" s="2" t="s">
        <v>451</v>
      </c>
      <c r="L539" s="2" t="s">
        <v>60</v>
      </c>
      <c r="M539" s="1" t="s">
        <v>1970</v>
      </c>
      <c r="N539" s="1" t="s">
        <v>62</v>
      </c>
      <c r="O539" s="1" t="s">
        <v>92</v>
      </c>
      <c r="P539" s="1" t="s">
        <v>453</v>
      </c>
      <c r="Q539" s="1">
        <v>20.491511</v>
      </c>
      <c r="R539" s="1">
        <v>-87.738733</v>
      </c>
      <c r="S539" s="1" t="s">
        <v>148</v>
      </c>
      <c r="T539" s="2" t="s">
        <v>194</v>
      </c>
      <c r="U539" s="1" t="s">
        <v>173</v>
      </c>
      <c r="V539" s="3" t="s">
        <v>68</v>
      </c>
      <c r="W539" s="1" t="s">
        <v>286</v>
      </c>
      <c r="X539" s="1" t="s">
        <v>70</v>
      </c>
      <c r="Y539" s="6" t="s">
        <v>76</v>
      </c>
      <c r="Z539" s="3" t="s">
        <v>76</v>
      </c>
      <c r="AI539" s="1" t="s">
        <v>457</v>
      </c>
      <c r="AJ539" s="1">
        <v>-5650.0</v>
      </c>
      <c r="AK539" s="1">
        <v>1950.0</v>
      </c>
      <c r="AL539" s="2" t="s">
        <v>73</v>
      </c>
      <c r="AM539" s="2" t="s">
        <v>72</v>
      </c>
      <c r="AN539" s="2" t="s">
        <v>72</v>
      </c>
      <c r="AO539" s="2" t="s">
        <v>72</v>
      </c>
      <c r="AQ539" s="2" t="s">
        <v>75</v>
      </c>
      <c r="AR539" s="2" t="s">
        <v>76</v>
      </c>
      <c r="AS539" s="1">
        <v>1151.0</v>
      </c>
      <c r="AT539" s="1">
        <v>1151.0</v>
      </c>
      <c r="AU539" s="1">
        <v>500.0</v>
      </c>
      <c r="AV539" s="1">
        <v>42.0</v>
      </c>
      <c r="AW539" s="1">
        <v>129.0</v>
      </c>
      <c r="AX539" s="1">
        <v>5567.0</v>
      </c>
      <c r="AY539" s="1">
        <v>14.0</v>
      </c>
      <c r="AZ539" s="1" t="s">
        <v>239</v>
      </c>
      <c r="BA539" s="1" t="s">
        <v>121</v>
      </c>
    </row>
    <row r="540">
      <c r="A540" s="1" t="s">
        <v>591</v>
      </c>
      <c r="B540" s="1" t="s">
        <v>268</v>
      </c>
      <c r="C540" s="1">
        <v>2001.0</v>
      </c>
      <c r="D540" s="1" t="s">
        <v>592</v>
      </c>
      <c r="E540" s="1" t="s">
        <v>593</v>
      </c>
      <c r="F540" s="3" t="s">
        <v>1947</v>
      </c>
      <c r="H540" s="1" t="s">
        <v>594</v>
      </c>
      <c r="I540" s="1">
        <v>11.0</v>
      </c>
      <c r="K540" s="2" t="s">
        <v>595</v>
      </c>
      <c r="L540" s="2" t="s">
        <v>60</v>
      </c>
      <c r="M540" s="1" t="s">
        <v>1971</v>
      </c>
      <c r="N540" s="1" t="s">
        <v>62</v>
      </c>
      <c r="O540" s="1" t="s">
        <v>112</v>
      </c>
      <c r="P540" s="1" t="s">
        <v>597</v>
      </c>
      <c r="Q540" s="1">
        <v>8.813</v>
      </c>
      <c r="R540" s="1">
        <v>-82.963</v>
      </c>
      <c r="S540" s="1" t="s">
        <v>148</v>
      </c>
      <c r="T540" s="2" t="s">
        <v>66</v>
      </c>
      <c r="U540" s="1" t="s">
        <v>823</v>
      </c>
      <c r="V540" s="3" t="s">
        <v>68</v>
      </c>
      <c r="W540" s="2" t="s">
        <v>72</v>
      </c>
      <c r="X540" s="1" t="s">
        <v>70</v>
      </c>
      <c r="Y540" s="5" t="s">
        <v>60</v>
      </c>
      <c r="Z540" s="3" t="s">
        <v>345</v>
      </c>
      <c r="AB540" s="1">
        <v>3.0</v>
      </c>
      <c r="AI540" s="2" t="s">
        <v>72</v>
      </c>
      <c r="AJ540" s="1">
        <v>-1050.0</v>
      </c>
      <c r="AK540" s="1">
        <v>1997.0</v>
      </c>
      <c r="AL540" s="2" t="s">
        <v>100</v>
      </c>
      <c r="AM540" s="2" t="s">
        <v>76</v>
      </c>
      <c r="AN540" s="1" t="s">
        <v>74</v>
      </c>
      <c r="AO540" s="2" t="s">
        <v>72</v>
      </c>
      <c r="AQ540" s="2" t="s">
        <v>75</v>
      </c>
      <c r="AR540" s="2" t="s">
        <v>76</v>
      </c>
      <c r="AS540" s="1">
        <v>2841.0</v>
      </c>
      <c r="AT540" s="1">
        <v>2841.0</v>
      </c>
      <c r="AU540" s="1">
        <v>1165.0</v>
      </c>
      <c r="AV540" s="1">
        <v>40.0</v>
      </c>
      <c r="AW540" s="1">
        <v>166.0</v>
      </c>
      <c r="AX540" s="1">
        <v>6482.0</v>
      </c>
      <c r="AY540" s="1">
        <v>1094.0</v>
      </c>
      <c r="AZ540" s="1" t="s">
        <v>154</v>
      </c>
      <c r="BA540" s="1" t="s">
        <v>121</v>
      </c>
    </row>
    <row r="541">
      <c r="A541" s="1" t="s">
        <v>751</v>
      </c>
      <c r="B541" s="1" t="s">
        <v>268</v>
      </c>
      <c r="C541" s="1">
        <v>2004.0</v>
      </c>
      <c r="D541" s="1" t="s">
        <v>730</v>
      </c>
      <c r="E541" s="1" t="s">
        <v>752</v>
      </c>
      <c r="F541" s="1" t="s">
        <v>752</v>
      </c>
      <c r="H541" s="1" t="s">
        <v>753</v>
      </c>
      <c r="I541" s="1">
        <v>61.0</v>
      </c>
      <c r="K541" s="2" t="s">
        <v>754</v>
      </c>
      <c r="L541" s="2" t="s">
        <v>60</v>
      </c>
      <c r="M541" s="1" t="s">
        <v>1972</v>
      </c>
      <c r="N541" s="1" t="s">
        <v>62</v>
      </c>
      <c r="O541" s="1" t="s">
        <v>737</v>
      </c>
      <c r="P541" s="1" t="s">
        <v>756</v>
      </c>
      <c r="Q541" s="1">
        <v>13.854167</v>
      </c>
      <c r="R541" s="1">
        <v>-89.885556</v>
      </c>
      <c r="S541" s="1" t="s">
        <v>148</v>
      </c>
      <c r="T541" s="2" t="s">
        <v>599</v>
      </c>
      <c r="U541" s="3" t="s">
        <v>81</v>
      </c>
      <c r="V541" s="3" t="s">
        <v>68</v>
      </c>
      <c r="W541" s="1" t="s">
        <v>1302</v>
      </c>
      <c r="X541" s="2" t="s">
        <v>355</v>
      </c>
      <c r="Y541" s="6" t="s">
        <v>76</v>
      </c>
      <c r="Z541" s="3" t="s">
        <v>84</v>
      </c>
      <c r="AB541" s="1">
        <v>4.0</v>
      </c>
      <c r="AH541" s="1">
        <v>1.0</v>
      </c>
      <c r="AI541" s="1" t="s">
        <v>757</v>
      </c>
      <c r="AJ541" s="1">
        <v>-6050.0</v>
      </c>
      <c r="AK541" s="1">
        <v>1998.0</v>
      </c>
      <c r="AL541" s="2" t="s">
        <v>73</v>
      </c>
      <c r="AM541" s="2" t="s">
        <v>76</v>
      </c>
      <c r="AN541" s="1" t="s">
        <v>400</v>
      </c>
      <c r="AO541" s="2" t="s">
        <v>76</v>
      </c>
      <c r="AQ541" s="2" t="s">
        <v>75</v>
      </c>
      <c r="AR541" s="2" t="s">
        <v>76</v>
      </c>
      <c r="AS541" s="1">
        <v>1995.0</v>
      </c>
      <c r="AT541" s="1">
        <v>1995.0</v>
      </c>
      <c r="AU541" s="1">
        <v>1013.0</v>
      </c>
      <c r="AV541" s="1">
        <v>5.0</v>
      </c>
      <c r="AW541" s="1">
        <v>17.0</v>
      </c>
      <c r="AX541" s="1">
        <v>9481.0</v>
      </c>
      <c r="AY541" s="1">
        <v>1131.0</v>
      </c>
      <c r="AZ541" s="1" t="s">
        <v>758</v>
      </c>
      <c r="BA541" s="1" t="s">
        <v>121</v>
      </c>
    </row>
    <row r="542">
      <c r="A542" s="1" t="s">
        <v>1973</v>
      </c>
      <c r="B542" s="1" t="s">
        <v>53</v>
      </c>
      <c r="C542" s="1">
        <v>2017.0</v>
      </c>
      <c r="D542" s="1" t="s">
        <v>1974</v>
      </c>
      <c r="E542" s="1" t="s">
        <v>1975</v>
      </c>
      <c r="F542" s="1" t="s">
        <v>583</v>
      </c>
      <c r="G542" s="1" t="s">
        <v>1976</v>
      </c>
      <c r="H542" s="1" t="s">
        <v>1977</v>
      </c>
      <c r="I542" s="1">
        <v>27.0</v>
      </c>
      <c r="J542" s="1">
        <v>1.0</v>
      </c>
      <c r="K542" s="2" t="s">
        <v>1978</v>
      </c>
      <c r="L542" s="2" t="s">
        <v>76</v>
      </c>
      <c r="M542" s="1" t="s">
        <v>1973</v>
      </c>
      <c r="N542" s="1" t="s">
        <v>62</v>
      </c>
      <c r="O542" s="1" t="s">
        <v>112</v>
      </c>
      <c r="P542" s="1" t="s">
        <v>597</v>
      </c>
      <c r="Q542" s="1">
        <v>8.813</v>
      </c>
      <c r="R542" s="1">
        <v>-82.963</v>
      </c>
      <c r="S542" s="1" t="s">
        <v>148</v>
      </c>
      <c r="T542" s="2" t="s">
        <v>1214</v>
      </c>
      <c r="U542" s="2" t="s">
        <v>1979</v>
      </c>
      <c r="V542" s="3" t="s">
        <v>277</v>
      </c>
      <c r="W542" s="1" t="s">
        <v>1216</v>
      </c>
      <c r="X542" s="1" t="s">
        <v>70</v>
      </c>
      <c r="Y542" s="6" t="s">
        <v>76</v>
      </c>
      <c r="Z542" s="3" t="s">
        <v>76</v>
      </c>
      <c r="AB542" s="1">
        <v>3.0</v>
      </c>
      <c r="AH542" s="1">
        <v>1.0</v>
      </c>
      <c r="AI542" s="1" t="s">
        <v>1980</v>
      </c>
      <c r="AJ542" s="1">
        <v>-1270.0</v>
      </c>
      <c r="AK542" s="1">
        <v>1997.0</v>
      </c>
      <c r="AL542" s="2" t="s">
        <v>73</v>
      </c>
      <c r="AM542" s="2" t="s">
        <v>72</v>
      </c>
      <c r="AN542" s="2" t="s">
        <v>132</v>
      </c>
      <c r="AO542" s="2" t="s">
        <v>72</v>
      </c>
      <c r="AQ542" s="2" t="s">
        <v>102</v>
      </c>
      <c r="AR542" s="2" t="s">
        <v>76</v>
      </c>
      <c r="AS542" s="1">
        <v>2841.0</v>
      </c>
      <c r="AT542" s="1">
        <v>2841.0</v>
      </c>
      <c r="AU542" s="1">
        <v>1165.0</v>
      </c>
      <c r="AV542" s="1">
        <v>40.0</v>
      </c>
      <c r="AW542" s="1">
        <v>166.0</v>
      </c>
      <c r="AX542" s="1">
        <v>6482.0</v>
      </c>
      <c r="AY542" s="1">
        <v>1094.0</v>
      </c>
      <c r="AZ542" s="1" t="s">
        <v>154</v>
      </c>
      <c r="BA542" s="1" t="s">
        <v>121</v>
      </c>
    </row>
    <row r="543">
      <c r="A543" s="1" t="s">
        <v>122</v>
      </c>
      <c r="B543" s="1" t="s">
        <v>53</v>
      </c>
      <c r="C543" s="1">
        <v>2018.0</v>
      </c>
      <c r="D543" s="1" t="s">
        <v>123</v>
      </c>
      <c r="E543" s="1" t="s">
        <v>124</v>
      </c>
      <c r="F543" s="1" t="s">
        <v>125</v>
      </c>
      <c r="G543" s="1" t="s">
        <v>126</v>
      </c>
      <c r="H543" s="1" t="s">
        <v>127</v>
      </c>
      <c r="I543" s="1">
        <v>70.0</v>
      </c>
      <c r="J543" s="1">
        <v>1.0</v>
      </c>
      <c r="K543" s="2" t="s">
        <v>128</v>
      </c>
      <c r="L543" s="2" t="s">
        <v>60</v>
      </c>
      <c r="M543" s="1" t="s">
        <v>1981</v>
      </c>
      <c r="N543" s="1" t="s">
        <v>62</v>
      </c>
      <c r="O543" s="1" t="s">
        <v>92</v>
      </c>
      <c r="P543" s="1" t="s">
        <v>130</v>
      </c>
      <c r="Q543" s="1">
        <v>16.859733</v>
      </c>
      <c r="R543" s="1">
        <v>-93.398911</v>
      </c>
      <c r="S543" s="1" t="s">
        <v>131</v>
      </c>
      <c r="T543" s="2" t="s">
        <v>275</v>
      </c>
      <c r="U543" s="1" t="s">
        <v>72</v>
      </c>
      <c r="V543" s="3" t="s">
        <v>277</v>
      </c>
      <c r="W543" s="1" t="s">
        <v>1425</v>
      </c>
      <c r="X543" s="1" t="s">
        <v>279</v>
      </c>
      <c r="Y543" s="6" t="s">
        <v>76</v>
      </c>
      <c r="Z543" s="3" t="s">
        <v>76</v>
      </c>
      <c r="AB543" s="1">
        <v>13.0</v>
      </c>
      <c r="AI543" s="2" t="s">
        <v>72</v>
      </c>
      <c r="AJ543" s="1">
        <v>10440.0</v>
      </c>
      <c r="AK543" s="1">
        <v>-4590.0</v>
      </c>
      <c r="AL543" s="2" t="s">
        <v>100</v>
      </c>
      <c r="AM543" s="2" t="s">
        <v>76</v>
      </c>
      <c r="AN543" s="2" t="s">
        <v>132</v>
      </c>
      <c r="AO543" s="2" t="s">
        <v>72</v>
      </c>
      <c r="AQ543" s="2" t="s">
        <v>102</v>
      </c>
      <c r="AR543" s="2" t="s">
        <v>76</v>
      </c>
      <c r="AS543" s="1">
        <v>1183.0</v>
      </c>
      <c r="AT543" s="1">
        <v>1183.0</v>
      </c>
      <c r="AU543" s="1">
        <v>569.0</v>
      </c>
      <c r="AV543" s="1">
        <v>18.0</v>
      </c>
      <c r="AW543" s="1">
        <v>65.0</v>
      </c>
      <c r="AX543" s="1">
        <v>7652.0</v>
      </c>
      <c r="AY543" s="1">
        <v>887.0</v>
      </c>
      <c r="AZ543" s="1" t="s">
        <v>133</v>
      </c>
      <c r="BA543" s="1" t="s">
        <v>121</v>
      </c>
    </row>
    <row r="544">
      <c r="A544" s="1" t="s">
        <v>751</v>
      </c>
      <c r="B544" s="1" t="s">
        <v>268</v>
      </c>
      <c r="C544" s="1">
        <v>2004.0</v>
      </c>
      <c r="D544" s="1" t="s">
        <v>730</v>
      </c>
      <c r="E544" s="1" t="s">
        <v>752</v>
      </c>
      <c r="F544" s="1" t="s">
        <v>752</v>
      </c>
      <c r="H544" s="1" t="s">
        <v>753</v>
      </c>
      <c r="I544" s="1">
        <v>61.0</v>
      </c>
      <c r="K544" s="2" t="s">
        <v>754</v>
      </c>
      <c r="L544" s="2" t="s">
        <v>60</v>
      </c>
      <c r="M544" s="1" t="s">
        <v>1982</v>
      </c>
      <c r="N544" s="1" t="s">
        <v>62</v>
      </c>
      <c r="O544" s="1" t="s">
        <v>737</v>
      </c>
      <c r="P544" s="1" t="s">
        <v>756</v>
      </c>
      <c r="Q544" s="1">
        <v>13.854167</v>
      </c>
      <c r="R544" s="1">
        <v>-89.885556</v>
      </c>
      <c r="S544" s="1" t="s">
        <v>148</v>
      </c>
      <c r="T544" s="2" t="s">
        <v>66</v>
      </c>
      <c r="U544" s="3" t="s">
        <v>67</v>
      </c>
      <c r="V544" s="3" t="s">
        <v>68</v>
      </c>
      <c r="W544" s="1" t="s">
        <v>589</v>
      </c>
      <c r="X544" s="1" t="s">
        <v>70</v>
      </c>
      <c r="Y544" s="5" t="s">
        <v>60</v>
      </c>
      <c r="Z544" s="3" t="s">
        <v>345</v>
      </c>
      <c r="AB544" s="1">
        <v>4.0</v>
      </c>
      <c r="AH544" s="1">
        <v>1.0</v>
      </c>
      <c r="AI544" s="1" t="s">
        <v>757</v>
      </c>
      <c r="AJ544" s="1">
        <v>-6050.0</v>
      </c>
      <c r="AK544" s="1">
        <v>1998.0</v>
      </c>
      <c r="AL544" s="2" t="s">
        <v>73</v>
      </c>
      <c r="AM544" s="2" t="s">
        <v>76</v>
      </c>
      <c r="AN544" s="1" t="s">
        <v>400</v>
      </c>
      <c r="AO544" s="2" t="s">
        <v>76</v>
      </c>
      <c r="AQ544" s="2" t="s">
        <v>75</v>
      </c>
      <c r="AR544" s="2" t="s">
        <v>76</v>
      </c>
      <c r="AS544" s="1">
        <v>1995.0</v>
      </c>
      <c r="AT544" s="1">
        <v>1995.0</v>
      </c>
      <c r="AU544" s="1">
        <v>1013.0</v>
      </c>
      <c r="AV544" s="1">
        <v>5.0</v>
      </c>
      <c r="AW544" s="1">
        <v>17.0</v>
      </c>
      <c r="AX544" s="1">
        <v>9481.0</v>
      </c>
      <c r="AY544" s="1">
        <v>1131.0</v>
      </c>
      <c r="AZ544" s="1" t="s">
        <v>758</v>
      </c>
      <c r="BA544" s="1" t="s">
        <v>121</v>
      </c>
    </row>
    <row r="545">
      <c r="A545" s="1" t="s">
        <v>1983</v>
      </c>
      <c r="B545" s="1" t="s">
        <v>268</v>
      </c>
      <c r="C545" s="1">
        <v>2005.0</v>
      </c>
      <c r="D545" s="1" t="s">
        <v>1984</v>
      </c>
      <c r="E545" s="1" t="s">
        <v>1985</v>
      </c>
      <c r="F545" s="3" t="s">
        <v>303</v>
      </c>
      <c r="H545" s="1" t="s">
        <v>1986</v>
      </c>
      <c r="I545" s="1">
        <v>63.0</v>
      </c>
      <c r="K545" s="2" t="s">
        <v>1987</v>
      </c>
      <c r="L545" s="2" t="s">
        <v>60</v>
      </c>
      <c r="M545" s="1" t="s">
        <v>1988</v>
      </c>
      <c r="N545" s="1" t="s">
        <v>62</v>
      </c>
      <c r="O545" s="1" t="s">
        <v>92</v>
      </c>
      <c r="P545" s="1" t="s">
        <v>1989</v>
      </c>
      <c r="Q545" s="1">
        <v>20.601667</v>
      </c>
      <c r="R545" s="1">
        <v>-89.7025</v>
      </c>
      <c r="S545" s="1" t="s">
        <v>148</v>
      </c>
      <c r="T545" s="2" t="s">
        <v>95</v>
      </c>
      <c r="U545" s="2" t="s">
        <v>1990</v>
      </c>
      <c r="V545" s="3" t="s">
        <v>97</v>
      </c>
      <c r="W545" s="1" t="s">
        <v>264</v>
      </c>
      <c r="X545" s="2" t="s">
        <v>728</v>
      </c>
      <c r="Y545" s="6" t="s">
        <v>76</v>
      </c>
      <c r="Z545" s="3" t="s">
        <v>76</v>
      </c>
      <c r="AB545" s="1">
        <v>8.0</v>
      </c>
      <c r="AI545" s="2" t="s">
        <v>1991</v>
      </c>
      <c r="AJ545" s="1">
        <v>-2600.0</v>
      </c>
      <c r="AK545" s="1">
        <v>1400.0</v>
      </c>
      <c r="AL545" s="2" t="s">
        <v>73</v>
      </c>
      <c r="AM545" s="3" t="s">
        <v>60</v>
      </c>
      <c r="AN545" s="1" t="s">
        <v>400</v>
      </c>
      <c r="AO545" s="2" t="s">
        <v>76</v>
      </c>
      <c r="AQ545" s="2" t="s">
        <v>102</v>
      </c>
      <c r="AR545" s="2" t="s">
        <v>76</v>
      </c>
      <c r="AS545" s="1">
        <v>1101.0</v>
      </c>
      <c r="AT545" s="1">
        <v>1101.0</v>
      </c>
      <c r="AU545" s="1">
        <v>546.0</v>
      </c>
      <c r="AV545" s="1">
        <v>24.0</v>
      </c>
      <c r="AW545" s="1">
        <v>82.0</v>
      </c>
      <c r="AX545" s="1">
        <v>7316.0</v>
      </c>
      <c r="AY545" s="1">
        <v>19.0</v>
      </c>
      <c r="AZ545" s="1" t="s">
        <v>103</v>
      </c>
      <c r="BA545" s="1" t="s">
        <v>104</v>
      </c>
    </row>
    <row r="546">
      <c r="A546" s="1" t="s">
        <v>1983</v>
      </c>
      <c r="B546" s="1" t="s">
        <v>268</v>
      </c>
      <c r="C546" s="1">
        <v>2005.0</v>
      </c>
      <c r="D546" s="1" t="s">
        <v>1984</v>
      </c>
      <c r="E546" s="1" t="s">
        <v>1985</v>
      </c>
      <c r="F546" s="3" t="s">
        <v>303</v>
      </c>
      <c r="H546" s="1" t="s">
        <v>1986</v>
      </c>
      <c r="I546" s="1">
        <v>63.0</v>
      </c>
      <c r="K546" s="2" t="s">
        <v>1987</v>
      </c>
      <c r="L546" s="2" t="s">
        <v>60</v>
      </c>
      <c r="M546" s="1" t="s">
        <v>1992</v>
      </c>
      <c r="N546" s="1" t="s">
        <v>62</v>
      </c>
      <c r="O546" s="1" t="s">
        <v>92</v>
      </c>
      <c r="P546" s="1" t="s">
        <v>1989</v>
      </c>
      <c r="Q546" s="1">
        <v>20.601667</v>
      </c>
      <c r="R546" s="1">
        <v>-89.7025</v>
      </c>
      <c r="S546" s="1" t="s">
        <v>148</v>
      </c>
      <c r="T546" s="2" t="s">
        <v>95</v>
      </c>
      <c r="U546" s="2" t="s">
        <v>1990</v>
      </c>
      <c r="V546" s="3" t="s">
        <v>97</v>
      </c>
      <c r="W546" s="1" t="s">
        <v>264</v>
      </c>
      <c r="X546" s="2" t="s">
        <v>728</v>
      </c>
      <c r="Y546" s="6" t="s">
        <v>76</v>
      </c>
      <c r="Z546" s="3" t="s">
        <v>76</v>
      </c>
      <c r="AB546" s="1">
        <v>8.0</v>
      </c>
      <c r="AI546" s="2" t="s">
        <v>1991</v>
      </c>
      <c r="AJ546" s="1">
        <v>-2600.0</v>
      </c>
      <c r="AK546" s="1">
        <v>1950.0</v>
      </c>
      <c r="AL546" s="2" t="s">
        <v>73</v>
      </c>
      <c r="AM546" s="3" t="s">
        <v>60</v>
      </c>
      <c r="AN546" s="1" t="s">
        <v>400</v>
      </c>
      <c r="AO546" s="2" t="s">
        <v>76</v>
      </c>
      <c r="AQ546" s="2" t="s">
        <v>102</v>
      </c>
      <c r="AR546" s="2" t="s">
        <v>76</v>
      </c>
      <c r="AS546" s="1">
        <v>1101.0</v>
      </c>
      <c r="AT546" s="1">
        <v>1101.0</v>
      </c>
      <c r="AU546" s="1">
        <v>546.0</v>
      </c>
      <c r="AV546" s="1">
        <v>24.0</v>
      </c>
      <c r="AW546" s="1">
        <v>82.0</v>
      </c>
      <c r="AX546" s="1">
        <v>7316.0</v>
      </c>
      <c r="AY546" s="1">
        <v>19.0</v>
      </c>
      <c r="AZ546" s="1" t="s">
        <v>103</v>
      </c>
      <c r="BA546" s="1" t="s">
        <v>104</v>
      </c>
    </row>
    <row r="547">
      <c r="A547" s="1" t="s">
        <v>122</v>
      </c>
      <c r="B547" s="1" t="s">
        <v>53</v>
      </c>
      <c r="C547" s="1">
        <v>2018.0</v>
      </c>
      <c r="D547" s="1" t="s">
        <v>123</v>
      </c>
      <c r="E547" s="1" t="s">
        <v>124</v>
      </c>
      <c r="F547" s="1" t="s">
        <v>125</v>
      </c>
      <c r="G547" s="1" t="s">
        <v>126</v>
      </c>
      <c r="H547" s="1" t="s">
        <v>127</v>
      </c>
      <c r="I547" s="1">
        <v>70.0</v>
      </c>
      <c r="J547" s="1">
        <v>1.0</v>
      </c>
      <c r="K547" s="2" t="s">
        <v>128</v>
      </c>
      <c r="L547" s="2" t="s">
        <v>60</v>
      </c>
      <c r="M547" s="1" t="s">
        <v>1993</v>
      </c>
      <c r="N547" s="1" t="s">
        <v>62</v>
      </c>
      <c r="O547" s="1" t="s">
        <v>92</v>
      </c>
      <c r="P547" s="1" t="s">
        <v>130</v>
      </c>
      <c r="Q547" s="1">
        <v>16.859733</v>
      </c>
      <c r="R547" s="1">
        <v>-93.398911</v>
      </c>
      <c r="S547" s="1" t="s">
        <v>131</v>
      </c>
      <c r="T547" s="2" t="s">
        <v>1994</v>
      </c>
      <c r="U547" s="1" t="s">
        <v>72</v>
      </c>
      <c r="V547" s="3" t="s">
        <v>277</v>
      </c>
      <c r="W547" s="2" t="s">
        <v>72</v>
      </c>
      <c r="X547" s="2" t="s">
        <v>83</v>
      </c>
      <c r="Y547" s="6" t="s">
        <v>76</v>
      </c>
      <c r="Z547" s="3" t="s">
        <v>76</v>
      </c>
      <c r="AB547" s="1">
        <v>13.0</v>
      </c>
      <c r="AI547" s="2" t="s">
        <v>72</v>
      </c>
      <c r="AJ547" s="1">
        <v>10440.0</v>
      </c>
      <c r="AK547" s="1">
        <v>-4590.0</v>
      </c>
      <c r="AL547" s="2" t="s">
        <v>100</v>
      </c>
      <c r="AM547" s="2" t="s">
        <v>76</v>
      </c>
      <c r="AN547" s="2" t="s">
        <v>132</v>
      </c>
      <c r="AO547" s="2" t="s">
        <v>72</v>
      </c>
      <c r="AQ547" s="2" t="s">
        <v>102</v>
      </c>
      <c r="AR547" s="2" t="s">
        <v>76</v>
      </c>
      <c r="AS547" s="1">
        <v>1183.0</v>
      </c>
      <c r="AT547" s="1">
        <v>1183.0</v>
      </c>
      <c r="AU547" s="1">
        <v>569.0</v>
      </c>
      <c r="AV547" s="1">
        <v>18.0</v>
      </c>
      <c r="AW547" s="1">
        <v>65.0</v>
      </c>
      <c r="AX547" s="1">
        <v>7652.0</v>
      </c>
      <c r="AY547" s="1">
        <v>887.0</v>
      </c>
      <c r="AZ547" s="1" t="s">
        <v>133</v>
      </c>
      <c r="BA547" s="1" t="s">
        <v>121</v>
      </c>
    </row>
    <row r="548">
      <c r="A548" s="1" t="s">
        <v>1329</v>
      </c>
      <c r="B548" s="1" t="s">
        <v>53</v>
      </c>
      <c r="C548" s="1">
        <v>2018.0</v>
      </c>
      <c r="D548" s="1" t="s">
        <v>1330</v>
      </c>
      <c r="E548" s="1" t="s">
        <v>1331</v>
      </c>
      <c r="F548" s="1" t="s">
        <v>793</v>
      </c>
      <c r="G548" s="1" t="s">
        <v>1332</v>
      </c>
      <c r="H548" s="1" t="s">
        <v>1333</v>
      </c>
      <c r="I548" s="1">
        <v>495.0</v>
      </c>
      <c r="K548" s="2" t="s">
        <v>1334</v>
      </c>
      <c r="L548" s="2" t="s">
        <v>60</v>
      </c>
      <c r="M548" s="1" t="s">
        <v>1995</v>
      </c>
      <c r="N548" s="1" t="s">
        <v>62</v>
      </c>
      <c r="O548" s="1" t="s">
        <v>92</v>
      </c>
      <c r="P548" s="1" t="s">
        <v>1336</v>
      </c>
      <c r="Q548" s="1">
        <v>18.495674</v>
      </c>
      <c r="R548" s="1">
        <v>-88.400921</v>
      </c>
      <c r="S548" s="1" t="s">
        <v>1337</v>
      </c>
      <c r="T548" s="2" t="s">
        <v>275</v>
      </c>
      <c r="U548" s="1" t="s">
        <v>72</v>
      </c>
      <c r="V548" s="3" t="s">
        <v>277</v>
      </c>
      <c r="W548" s="1" t="s">
        <v>275</v>
      </c>
      <c r="X548" s="1" t="s">
        <v>279</v>
      </c>
      <c r="Y548" s="6" t="s">
        <v>76</v>
      </c>
      <c r="Z548" s="3" t="s">
        <v>76</v>
      </c>
      <c r="AB548" s="1">
        <v>7.0</v>
      </c>
      <c r="AI548" s="1" t="s">
        <v>1340</v>
      </c>
      <c r="AJ548" s="1">
        <v>-3650.0</v>
      </c>
      <c r="AK548" s="1">
        <v>250.0</v>
      </c>
      <c r="AL548" s="2" t="s">
        <v>73</v>
      </c>
      <c r="AM548" s="2" t="s">
        <v>72</v>
      </c>
      <c r="AN548" s="2" t="s">
        <v>132</v>
      </c>
      <c r="AO548" s="2" t="s">
        <v>60</v>
      </c>
      <c r="AQ548" s="2" t="s">
        <v>102</v>
      </c>
      <c r="AR548" s="2" t="s">
        <v>76</v>
      </c>
      <c r="AS548" s="1">
        <v>1203.0</v>
      </c>
      <c r="AT548" s="1">
        <v>1203.0</v>
      </c>
      <c r="AU548" s="1">
        <v>481.0</v>
      </c>
      <c r="AV548" s="1">
        <v>23.0</v>
      </c>
      <c r="AW548" s="1">
        <v>92.0</v>
      </c>
      <c r="AX548" s="1">
        <v>5915.0</v>
      </c>
      <c r="AY548" s="1">
        <v>5.0</v>
      </c>
      <c r="AZ548" s="1" t="s">
        <v>658</v>
      </c>
      <c r="BA548" s="1" t="s">
        <v>659</v>
      </c>
    </row>
    <row r="549">
      <c r="A549" s="1" t="s">
        <v>1983</v>
      </c>
      <c r="B549" s="1" t="s">
        <v>268</v>
      </c>
      <c r="C549" s="1">
        <v>2005.0</v>
      </c>
      <c r="D549" s="1" t="s">
        <v>1984</v>
      </c>
      <c r="E549" s="1" t="s">
        <v>1985</v>
      </c>
      <c r="F549" s="3" t="s">
        <v>303</v>
      </c>
      <c r="H549" s="1" t="s">
        <v>1986</v>
      </c>
      <c r="I549" s="1">
        <v>63.0</v>
      </c>
      <c r="K549" s="2" t="s">
        <v>1987</v>
      </c>
      <c r="L549" s="2" t="s">
        <v>60</v>
      </c>
      <c r="M549" s="1" t="s">
        <v>1996</v>
      </c>
      <c r="N549" s="1" t="s">
        <v>62</v>
      </c>
      <c r="O549" s="1" t="s">
        <v>92</v>
      </c>
      <c r="P549" s="1" t="s">
        <v>1989</v>
      </c>
      <c r="Q549" s="1">
        <v>20.601667</v>
      </c>
      <c r="R549" s="1">
        <v>-89.7025</v>
      </c>
      <c r="S549" s="1" t="s">
        <v>148</v>
      </c>
      <c r="T549" s="2" t="s">
        <v>95</v>
      </c>
      <c r="U549" s="2" t="s">
        <v>1990</v>
      </c>
      <c r="V549" s="3" t="s">
        <v>97</v>
      </c>
      <c r="W549" s="1" t="s">
        <v>264</v>
      </c>
      <c r="X549" s="2" t="s">
        <v>728</v>
      </c>
      <c r="Y549" s="6" t="s">
        <v>76</v>
      </c>
      <c r="Z549" s="3" t="s">
        <v>76</v>
      </c>
      <c r="AB549" s="1">
        <v>8.0</v>
      </c>
      <c r="AI549" s="2" t="s">
        <v>1991</v>
      </c>
      <c r="AJ549" s="1">
        <v>-2600.0</v>
      </c>
      <c r="AK549" s="1">
        <v>1950.0</v>
      </c>
      <c r="AL549" s="2" t="s">
        <v>73</v>
      </c>
      <c r="AM549" s="3" t="s">
        <v>60</v>
      </c>
      <c r="AN549" s="1" t="s">
        <v>400</v>
      </c>
      <c r="AO549" s="2" t="s">
        <v>76</v>
      </c>
      <c r="AQ549" s="2" t="s">
        <v>102</v>
      </c>
      <c r="AR549" s="2" t="s">
        <v>76</v>
      </c>
      <c r="AS549" s="1">
        <v>1101.0</v>
      </c>
      <c r="AT549" s="1">
        <v>1101.0</v>
      </c>
      <c r="AU549" s="1">
        <v>546.0</v>
      </c>
      <c r="AV549" s="1">
        <v>24.0</v>
      </c>
      <c r="AW549" s="1">
        <v>82.0</v>
      </c>
      <c r="AX549" s="1">
        <v>7316.0</v>
      </c>
      <c r="AY549" s="1">
        <v>19.0</v>
      </c>
      <c r="AZ549" s="1" t="s">
        <v>103</v>
      </c>
      <c r="BA549" s="1" t="s">
        <v>104</v>
      </c>
    </row>
    <row r="550">
      <c r="A550" s="1" t="s">
        <v>1997</v>
      </c>
      <c r="B550" s="1" t="s">
        <v>268</v>
      </c>
      <c r="C550" s="1">
        <v>2006.0</v>
      </c>
      <c r="D550" s="1" t="s">
        <v>1998</v>
      </c>
      <c r="E550" s="1" t="s">
        <v>1999</v>
      </c>
      <c r="F550" s="3" t="s">
        <v>1884</v>
      </c>
      <c r="H550" s="1" t="s">
        <v>2000</v>
      </c>
      <c r="I550" s="1">
        <v>15.0</v>
      </c>
      <c r="K550" s="2" t="s">
        <v>2001</v>
      </c>
      <c r="L550" s="2" t="s">
        <v>76</v>
      </c>
      <c r="M550" s="1" t="s">
        <v>1997</v>
      </c>
      <c r="N550" s="1" t="s">
        <v>62</v>
      </c>
      <c r="O550" s="1" t="s">
        <v>92</v>
      </c>
      <c r="P550" s="1" t="s">
        <v>406</v>
      </c>
      <c r="Q550" s="1">
        <v>18.446667</v>
      </c>
      <c r="R550" s="1">
        <v>-88.529722</v>
      </c>
      <c r="S550" s="1" t="s">
        <v>148</v>
      </c>
      <c r="T550" s="2" t="s">
        <v>66</v>
      </c>
      <c r="U550" s="3" t="s">
        <v>823</v>
      </c>
      <c r="V550" s="3" t="s">
        <v>788</v>
      </c>
      <c r="W550" s="1" t="s">
        <v>2002</v>
      </c>
      <c r="X550" s="1" t="s">
        <v>70</v>
      </c>
      <c r="Y550" s="5" t="s">
        <v>76</v>
      </c>
      <c r="Z550" s="3" t="s">
        <v>76</v>
      </c>
      <c r="AB550" s="1">
        <v>2.0</v>
      </c>
      <c r="AI550" s="2" t="s">
        <v>72</v>
      </c>
      <c r="AJ550" s="1">
        <v>-3130.0</v>
      </c>
      <c r="AK550" s="1">
        <v>-1250.0</v>
      </c>
      <c r="AL550" s="3" t="s">
        <v>73</v>
      </c>
      <c r="AM550" s="3" t="s">
        <v>72</v>
      </c>
      <c r="AN550" s="1" t="s">
        <v>74</v>
      </c>
      <c r="AO550" s="2" t="s">
        <v>72</v>
      </c>
      <c r="AQ550" s="2" t="s">
        <v>75</v>
      </c>
      <c r="AR550" s="2" t="s">
        <v>76</v>
      </c>
      <c r="AS550" s="1">
        <v>1193.0</v>
      </c>
      <c r="AT550" s="1">
        <v>1193.0</v>
      </c>
      <c r="AU550" s="1">
        <v>495.0</v>
      </c>
      <c r="AV550" s="1">
        <v>23.0</v>
      </c>
      <c r="AW550" s="1">
        <v>84.0</v>
      </c>
      <c r="AX550" s="1">
        <v>6287.0</v>
      </c>
      <c r="AY550" s="1">
        <v>19.0</v>
      </c>
      <c r="AZ550" s="1" t="s">
        <v>239</v>
      </c>
      <c r="BA550" s="1" t="s">
        <v>121</v>
      </c>
    </row>
    <row r="551">
      <c r="A551" s="1" t="s">
        <v>919</v>
      </c>
      <c r="B551" s="1" t="s">
        <v>268</v>
      </c>
      <c r="C551" s="1">
        <v>2006.0</v>
      </c>
      <c r="D551" s="1" t="s">
        <v>581</v>
      </c>
      <c r="E551" s="1" t="s">
        <v>920</v>
      </c>
      <c r="F551" s="3" t="s">
        <v>303</v>
      </c>
      <c r="H551" s="1" t="s">
        <v>921</v>
      </c>
      <c r="I551" s="1">
        <v>65.0</v>
      </c>
      <c r="K551" s="2" t="s">
        <v>922</v>
      </c>
      <c r="L551" s="2" t="s">
        <v>60</v>
      </c>
      <c r="M551" s="1" t="s">
        <v>2003</v>
      </c>
      <c r="N551" s="1" t="s">
        <v>62</v>
      </c>
      <c r="O551" s="1" t="s">
        <v>167</v>
      </c>
      <c r="P551" s="1" t="s">
        <v>588</v>
      </c>
      <c r="Q551" s="1">
        <v>17.533333</v>
      </c>
      <c r="R551" s="1">
        <v>-90.183333</v>
      </c>
      <c r="S551" s="1" t="s">
        <v>148</v>
      </c>
      <c r="T551" s="2" t="s">
        <v>66</v>
      </c>
      <c r="U551" s="2" t="s">
        <v>1909</v>
      </c>
      <c r="V551" s="3" t="s">
        <v>171</v>
      </c>
      <c r="W551" s="1" t="s">
        <v>589</v>
      </c>
      <c r="X551" s="1" t="s">
        <v>70</v>
      </c>
      <c r="Y551" s="5" t="s">
        <v>60</v>
      </c>
      <c r="Z551" s="3" t="s">
        <v>345</v>
      </c>
      <c r="AB551" s="1">
        <v>6.0</v>
      </c>
      <c r="AI551" s="2" t="s">
        <v>72</v>
      </c>
      <c r="AJ551" s="1">
        <v>-6450.0</v>
      </c>
      <c r="AK551" s="1">
        <v>1950.0</v>
      </c>
      <c r="AL551" s="2" t="s">
        <v>73</v>
      </c>
      <c r="AM551" s="3" t="s">
        <v>72</v>
      </c>
      <c r="AN551" s="1" t="s">
        <v>400</v>
      </c>
      <c r="AO551" s="2" t="s">
        <v>72</v>
      </c>
      <c r="AQ551" s="2" t="s">
        <v>75</v>
      </c>
      <c r="AR551" s="2" t="s">
        <v>76</v>
      </c>
      <c r="AS551" s="1">
        <v>1598.0</v>
      </c>
      <c r="AT551" s="1">
        <v>1598.0</v>
      </c>
      <c r="AU551" s="1">
        <v>686.0</v>
      </c>
      <c r="AV551" s="1">
        <v>33.0</v>
      </c>
      <c r="AW551" s="1">
        <v>119.0</v>
      </c>
      <c r="AX551" s="1">
        <v>6059.0</v>
      </c>
      <c r="AY551" s="1">
        <v>238.0</v>
      </c>
      <c r="AZ551" s="1" t="s">
        <v>133</v>
      </c>
      <c r="BA551" s="1" t="s">
        <v>121</v>
      </c>
    </row>
    <row r="552">
      <c r="A552" s="1" t="s">
        <v>919</v>
      </c>
      <c r="B552" s="1" t="s">
        <v>268</v>
      </c>
      <c r="C552" s="1">
        <v>2006.0</v>
      </c>
      <c r="D552" s="1" t="s">
        <v>581</v>
      </c>
      <c r="E552" s="1" t="s">
        <v>920</v>
      </c>
      <c r="F552" s="3" t="s">
        <v>303</v>
      </c>
      <c r="H552" s="1" t="s">
        <v>921</v>
      </c>
      <c r="I552" s="1">
        <v>65.0</v>
      </c>
      <c r="K552" s="2" t="s">
        <v>922</v>
      </c>
      <c r="L552" s="2" t="s">
        <v>60</v>
      </c>
      <c r="M552" s="1" t="s">
        <v>2004</v>
      </c>
      <c r="N552" s="1" t="s">
        <v>62</v>
      </c>
      <c r="O552" s="1" t="s">
        <v>167</v>
      </c>
      <c r="P552" s="1" t="s">
        <v>588</v>
      </c>
      <c r="Q552" s="1">
        <v>17.533333</v>
      </c>
      <c r="R552" s="1">
        <v>-90.183333</v>
      </c>
      <c r="S552" s="1" t="s">
        <v>148</v>
      </c>
      <c r="T552" s="2" t="s">
        <v>382</v>
      </c>
      <c r="U552" s="1" t="s">
        <v>173</v>
      </c>
      <c r="V552" s="3" t="s">
        <v>299</v>
      </c>
      <c r="W552" s="1" t="s">
        <v>606</v>
      </c>
      <c r="X552" s="1" t="s">
        <v>544</v>
      </c>
      <c r="Y552" s="6" t="s">
        <v>76</v>
      </c>
      <c r="Z552" s="1" t="s">
        <v>173</v>
      </c>
      <c r="AB552" s="1">
        <v>6.0</v>
      </c>
      <c r="AI552" s="2" t="s">
        <v>72</v>
      </c>
      <c r="AJ552" s="1">
        <v>-6450.0</v>
      </c>
      <c r="AK552" s="1">
        <v>1950.0</v>
      </c>
      <c r="AL552" s="2" t="s">
        <v>73</v>
      </c>
      <c r="AM552" s="3" t="s">
        <v>72</v>
      </c>
      <c r="AN552" s="1" t="s">
        <v>400</v>
      </c>
      <c r="AO552" s="2" t="s">
        <v>72</v>
      </c>
      <c r="AQ552" s="2" t="s">
        <v>75</v>
      </c>
      <c r="AR552" s="2" t="s">
        <v>76</v>
      </c>
      <c r="AS552" s="1">
        <v>1598.0</v>
      </c>
      <c r="AT552" s="1">
        <v>1598.0</v>
      </c>
      <c r="AU552" s="1">
        <v>686.0</v>
      </c>
      <c r="AV552" s="1">
        <v>33.0</v>
      </c>
      <c r="AW552" s="1">
        <v>119.0</v>
      </c>
      <c r="AX552" s="1">
        <v>6059.0</v>
      </c>
      <c r="AY552" s="1">
        <v>238.0</v>
      </c>
      <c r="AZ552" s="1" t="s">
        <v>133</v>
      </c>
      <c r="BA552" s="1" t="s">
        <v>121</v>
      </c>
    </row>
    <row r="553">
      <c r="A553" s="1" t="s">
        <v>931</v>
      </c>
      <c r="B553" s="1" t="s">
        <v>268</v>
      </c>
      <c r="C553" s="1">
        <v>2007.0</v>
      </c>
      <c r="D553" s="1" t="s">
        <v>730</v>
      </c>
      <c r="E553" s="1" t="s">
        <v>932</v>
      </c>
      <c r="F553" s="3" t="s">
        <v>2005</v>
      </c>
      <c r="H553" s="1" t="s">
        <v>933</v>
      </c>
      <c r="I553" s="1">
        <v>97.0</v>
      </c>
      <c r="K553" s="2" t="s">
        <v>934</v>
      </c>
      <c r="L553" s="2" t="s">
        <v>60</v>
      </c>
      <c r="M553" s="1" t="s">
        <v>2006</v>
      </c>
      <c r="N553" s="1" t="s">
        <v>62</v>
      </c>
      <c r="O553" s="1" t="s">
        <v>737</v>
      </c>
      <c r="P553" s="1" t="s">
        <v>936</v>
      </c>
      <c r="Q553" s="1">
        <v>13.983226</v>
      </c>
      <c r="R553" s="1">
        <v>-89.671258</v>
      </c>
      <c r="S553" s="1" t="s">
        <v>148</v>
      </c>
      <c r="T553" s="2" t="s">
        <v>599</v>
      </c>
      <c r="U553" s="3" t="s">
        <v>81</v>
      </c>
      <c r="V553" s="3" t="s">
        <v>68</v>
      </c>
      <c r="W553" s="1" t="s">
        <v>82</v>
      </c>
      <c r="X553" s="2" t="s">
        <v>928</v>
      </c>
      <c r="Y553" s="6" t="s">
        <v>76</v>
      </c>
      <c r="Z553" s="3" t="s">
        <v>84</v>
      </c>
      <c r="AB553" s="1">
        <v>4.0</v>
      </c>
      <c r="AH553" s="1">
        <v>1.0</v>
      </c>
      <c r="AI553" s="1" t="s">
        <v>937</v>
      </c>
      <c r="AJ553" s="1">
        <v>-1760.0</v>
      </c>
      <c r="AK553" s="1">
        <v>1950.0</v>
      </c>
      <c r="AL553" s="2" t="s">
        <v>73</v>
      </c>
      <c r="AM553" s="2" t="s">
        <v>76</v>
      </c>
      <c r="AN553" s="1" t="s">
        <v>74</v>
      </c>
      <c r="AO553" s="2" t="s">
        <v>72</v>
      </c>
      <c r="AQ553" s="2" t="s">
        <v>75</v>
      </c>
      <c r="AR553" s="2" t="s">
        <v>76</v>
      </c>
      <c r="AS553" s="1">
        <v>1612.0</v>
      </c>
      <c r="AT553" s="1">
        <v>1612.0</v>
      </c>
      <c r="AU553" s="1">
        <v>836.0</v>
      </c>
      <c r="AV553" s="1">
        <v>3.0</v>
      </c>
      <c r="AW553" s="1">
        <v>13.0</v>
      </c>
      <c r="AX553" s="1">
        <v>9515.0</v>
      </c>
      <c r="AY553" s="1">
        <v>700.0</v>
      </c>
      <c r="AZ553" s="1" t="s">
        <v>77</v>
      </c>
      <c r="BA553" s="1" t="s">
        <v>78</v>
      </c>
    </row>
    <row r="554">
      <c r="A554" s="1" t="s">
        <v>931</v>
      </c>
      <c r="B554" s="1" t="s">
        <v>268</v>
      </c>
      <c r="C554" s="1">
        <v>2007.0</v>
      </c>
      <c r="D554" s="1" t="s">
        <v>730</v>
      </c>
      <c r="E554" s="1" t="s">
        <v>932</v>
      </c>
      <c r="F554" s="3" t="s">
        <v>2005</v>
      </c>
      <c r="H554" s="1" t="s">
        <v>933</v>
      </c>
      <c r="I554" s="1">
        <v>97.0</v>
      </c>
      <c r="K554" s="2" t="s">
        <v>934</v>
      </c>
      <c r="L554" s="2" t="s">
        <v>60</v>
      </c>
      <c r="M554" s="1" t="s">
        <v>2007</v>
      </c>
      <c r="N554" s="1" t="s">
        <v>62</v>
      </c>
      <c r="O554" s="1" t="s">
        <v>737</v>
      </c>
      <c r="P554" s="1" t="s">
        <v>936</v>
      </c>
      <c r="Q554" s="1">
        <v>13.983226</v>
      </c>
      <c r="R554" s="1">
        <v>-89.671258</v>
      </c>
      <c r="S554" s="1" t="s">
        <v>148</v>
      </c>
      <c r="T554" s="2" t="s">
        <v>382</v>
      </c>
      <c r="U554" s="7" t="s">
        <v>173</v>
      </c>
      <c r="V554" s="3" t="s">
        <v>116</v>
      </c>
      <c r="W554" s="1" t="s">
        <v>2008</v>
      </c>
      <c r="X554" s="1" t="s">
        <v>2009</v>
      </c>
      <c r="Y554" s="6" t="s">
        <v>76</v>
      </c>
      <c r="Z554" s="1" t="s">
        <v>173</v>
      </c>
      <c r="AB554" s="1">
        <v>4.0</v>
      </c>
      <c r="AH554" s="1">
        <v>1.0</v>
      </c>
      <c r="AI554" s="1" t="s">
        <v>937</v>
      </c>
      <c r="AJ554" s="1">
        <v>-1760.0</v>
      </c>
      <c r="AK554" s="1">
        <v>1950.0</v>
      </c>
      <c r="AL554" s="2" t="s">
        <v>73</v>
      </c>
      <c r="AM554" s="2" t="s">
        <v>76</v>
      </c>
      <c r="AN554" s="1" t="s">
        <v>74</v>
      </c>
      <c r="AO554" s="2" t="s">
        <v>72</v>
      </c>
      <c r="AQ554" s="2" t="s">
        <v>75</v>
      </c>
      <c r="AR554" s="2" t="s">
        <v>76</v>
      </c>
      <c r="AS554" s="1">
        <v>1612.0</v>
      </c>
      <c r="AT554" s="1">
        <v>1612.0</v>
      </c>
      <c r="AU554" s="1">
        <v>836.0</v>
      </c>
      <c r="AV554" s="1">
        <v>3.0</v>
      </c>
      <c r="AW554" s="1">
        <v>13.0</v>
      </c>
      <c r="AX554" s="1">
        <v>9515.0</v>
      </c>
      <c r="AY554" s="1">
        <v>700.0</v>
      </c>
      <c r="AZ554" s="1" t="s">
        <v>77</v>
      </c>
      <c r="BA554" s="1" t="s">
        <v>78</v>
      </c>
    </row>
    <row r="555">
      <c r="A555" s="1" t="s">
        <v>931</v>
      </c>
      <c r="B555" s="1" t="s">
        <v>268</v>
      </c>
      <c r="C555" s="1">
        <v>2007.0</v>
      </c>
      <c r="D555" s="1" t="s">
        <v>730</v>
      </c>
      <c r="E555" s="1" t="s">
        <v>932</v>
      </c>
      <c r="F555" s="3" t="s">
        <v>2005</v>
      </c>
      <c r="H555" s="1" t="s">
        <v>933</v>
      </c>
      <c r="I555" s="1">
        <v>97.0</v>
      </c>
      <c r="K555" s="2" t="s">
        <v>934</v>
      </c>
      <c r="L555" s="2" t="s">
        <v>60</v>
      </c>
      <c r="M555" s="1" t="s">
        <v>2010</v>
      </c>
      <c r="N555" s="1" t="s">
        <v>62</v>
      </c>
      <c r="O555" s="1" t="s">
        <v>737</v>
      </c>
      <c r="P555" s="1" t="s">
        <v>936</v>
      </c>
      <c r="Q555" s="1">
        <v>13.983226</v>
      </c>
      <c r="R555" s="1">
        <v>-89.671258</v>
      </c>
      <c r="S555" s="1" t="s">
        <v>148</v>
      </c>
      <c r="T555" s="2" t="s">
        <v>66</v>
      </c>
      <c r="U555" s="2" t="s">
        <v>1909</v>
      </c>
      <c r="V555" s="3" t="s">
        <v>171</v>
      </c>
      <c r="W555" s="1" t="s">
        <v>2011</v>
      </c>
      <c r="X555" s="1" t="s">
        <v>70</v>
      </c>
      <c r="Y555" s="5" t="s">
        <v>60</v>
      </c>
      <c r="Z555" s="3" t="s">
        <v>345</v>
      </c>
      <c r="AB555" s="1">
        <v>4.0</v>
      </c>
      <c r="AH555" s="1">
        <v>1.0</v>
      </c>
      <c r="AI555" s="1" t="s">
        <v>937</v>
      </c>
      <c r="AJ555" s="1">
        <v>-1760.0</v>
      </c>
      <c r="AK555" s="1">
        <v>1950.0</v>
      </c>
      <c r="AL555" s="2" t="s">
        <v>73</v>
      </c>
      <c r="AM555" s="2" t="s">
        <v>76</v>
      </c>
      <c r="AN555" s="1" t="s">
        <v>74</v>
      </c>
      <c r="AO555" s="2" t="s">
        <v>72</v>
      </c>
      <c r="AQ555" s="2" t="s">
        <v>75</v>
      </c>
      <c r="AR555" s="2" t="s">
        <v>76</v>
      </c>
      <c r="AS555" s="1">
        <v>1612.0</v>
      </c>
      <c r="AT555" s="1">
        <v>1612.0</v>
      </c>
      <c r="AU555" s="1">
        <v>836.0</v>
      </c>
      <c r="AV555" s="1">
        <v>3.0</v>
      </c>
      <c r="AW555" s="1">
        <v>13.0</v>
      </c>
      <c r="AX555" s="1">
        <v>9515.0</v>
      </c>
      <c r="AY555" s="1">
        <v>700.0</v>
      </c>
      <c r="AZ555" s="1" t="s">
        <v>77</v>
      </c>
      <c r="BA555" s="1" t="s">
        <v>78</v>
      </c>
    </row>
    <row r="556">
      <c r="A556" s="1" t="s">
        <v>2012</v>
      </c>
      <c r="B556" s="1" t="s">
        <v>53</v>
      </c>
      <c r="C556" s="1">
        <v>2007.0</v>
      </c>
      <c r="D556" s="1" t="s">
        <v>2013</v>
      </c>
      <c r="E556" s="1" t="s">
        <v>2014</v>
      </c>
      <c r="F556" s="3" t="s">
        <v>793</v>
      </c>
      <c r="L556" s="2" t="s">
        <v>60</v>
      </c>
      <c r="M556" s="1" t="s">
        <v>2015</v>
      </c>
      <c r="N556" s="1" t="s">
        <v>62</v>
      </c>
      <c r="O556" s="1" t="s">
        <v>187</v>
      </c>
      <c r="P556" s="1" t="s">
        <v>1317</v>
      </c>
      <c r="Q556" s="1">
        <v>16.883</v>
      </c>
      <c r="R556" s="1">
        <v>-89.108</v>
      </c>
      <c r="S556" s="1" t="s">
        <v>94</v>
      </c>
      <c r="T556" s="2" t="s">
        <v>95</v>
      </c>
      <c r="U556" s="2" t="s">
        <v>96</v>
      </c>
      <c r="V556" s="3" t="s">
        <v>97</v>
      </c>
      <c r="W556" s="1" t="s">
        <v>2016</v>
      </c>
      <c r="X556" s="2" t="s">
        <v>728</v>
      </c>
      <c r="Y556" s="6" t="s">
        <v>76</v>
      </c>
      <c r="Z556" s="3" t="s">
        <v>76</v>
      </c>
      <c r="AB556" s="1">
        <v>8.0</v>
      </c>
      <c r="AD556" s="1">
        <v>3.0</v>
      </c>
      <c r="AF556" s="1">
        <v>13.0</v>
      </c>
      <c r="AI556" s="2" t="s">
        <v>72</v>
      </c>
      <c r="AJ556" s="1">
        <v>-1300.0</v>
      </c>
      <c r="AK556" s="1">
        <v>2000.0</v>
      </c>
      <c r="AL556" s="2" t="s">
        <v>153</v>
      </c>
      <c r="AM556" s="2" t="s">
        <v>60</v>
      </c>
      <c r="AN556" s="2" t="s">
        <v>72</v>
      </c>
      <c r="AO556" s="2" t="s">
        <v>101</v>
      </c>
      <c r="AQ556" s="2" t="s">
        <v>576</v>
      </c>
      <c r="AR556" s="2" t="s">
        <v>76</v>
      </c>
      <c r="AS556" s="1">
        <v>2142.0</v>
      </c>
      <c r="AT556" s="1">
        <v>2142.0</v>
      </c>
      <c r="AU556" s="1">
        <v>878.0</v>
      </c>
      <c r="AV556" s="1">
        <v>52.0</v>
      </c>
      <c r="AW556" s="1">
        <v>184.0</v>
      </c>
      <c r="AX556" s="1">
        <v>5497.0</v>
      </c>
      <c r="AY556" s="1">
        <v>500.0</v>
      </c>
      <c r="AZ556" s="1" t="s">
        <v>133</v>
      </c>
      <c r="BA556" s="1" t="s">
        <v>121</v>
      </c>
    </row>
    <row r="557">
      <c r="A557" s="1" t="s">
        <v>2012</v>
      </c>
      <c r="B557" s="1" t="s">
        <v>53</v>
      </c>
      <c r="C557" s="1">
        <v>2007.0</v>
      </c>
      <c r="D557" s="1" t="s">
        <v>2013</v>
      </c>
      <c r="E557" s="1" t="s">
        <v>2014</v>
      </c>
      <c r="F557" s="3" t="s">
        <v>793</v>
      </c>
      <c r="L557" s="2" t="s">
        <v>60</v>
      </c>
      <c r="M557" s="1" t="s">
        <v>2017</v>
      </c>
      <c r="N557" s="1" t="s">
        <v>62</v>
      </c>
      <c r="O557" s="1" t="s">
        <v>187</v>
      </c>
      <c r="P557" s="1" t="s">
        <v>1317</v>
      </c>
      <c r="Q557" s="1">
        <v>16.883</v>
      </c>
      <c r="R557" s="1">
        <v>-89.108</v>
      </c>
      <c r="S557" s="1" t="s">
        <v>94</v>
      </c>
      <c r="T557" s="2" t="s">
        <v>135</v>
      </c>
      <c r="U557" s="2" t="s">
        <v>96</v>
      </c>
      <c r="V557" s="3" t="s">
        <v>97</v>
      </c>
      <c r="W557" s="1" t="s">
        <v>2016</v>
      </c>
      <c r="X557" s="2" t="s">
        <v>728</v>
      </c>
      <c r="Y557" s="6" t="s">
        <v>76</v>
      </c>
      <c r="Z557" s="3" t="s">
        <v>76</v>
      </c>
      <c r="AB557" s="1">
        <v>8.0</v>
      </c>
      <c r="AD557" s="1">
        <v>3.0</v>
      </c>
      <c r="AF557" s="1">
        <v>13.0</v>
      </c>
      <c r="AI557" s="2" t="s">
        <v>72</v>
      </c>
      <c r="AJ557" s="1">
        <v>-1300.0</v>
      </c>
      <c r="AK557" s="1">
        <v>2000.0</v>
      </c>
      <c r="AL557" s="2" t="s">
        <v>153</v>
      </c>
      <c r="AM557" s="2" t="s">
        <v>60</v>
      </c>
      <c r="AN557" s="2" t="s">
        <v>72</v>
      </c>
      <c r="AO557" s="2" t="s">
        <v>101</v>
      </c>
      <c r="AQ557" s="2" t="s">
        <v>576</v>
      </c>
      <c r="AR557" s="2" t="s">
        <v>76</v>
      </c>
      <c r="AS557" s="1">
        <v>2142.0</v>
      </c>
      <c r="AT557" s="1">
        <v>2142.0</v>
      </c>
      <c r="AU557" s="1">
        <v>878.0</v>
      </c>
      <c r="AV557" s="1">
        <v>52.0</v>
      </c>
      <c r="AW557" s="1">
        <v>184.0</v>
      </c>
      <c r="AX557" s="1">
        <v>5497.0</v>
      </c>
      <c r="AY557" s="1">
        <v>500.0</v>
      </c>
      <c r="AZ557" s="1" t="s">
        <v>133</v>
      </c>
      <c r="BA557" s="1" t="s">
        <v>121</v>
      </c>
    </row>
    <row r="558">
      <c r="A558" s="1" t="s">
        <v>1010</v>
      </c>
      <c r="B558" s="1" t="s">
        <v>268</v>
      </c>
      <c r="C558" s="1">
        <v>2008.0</v>
      </c>
      <c r="D558" s="1" t="s">
        <v>1011</v>
      </c>
      <c r="E558" s="1" t="s">
        <v>1012</v>
      </c>
      <c r="F558" s="3" t="s">
        <v>108</v>
      </c>
      <c r="H558" s="1" t="s">
        <v>1013</v>
      </c>
      <c r="I558" s="1">
        <v>40.0</v>
      </c>
      <c r="K558" s="2" t="s">
        <v>1014</v>
      </c>
      <c r="L558" s="2" t="s">
        <v>60</v>
      </c>
      <c r="M558" s="1" t="s">
        <v>2018</v>
      </c>
      <c r="N558" s="1" t="s">
        <v>62</v>
      </c>
      <c r="O558" s="1" t="s">
        <v>112</v>
      </c>
      <c r="P558" s="1" t="s">
        <v>1016</v>
      </c>
      <c r="Q558" s="1">
        <v>10.43972</v>
      </c>
      <c r="R558" s="1">
        <v>-84.00667</v>
      </c>
      <c r="S558" s="1" t="s">
        <v>114</v>
      </c>
      <c r="T558" s="2" t="s">
        <v>80</v>
      </c>
      <c r="U558" s="3" t="s">
        <v>81</v>
      </c>
      <c r="V558" s="3" t="s">
        <v>68</v>
      </c>
      <c r="W558" s="1" t="s">
        <v>1534</v>
      </c>
      <c r="X558" s="1" t="s">
        <v>1151</v>
      </c>
      <c r="Y558" s="6" t="s">
        <v>76</v>
      </c>
      <c r="Z558" s="3" t="s">
        <v>84</v>
      </c>
      <c r="AB558" s="1">
        <v>5.0</v>
      </c>
      <c r="AI558" s="2" t="s">
        <v>1018</v>
      </c>
      <c r="AJ558" s="1">
        <v>-1350.0</v>
      </c>
      <c r="AK558" s="1">
        <v>1950.0</v>
      </c>
      <c r="AL558" s="2" t="s">
        <v>73</v>
      </c>
      <c r="AM558" s="2" t="s">
        <v>72</v>
      </c>
      <c r="AN558" s="1" t="s">
        <v>74</v>
      </c>
      <c r="AO558" s="2" t="s">
        <v>72</v>
      </c>
      <c r="AQ558" s="2" t="s">
        <v>75</v>
      </c>
      <c r="AR558" s="2" t="s">
        <v>76</v>
      </c>
      <c r="AS558" s="1">
        <v>3680.0</v>
      </c>
      <c r="AT558" s="1">
        <v>3680.0</v>
      </c>
      <c r="AU558" s="1">
        <v>1257.0</v>
      </c>
      <c r="AV558" s="1">
        <v>131.0</v>
      </c>
      <c r="AW558" s="1">
        <v>422.0</v>
      </c>
      <c r="AX558" s="1">
        <v>3892.0</v>
      </c>
      <c r="AY558" s="1">
        <v>51.0</v>
      </c>
      <c r="AZ558" s="1" t="s">
        <v>120</v>
      </c>
      <c r="BA558" s="1" t="s">
        <v>121</v>
      </c>
    </row>
    <row r="559">
      <c r="A559" s="1" t="s">
        <v>1010</v>
      </c>
      <c r="B559" s="1" t="s">
        <v>268</v>
      </c>
      <c r="C559" s="1">
        <v>2008.0</v>
      </c>
      <c r="D559" s="1" t="s">
        <v>1011</v>
      </c>
      <c r="E559" s="1" t="s">
        <v>1012</v>
      </c>
      <c r="F559" s="3" t="s">
        <v>108</v>
      </c>
      <c r="H559" s="1" t="s">
        <v>1013</v>
      </c>
      <c r="I559" s="1">
        <v>40.0</v>
      </c>
      <c r="K559" s="2" t="s">
        <v>1014</v>
      </c>
      <c r="L559" s="2" t="s">
        <v>60</v>
      </c>
      <c r="M559" s="1" t="s">
        <v>2019</v>
      </c>
      <c r="N559" s="1" t="s">
        <v>62</v>
      </c>
      <c r="O559" s="1" t="s">
        <v>112</v>
      </c>
      <c r="P559" s="1" t="s">
        <v>1016</v>
      </c>
      <c r="Q559" s="1">
        <v>10.43972</v>
      </c>
      <c r="R559" s="1">
        <v>-84.00667</v>
      </c>
      <c r="S559" s="1" t="s">
        <v>114</v>
      </c>
      <c r="T559" s="2" t="s">
        <v>66</v>
      </c>
      <c r="U559" s="2" t="s">
        <v>1455</v>
      </c>
      <c r="V559" s="3" t="s">
        <v>171</v>
      </c>
      <c r="W559" s="1" t="s">
        <v>2020</v>
      </c>
      <c r="X559" s="1" t="s">
        <v>70</v>
      </c>
      <c r="Y559" s="5" t="s">
        <v>60</v>
      </c>
      <c r="Z559" s="3" t="s">
        <v>625</v>
      </c>
      <c r="AB559" s="1">
        <v>5.0</v>
      </c>
      <c r="AI559" s="2" t="s">
        <v>1018</v>
      </c>
      <c r="AJ559" s="1">
        <v>-1350.0</v>
      </c>
      <c r="AK559" s="1">
        <v>1950.0</v>
      </c>
      <c r="AL559" s="2" t="s">
        <v>73</v>
      </c>
      <c r="AM559" s="2" t="s">
        <v>72</v>
      </c>
      <c r="AN559" s="1" t="s">
        <v>74</v>
      </c>
      <c r="AO559" s="2" t="s">
        <v>72</v>
      </c>
      <c r="AQ559" s="2" t="s">
        <v>75</v>
      </c>
      <c r="AR559" s="2" t="s">
        <v>76</v>
      </c>
      <c r="AS559" s="1">
        <v>3680.0</v>
      </c>
      <c r="AT559" s="1">
        <v>3680.0</v>
      </c>
      <c r="AU559" s="1">
        <v>1257.0</v>
      </c>
      <c r="AV559" s="1">
        <v>131.0</v>
      </c>
      <c r="AW559" s="1">
        <v>422.0</v>
      </c>
      <c r="AX559" s="1">
        <v>3892.0</v>
      </c>
      <c r="AY559" s="1">
        <v>51.0</v>
      </c>
      <c r="AZ559" s="1" t="s">
        <v>120</v>
      </c>
      <c r="BA559" s="1" t="s">
        <v>121</v>
      </c>
    </row>
    <row r="560">
      <c r="A560" s="1" t="s">
        <v>1010</v>
      </c>
      <c r="B560" s="1" t="s">
        <v>268</v>
      </c>
      <c r="C560" s="1">
        <v>2008.0</v>
      </c>
      <c r="D560" s="1" t="s">
        <v>1011</v>
      </c>
      <c r="E560" s="1" t="s">
        <v>1012</v>
      </c>
      <c r="F560" s="3" t="s">
        <v>108</v>
      </c>
      <c r="H560" s="1" t="s">
        <v>1013</v>
      </c>
      <c r="I560" s="1">
        <v>40.0</v>
      </c>
      <c r="K560" s="2" t="s">
        <v>1014</v>
      </c>
      <c r="L560" s="2" t="s">
        <v>60</v>
      </c>
      <c r="M560" s="1" t="s">
        <v>2021</v>
      </c>
      <c r="N560" s="1" t="s">
        <v>62</v>
      </c>
      <c r="O560" s="1" t="s">
        <v>112</v>
      </c>
      <c r="P560" s="1" t="s">
        <v>1016</v>
      </c>
      <c r="Q560" s="1">
        <v>10.43972</v>
      </c>
      <c r="R560" s="1">
        <v>-84.00667</v>
      </c>
      <c r="S560" s="1" t="s">
        <v>114</v>
      </c>
      <c r="T560" s="2" t="s">
        <v>194</v>
      </c>
      <c r="U560" s="2" t="s">
        <v>96</v>
      </c>
      <c r="V560" s="3" t="s">
        <v>97</v>
      </c>
      <c r="W560" s="2" t="s">
        <v>1814</v>
      </c>
      <c r="X560" s="1" t="s">
        <v>70</v>
      </c>
      <c r="Y560" s="6" t="s">
        <v>76</v>
      </c>
      <c r="Z560" s="3" t="s">
        <v>76</v>
      </c>
      <c r="AB560" s="1">
        <v>5.0</v>
      </c>
      <c r="AI560" s="2" t="s">
        <v>1018</v>
      </c>
      <c r="AJ560" s="1">
        <v>-1350.0</v>
      </c>
      <c r="AK560" s="1">
        <v>1950.0</v>
      </c>
      <c r="AL560" s="2" t="s">
        <v>73</v>
      </c>
      <c r="AM560" s="2" t="s">
        <v>72</v>
      </c>
      <c r="AN560" s="1" t="s">
        <v>74</v>
      </c>
      <c r="AO560" s="2" t="s">
        <v>72</v>
      </c>
      <c r="AQ560" s="2" t="s">
        <v>75</v>
      </c>
      <c r="AR560" s="2" t="s">
        <v>76</v>
      </c>
      <c r="AS560" s="1">
        <v>3680.0</v>
      </c>
      <c r="AT560" s="1">
        <v>3680.0</v>
      </c>
      <c r="AU560" s="1">
        <v>1257.0</v>
      </c>
      <c r="AV560" s="1">
        <v>131.0</v>
      </c>
      <c r="AW560" s="1">
        <v>422.0</v>
      </c>
      <c r="AX560" s="1">
        <v>3892.0</v>
      </c>
      <c r="AY560" s="1">
        <v>51.0</v>
      </c>
      <c r="AZ560" s="1" t="s">
        <v>120</v>
      </c>
      <c r="BA560" s="1" t="s">
        <v>121</v>
      </c>
    </row>
    <row r="561">
      <c r="A561" s="1" t="s">
        <v>1010</v>
      </c>
      <c r="B561" s="1" t="s">
        <v>268</v>
      </c>
      <c r="C561" s="1">
        <v>2008.0</v>
      </c>
      <c r="D561" s="1" t="s">
        <v>1011</v>
      </c>
      <c r="E561" s="1" t="s">
        <v>1012</v>
      </c>
      <c r="F561" s="3" t="s">
        <v>108</v>
      </c>
      <c r="H561" s="1" t="s">
        <v>1013</v>
      </c>
      <c r="I561" s="1">
        <v>40.0</v>
      </c>
      <c r="K561" s="2" t="s">
        <v>1014</v>
      </c>
      <c r="L561" s="2" t="s">
        <v>60</v>
      </c>
      <c r="M561" s="1" t="s">
        <v>2022</v>
      </c>
      <c r="N561" s="1" t="s">
        <v>62</v>
      </c>
      <c r="O561" s="1" t="s">
        <v>112</v>
      </c>
      <c r="P561" s="1" t="s">
        <v>1016</v>
      </c>
      <c r="Q561" s="1">
        <v>10.43972</v>
      </c>
      <c r="R561" s="1">
        <v>-84.00667</v>
      </c>
      <c r="S561" s="1" t="s">
        <v>114</v>
      </c>
      <c r="T561" s="2" t="s">
        <v>189</v>
      </c>
      <c r="U561" s="2" t="s">
        <v>96</v>
      </c>
      <c r="V561" s="3" t="s">
        <v>97</v>
      </c>
      <c r="W561" s="2" t="s">
        <v>1814</v>
      </c>
      <c r="X561" s="1" t="s">
        <v>70</v>
      </c>
      <c r="Y561" s="6" t="s">
        <v>76</v>
      </c>
      <c r="Z561" s="3" t="s">
        <v>76</v>
      </c>
      <c r="AB561" s="1">
        <v>5.0</v>
      </c>
      <c r="AI561" s="2" t="s">
        <v>1018</v>
      </c>
      <c r="AJ561" s="1">
        <v>-1350.0</v>
      </c>
      <c r="AK561" s="1">
        <v>1950.0</v>
      </c>
      <c r="AL561" s="2" t="s">
        <v>73</v>
      </c>
      <c r="AM561" s="2" t="s">
        <v>72</v>
      </c>
      <c r="AN561" s="1" t="s">
        <v>74</v>
      </c>
      <c r="AO561" s="2" t="s">
        <v>72</v>
      </c>
      <c r="AQ561" s="2" t="s">
        <v>75</v>
      </c>
      <c r="AR561" s="2" t="s">
        <v>76</v>
      </c>
      <c r="AS561" s="1">
        <v>3680.0</v>
      </c>
      <c r="AT561" s="1">
        <v>3680.0</v>
      </c>
      <c r="AU561" s="1">
        <v>1257.0</v>
      </c>
      <c r="AV561" s="1">
        <v>131.0</v>
      </c>
      <c r="AW561" s="1">
        <v>422.0</v>
      </c>
      <c r="AX561" s="1">
        <v>3892.0</v>
      </c>
      <c r="AY561" s="1">
        <v>51.0</v>
      </c>
      <c r="AZ561" s="1" t="s">
        <v>120</v>
      </c>
      <c r="BA561" s="1" t="s">
        <v>121</v>
      </c>
    </row>
    <row r="562">
      <c r="A562" s="1" t="s">
        <v>1101</v>
      </c>
      <c r="B562" s="1" t="s">
        <v>268</v>
      </c>
      <c r="C562" s="1">
        <v>2009.0</v>
      </c>
      <c r="D562" s="1" t="s">
        <v>1102</v>
      </c>
      <c r="E562" s="1" t="s">
        <v>1103</v>
      </c>
      <c r="F562" s="3" t="s">
        <v>827</v>
      </c>
      <c r="H562" s="1" t="s">
        <v>1104</v>
      </c>
      <c r="I562" s="1">
        <v>24.0</v>
      </c>
      <c r="K562" s="2" t="s">
        <v>1105</v>
      </c>
      <c r="L562" s="2" t="s">
        <v>60</v>
      </c>
      <c r="M562" s="1" t="s">
        <v>2023</v>
      </c>
      <c r="N562" s="1" t="s">
        <v>62</v>
      </c>
      <c r="O562" s="1" t="s">
        <v>187</v>
      </c>
      <c r="P562" s="1" t="s">
        <v>1113</v>
      </c>
      <c r="Q562" s="1">
        <v>17.599365</v>
      </c>
      <c r="R562" s="1">
        <v>-88.69915</v>
      </c>
      <c r="S562" s="1" t="s">
        <v>1108</v>
      </c>
      <c r="T562" s="2" t="s">
        <v>95</v>
      </c>
      <c r="U562" s="2" t="s">
        <v>96</v>
      </c>
      <c r="V562" s="3" t="s">
        <v>97</v>
      </c>
      <c r="W562" s="1" t="s">
        <v>2024</v>
      </c>
      <c r="X562" s="1" t="s">
        <v>256</v>
      </c>
      <c r="Y562" s="6" t="s">
        <v>76</v>
      </c>
      <c r="Z562" s="3" t="s">
        <v>76</v>
      </c>
      <c r="AB562" s="1">
        <v>7.0</v>
      </c>
      <c r="AI562" s="1" t="s">
        <v>1114</v>
      </c>
      <c r="AJ562" s="1">
        <v>-10050.0</v>
      </c>
      <c r="AK562" s="1">
        <v>1950.0</v>
      </c>
      <c r="AL562" s="2" t="s">
        <v>100</v>
      </c>
      <c r="AM562" s="2" t="s">
        <v>76</v>
      </c>
      <c r="AN562" s="1" t="s">
        <v>74</v>
      </c>
      <c r="AO562" s="2" t="s">
        <v>60</v>
      </c>
      <c r="AQ562" s="2" t="s">
        <v>75</v>
      </c>
      <c r="AR562" s="2" t="s">
        <v>76</v>
      </c>
      <c r="AS562" s="1">
        <v>1778.0</v>
      </c>
      <c r="AT562" s="1">
        <v>1778.0</v>
      </c>
      <c r="AU562" s="1">
        <v>697.0</v>
      </c>
      <c r="AV562" s="1">
        <v>45.0</v>
      </c>
      <c r="AW562" s="1">
        <v>158.0</v>
      </c>
      <c r="AX562" s="1">
        <v>5215.0</v>
      </c>
      <c r="AY562" s="1">
        <v>41.0</v>
      </c>
      <c r="AZ562" s="1" t="s">
        <v>133</v>
      </c>
      <c r="BA562" s="1" t="s">
        <v>121</v>
      </c>
    </row>
    <row r="563">
      <c r="A563" s="1" t="s">
        <v>1101</v>
      </c>
      <c r="B563" s="1" t="s">
        <v>268</v>
      </c>
      <c r="C563" s="1">
        <v>2009.0</v>
      </c>
      <c r="D563" s="1" t="s">
        <v>1102</v>
      </c>
      <c r="E563" s="1" t="s">
        <v>1103</v>
      </c>
      <c r="F563" s="3" t="s">
        <v>827</v>
      </c>
      <c r="H563" s="1" t="s">
        <v>1104</v>
      </c>
      <c r="I563" s="1">
        <v>24.0</v>
      </c>
      <c r="K563" s="2" t="s">
        <v>1105</v>
      </c>
      <c r="L563" s="2" t="s">
        <v>60</v>
      </c>
      <c r="M563" s="1" t="s">
        <v>2025</v>
      </c>
      <c r="N563" s="1" t="s">
        <v>62</v>
      </c>
      <c r="O563" s="1" t="s">
        <v>187</v>
      </c>
      <c r="P563" s="1" t="s">
        <v>1113</v>
      </c>
      <c r="Q563" s="1">
        <v>17.599365</v>
      </c>
      <c r="R563" s="1">
        <v>-88.69915</v>
      </c>
      <c r="S563" s="1" t="s">
        <v>1108</v>
      </c>
      <c r="T563" s="2" t="s">
        <v>95</v>
      </c>
      <c r="U563" s="2" t="s">
        <v>96</v>
      </c>
      <c r="V563" s="3" t="s">
        <v>97</v>
      </c>
      <c r="W563" s="1" t="s">
        <v>2026</v>
      </c>
      <c r="X563" s="1" t="s">
        <v>256</v>
      </c>
      <c r="Y563" s="6" t="s">
        <v>76</v>
      </c>
      <c r="Z563" s="3" t="s">
        <v>76</v>
      </c>
      <c r="AB563" s="1">
        <v>7.0</v>
      </c>
      <c r="AI563" s="1" t="s">
        <v>1114</v>
      </c>
      <c r="AJ563" s="1">
        <v>-10050.0</v>
      </c>
      <c r="AK563" s="1">
        <v>1950.0</v>
      </c>
      <c r="AL563" s="2" t="s">
        <v>100</v>
      </c>
      <c r="AM563" s="2" t="s">
        <v>76</v>
      </c>
      <c r="AN563" s="1" t="s">
        <v>74</v>
      </c>
      <c r="AO563" s="2" t="s">
        <v>60</v>
      </c>
      <c r="AQ563" s="2" t="s">
        <v>75</v>
      </c>
      <c r="AR563" s="2" t="s">
        <v>76</v>
      </c>
      <c r="AS563" s="1">
        <v>1778.0</v>
      </c>
      <c r="AT563" s="1">
        <v>1778.0</v>
      </c>
      <c r="AU563" s="1">
        <v>697.0</v>
      </c>
      <c r="AV563" s="1">
        <v>45.0</v>
      </c>
      <c r="AW563" s="1">
        <v>158.0</v>
      </c>
      <c r="AX563" s="1">
        <v>5215.0</v>
      </c>
      <c r="AY563" s="1">
        <v>41.0</v>
      </c>
      <c r="AZ563" s="1" t="s">
        <v>133</v>
      </c>
      <c r="BA563" s="1" t="s">
        <v>121</v>
      </c>
    </row>
    <row r="564">
      <c r="A564" s="1" t="s">
        <v>139</v>
      </c>
      <c r="B564" s="1" t="s">
        <v>53</v>
      </c>
      <c r="C564" s="1">
        <v>2018.0</v>
      </c>
      <c r="D564" s="1" t="s">
        <v>140</v>
      </c>
      <c r="E564" s="1" t="s">
        <v>141</v>
      </c>
      <c r="F564" s="1" t="s">
        <v>125</v>
      </c>
      <c r="G564" s="1" t="s">
        <v>142</v>
      </c>
      <c r="H564" s="1" t="s">
        <v>143</v>
      </c>
      <c r="I564" s="1">
        <v>70.0</v>
      </c>
      <c r="J564" s="1">
        <v>1.0</v>
      </c>
      <c r="K564" s="2" t="s">
        <v>144</v>
      </c>
      <c r="L564" s="2" t="s">
        <v>60</v>
      </c>
      <c r="M564" s="1" t="s">
        <v>2027</v>
      </c>
      <c r="N564" s="1" t="s">
        <v>62</v>
      </c>
      <c r="O564" s="1" t="s">
        <v>146</v>
      </c>
      <c r="P564" s="1" t="s">
        <v>147</v>
      </c>
      <c r="Q564" s="1">
        <v>8.88582</v>
      </c>
      <c r="R564" s="1">
        <v>-82.499791</v>
      </c>
      <c r="S564" s="1" t="s">
        <v>148</v>
      </c>
      <c r="T564" s="2" t="s">
        <v>275</v>
      </c>
      <c r="U564" s="1" t="s">
        <v>72</v>
      </c>
      <c r="V564" s="3" t="s">
        <v>277</v>
      </c>
      <c r="W564" s="1" t="s">
        <v>275</v>
      </c>
      <c r="X564" s="1" t="s">
        <v>279</v>
      </c>
      <c r="Y564" s="6" t="s">
        <v>76</v>
      </c>
      <c r="Z564" s="3" t="s">
        <v>76</v>
      </c>
      <c r="AB564" s="1">
        <v>3.0</v>
      </c>
      <c r="AI564" s="1" t="s">
        <v>152</v>
      </c>
      <c r="AJ564" s="1">
        <v>-892.0</v>
      </c>
      <c r="AK564" s="1">
        <v>1752.0</v>
      </c>
      <c r="AL564" s="2" t="s">
        <v>153</v>
      </c>
      <c r="AM564" s="2" t="s">
        <v>72</v>
      </c>
      <c r="AN564" s="2" t="s">
        <v>132</v>
      </c>
      <c r="AO564" s="2" t="s">
        <v>72</v>
      </c>
      <c r="AQ564" s="2" t="s">
        <v>75</v>
      </c>
      <c r="AR564" s="2" t="s">
        <v>76</v>
      </c>
      <c r="AS564" s="1">
        <v>3751.0</v>
      </c>
      <c r="AT564" s="1">
        <v>3751.0</v>
      </c>
      <c r="AU564" s="1">
        <v>1320.0</v>
      </c>
      <c r="AV564" s="1">
        <v>102.0</v>
      </c>
      <c r="AW564" s="1">
        <v>466.0</v>
      </c>
      <c r="AX564" s="1">
        <v>3973.0</v>
      </c>
      <c r="AY564" s="1">
        <v>1859.0</v>
      </c>
      <c r="AZ564" s="1" t="s">
        <v>154</v>
      </c>
      <c r="BA564" s="1" t="s">
        <v>121</v>
      </c>
    </row>
    <row r="565">
      <c r="A565" s="1" t="s">
        <v>1101</v>
      </c>
      <c r="B565" s="1" t="s">
        <v>268</v>
      </c>
      <c r="C565" s="1">
        <v>2009.0</v>
      </c>
      <c r="D565" s="1" t="s">
        <v>1102</v>
      </c>
      <c r="E565" s="1" t="s">
        <v>1103</v>
      </c>
      <c r="F565" s="3" t="s">
        <v>827</v>
      </c>
      <c r="H565" s="1" t="s">
        <v>1104</v>
      </c>
      <c r="I565" s="1">
        <v>24.0</v>
      </c>
      <c r="K565" s="2" t="s">
        <v>1105</v>
      </c>
      <c r="L565" s="2" t="s">
        <v>60</v>
      </c>
      <c r="M565" s="1" t="s">
        <v>2028</v>
      </c>
      <c r="N565" s="1" t="s">
        <v>62</v>
      </c>
      <c r="O565" s="1" t="s">
        <v>187</v>
      </c>
      <c r="P565" s="1" t="s">
        <v>1113</v>
      </c>
      <c r="Q565" s="1">
        <v>17.599365</v>
      </c>
      <c r="R565" s="1">
        <v>-88.69915</v>
      </c>
      <c r="S565" s="1" t="s">
        <v>1108</v>
      </c>
      <c r="T565" s="2" t="s">
        <v>95</v>
      </c>
      <c r="U565" s="2" t="s">
        <v>96</v>
      </c>
      <c r="V565" s="3" t="s">
        <v>97</v>
      </c>
      <c r="W565" s="1" t="s">
        <v>2029</v>
      </c>
      <c r="X565" s="1" t="s">
        <v>256</v>
      </c>
      <c r="Y565" s="6" t="s">
        <v>76</v>
      </c>
      <c r="Z565" s="3" t="s">
        <v>76</v>
      </c>
      <c r="AB565" s="1">
        <v>7.0</v>
      </c>
      <c r="AI565" s="1" t="s">
        <v>1114</v>
      </c>
      <c r="AJ565" s="1">
        <v>-10050.0</v>
      </c>
      <c r="AK565" s="1">
        <v>1950.0</v>
      </c>
      <c r="AL565" s="2" t="s">
        <v>100</v>
      </c>
      <c r="AM565" s="2" t="s">
        <v>76</v>
      </c>
      <c r="AN565" s="1" t="s">
        <v>74</v>
      </c>
      <c r="AO565" s="2" t="s">
        <v>60</v>
      </c>
      <c r="AQ565" s="2" t="s">
        <v>75</v>
      </c>
      <c r="AR565" s="2" t="s">
        <v>76</v>
      </c>
      <c r="AS565" s="1">
        <v>1778.0</v>
      </c>
      <c r="AT565" s="1">
        <v>1778.0</v>
      </c>
      <c r="AU565" s="1">
        <v>697.0</v>
      </c>
      <c r="AV565" s="1">
        <v>45.0</v>
      </c>
      <c r="AW565" s="1">
        <v>158.0</v>
      </c>
      <c r="AX565" s="1">
        <v>5215.0</v>
      </c>
      <c r="AY565" s="1">
        <v>41.0</v>
      </c>
      <c r="AZ565" s="1" t="s">
        <v>133</v>
      </c>
      <c r="BA565" s="1" t="s">
        <v>121</v>
      </c>
    </row>
    <row r="566">
      <c r="A566" s="1" t="s">
        <v>1101</v>
      </c>
      <c r="B566" s="1" t="s">
        <v>268</v>
      </c>
      <c r="C566" s="1">
        <v>2009.0</v>
      </c>
      <c r="D566" s="1" t="s">
        <v>1102</v>
      </c>
      <c r="E566" s="1" t="s">
        <v>1103</v>
      </c>
      <c r="F566" s="3" t="s">
        <v>827</v>
      </c>
      <c r="H566" s="1" t="s">
        <v>1104</v>
      </c>
      <c r="I566" s="1">
        <v>24.0</v>
      </c>
      <c r="K566" s="2" t="s">
        <v>1105</v>
      </c>
      <c r="L566" s="2" t="s">
        <v>60</v>
      </c>
      <c r="M566" s="1" t="s">
        <v>2030</v>
      </c>
      <c r="N566" s="1" t="s">
        <v>62</v>
      </c>
      <c r="O566" s="1" t="s">
        <v>187</v>
      </c>
      <c r="P566" s="1" t="s">
        <v>1113</v>
      </c>
      <c r="Q566" s="1">
        <v>17.599365</v>
      </c>
      <c r="R566" s="1">
        <v>-88.69915</v>
      </c>
      <c r="S566" s="1" t="s">
        <v>1108</v>
      </c>
      <c r="T566" s="2" t="s">
        <v>95</v>
      </c>
      <c r="U566" s="2" t="s">
        <v>2031</v>
      </c>
      <c r="V566" s="3" t="s">
        <v>97</v>
      </c>
      <c r="W566" s="1" t="s">
        <v>2032</v>
      </c>
      <c r="X566" s="1" t="s">
        <v>256</v>
      </c>
      <c r="Y566" s="5" t="s">
        <v>76</v>
      </c>
      <c r="Z566" s="3" t="s">
        <v>76</v>
      </c>
      <c r="AB566" s="1">
        <v>7.0</v>
      </c>
      <c r="AI566" s="1" t="s">
        <v>1114</v>
      </c>
      <c r="AJ566" s="1">
        <v>-10050.0</v>
      </c>
      <c r="AK566" s="1">
        <v>1950.0</v>
      </c>
      <c r="AL566" s="2" t="s">
        <v>100</v>
      </c>
      <c r="AM566" s="2" t="s">
        <v>76</v>
      </c>
      <c r="AN566" s="1" t="s">
        <v>74</v>
      </c>
      <c r="AO566" s="2" t="s">
        <v>60</v>
      </c>
      <c r="AQ566" s="2" t="s">
        <v>75</v>
      </c>
      <c r="AR566" s="2" t="s">
        <v>76</v>
      </c>
      <c r="AS566" s="1">
        <v>1778.0</v>
      </c>
      <c r="AT566" s="1">
        <v>1778.0</v>
      </c>
      <c r="AU566" s="1">
        <v>697.0</v>
      </c>
      <c r="AV566" s="1">
        <v>45.0</v>
      </c>
      <c r="AW566" s="1">
        <v>158.0</v>
      </c>
      <c r="AX566" s="1">
        <v>5215.0</v>
      </c>
      <c r="AY566" s="1">
        <v>41.0</v>
      </c>
      <c r="AZ566" s="1" t="s">
        <v>133</v>
      </c>
      <c r="BA566" s="1" t="s">
        <v>121</v>
      </c>
    </row>
    <row r="567">
      <c r="A567" s="1" t="s">
        <v>1101</v>
      </c>
      <c r="B567" s="1" t="s">
        <v>268</v>
      </c>
      <c r="C567" s="1">
        <v>2009.0</v>
      </c>
      <c r="D567" s="1" t="s">
        <v>1102</v>
      </c>
      <c r="E567" s="1" t="s">
        <v>1103</v>
      </c>
      <c r="F567" s="3" t="s">
        <v>827</v>
      </c>
      <c r="H567" s="1" t="s">
        <v>1104</v>
      </c>
      <c r="I567" s="1">
        <v>24.0</v>
      </c>
      <c r="K567" s="2" t="s">
        <v>1105</v>
      </c>
      <c r="L567" s="2" t="s">
        <v>60</v>
      </c>
      <c r="M567" s="1" t="s">
        <v>2033</v>
      </c>
      <c r="N567" s="1" t="s">
        <v>62</v>
      </c>
      <c r="O567" s="1" t="s">
        <v>187</v>
      </c>
      <c r="P567" s="1" t="s">
        <v>1111</v>
      </c>
      <c r="Q567" s="1">
        <v>17.751954</v>
      </c>
      <c r="R567" s="1">
        <v>-88.653037</v>
      </c>
      <c r="S567" s="1" t="s">
        <v>1108</v>
      </c>
      <c r="T567" s="2" t="s">
        <v>135</v>
      </c>
      <c r="U567" s="2" t="s">
        <v>96</v>
      </c>
      <c r="V567" s="3" t="s">
        <v>299</v>
      </c>
      <c r="W567" s="1" t="s">
        <v>2034</v>
      </c>
      <c r="X567" s="1" t="s">
        <v>256</v>
      </c>
      <c r="Y567" s="6" t="s">
        <v>76</v>
      </c>
      <c r="Z567" s="3" t="s">
        <v>173</v>
      </c>
      <c r="AB567" s="1">
        <v>1.0</v>
      </c>
      <c r="AI567" s="1" t="s">
        <v>675</v>
      </c>
      <c r="AJ567" s="2" t="s">
        <v>72</v>
      </c>
      <c r="AK567" s="1">
        <v>1950.0</v>
      </c>
      <c r="AL567" s="2" t="s">
        <v>100</v>
      </c>
      <c r="AM567" s="2" t="s">
        <v>76</v>
      </c>
      <c r="AN567" s="1" t="s">
        <v>74</v>
      </c>
      <c r="AO567" s="2" t="s">
        <v>60</v>
      </c>
      <c r="AQ567" s="2" t="s">
        <v>75</v>
      </c>
      <c r="AR567" s="2" t="s">
        <v>76</v>
      </c>
      <c r="AS567" s="1">
        <v>1691.0</v>
      </c>
      <c r="AT567" s="1">
        <v>1691.0</v>
      </c>
      <c r="AU567" s="1">
        <v>664.0</v>
      </c>
      <c r="AV567" s="1">
        <v>45.0</v>
      </c>
      <c r="AW567" s="1">
        <v>148.0</v>
      </c>
      <c r="AX567" s="1">
        <v>5316.0</v>
      </c>
      <c r="AY567" s="1">
        <v>41.0</v>
      </c>
      <c r="AZ567" s="1" t="s">
        <v>445</v>
      </c>
      <c r="BA567" s="1" t="s">
        <v>446</v>
      </c>
    </row>
    <row r="568">
      <c r="A568" s="1" t="s">
        <v>1101</v>
      </c>
      <c r="B568" s="1" t="s">
        <v>268</v>
      </c>
      <c r="C568" s="1">
        <v>2009.0</v>
      </c>
      <c r="D568" s="1" t="s">
        <v>1102</v>
      </c>
      <c r="E568" s="1" t="s">
        <v>1103</v>
      </c>
      <c r="F568" s="3" t="s">
        <v>827</v>
      </c>
      <c r="H568" s="1" t="s">
        <v>1104</v>
      </c>
      <c r="I568" s="1">
        <v>24.0</v>
      </c>
      <c r="K568" s="2" t="s">
        <v>1105</v>
      </c>
      <c r="L568" s="2" t="s">
        <v>60</v>
      </c>
      <c r="M568" s="1" t="s">
        <v>2035</v>
      </c>
      <c r="N568" s="1" t="s">
        <v>62</v>
      </c>
      <c r="O568" s="1" t="s">
        <v>187</v>
      </c>
      <c r="P568" s="1" t="s">
        <v>1113</v>
      </c>
      <c r="Q568" s="1">
        <v>17.599365</v>
      </c>
      <c r="R568" s="1">
        <v>-88.69915</v>
      </c>
      <c r="S568" s="1" t="s">
        <v>1108</v>
      </c>
      <c r="T568" s="2" t="s">
        <v>135</v>
      </c>
      <c r="U568" s="3" t="s">
        <v>173</v>
      </c>
      <c r="V568" s="3" t="s">
        <v>299</v>
      </c>
      <c r="W568" s="1" t="s">
        <v>2036</v>
      </c>
      <c r="X568" s="1" t="s">
        <v>256</v>
      </c>
      <c r="Y568" s="6" t="s">
        <v>76</v>
      </c>
      <c r="Z568" s="3" t="s">
        <v>173</v>
      </c>
      <c r="AB568" s="1">
        <v>7.0</v>
      </c>
      <c r="AI568" s="1" t="s">
        <v>1114</v>
      </c>
      <c r="AJ568" s="1">
        <v>-10050.0</v>
      </c>
      <c r="AK568" s="1">
        <v>1950.0</v>
      </c>
      <c r="AL568" s="2" t="s">
        <v>100</v>
      </c>
      <c r="AM568" s="2" t="s">
        <v>76</v>
      </c>
      <c r="AN568" s="1" t="s">
        <v>74</v>
      </c>
      <c r="AO568" s="2" t="s">
        <v>60</v>
      </c>
      <c r="AQ568" s="2" t="s">
        <v>75</v>
      </c>
      <c r="AR568" s="2" t="s">
        <v>76</v>
      </c>
      <c r="AS568" s="1">
        <v>1778.0</v>
      </c>
      <c r="AT568" s="1">
        <v>1778.0</v>
      </c>
      <c r="AU568" s="1">
        <v>697.0</v>
      </c>
      <c r="AV568" s="1">
        <v>45.0</v>
      </c>
      <c r="AW568" s="1">
        <v>158.0</v>
      </c>
      <c r="AX568" s="1">
        <v>5215.0</v>
      </c>
      <c r="AY568" s="1">
        <v>41.0</v>
      </c>
      <c r="AZ568" s="1" t="s">
        <v>133</v>
      </c>
      <c r="BA568" s="1" t="s">
        <v>121</v>
      </c>
    </row>
    <row r="569">
      <c r="A569" s="1" t="s">
        <v>1101</v>
      </c>
      <c r="B569" s="1" t="s">
        <v>268</v>
      </c>
      <c r="C569" s="1">
        <v>2009.0</v>
      </c>
      <c r="D569" s="1" t="s">
        <v>1102</v>
      </c>
      <c r="E569" s="1" t="s">
        <v>1103</v>
      </c>
      <c r="F569" s="3" t="s">
        <v>827</v>
      </c>
      <c r="H569" s="1" t="s">
        <v>1104</v>
      </c>
      <c r="I569" s="1">
        <v>24.0</v>
      </c>
      <c r="K569" s="2" t="s">
        <v>1105</v>
      </c>
      <c r="L569" s="2" t="s">
        <v>60</v>
      </c>
      <c r="M569" s="1" t="s">
        <v>2037</v>
      </c>
      <c r="N569" s="1" t="s">
        <v>62</v>
      </c>
      <c r="O569" s="1" t="s">
        <v>187</v>
      </c>
      <c r="P569" s="1" t="s">
        <v>1113</v>
      </c>
      <c r="Q569" s="1">
        <v>17.599365</v>
      </c>
      <c r="R569" s="1">
        <v>-88.69915</v>
      </c>
      <c r="S569" s="1" t="s">
        <v>1108</v>
      </c>
      <c r="T569" s="2" t="s">
        <v>149</v>
      </c>
      <c r="U569" s="2" t="s">
        <v>2038</v>
      </c>
      <c r="V569" s="3" t="s">
        <v>97</v>
      </c>
      <c r="W569" s="1" t="s">
        <v>2039</v>
      </c>
      <c r="X569" s="1" t="s">
        <v>70</v>
      </c>
      <c r="Y569" s="6" t="s">
        <v>76</v>
      </c>
      <c r="Z569" s="3" t="s">
        <v>76</v>
      </c>
      <c r="AB569" s="1">
        <v>7.0</v>
      </c>
      <c r="AI569" s="1" t="s">
        <v>1114</v>
      </c>
      <c r="AJ569" s="1">
        <v>-10050.0</v>
      </c>
      <c r="AK569" s="1">
        <v>1950.0</v>
      </c>
      <c r="AL569" s="2" t="s">
        <v>100</v>
      </c>
      <c r="AM569" s="2" t="s">
        <v>76</v>
      </c>
      <c r="AN569" s="1" t="s">
        <v>74</v>
      </c>
      <c r="AO569" s="2" t="s">
        <v>60</v>
      </c>
      <c r="AQ569" s="2" t="s">
        <v>75</v>
      </c>
      <c r="AR569" s="2" t="s">
        <v>76</v>
      </c>
      <c r="AS569" s="1">
        <v>1778.0</v>
      </c>
      <c r="AT569" s="1">
        <v>1778.0</v>
      </c>
      <c r="AU569" s="1">
        <v>697.0</v>
      </c>
      <c r="AV569" s="1">
        <v>45.0</v>
      </c>
      <c r="AW569" s="1">
        <v>158.0</v>
      </c>
      <c r="AX569" s="1">
        <v>5215.0</v>
      </c>
      <c r="AY569" s="1">
        <v>41.0</v>
      </c>
      <c r="AZ569" s="1" t="s">
        <v>133</v>
      </c>
      <c r="BA569" s="1" t="s">
        <v>121</v>
      </c>
    </row>
    <row r="570">
      <c r="A570" s="1" t="s">
        <v>1101</v>
      </c>
      <c r="B570" s="1" t="s">
        <v>268</v>
      </c>
      <c r="C570" s="1">
        <v>2009.0</v>
      </c>
      <c r="D570" s="1" t="s">
        <v>1102</v>
      </c>
      <c r="E570" s="1" t="s">
        <v>1103</v>
      </c>
      <c r="F570" s="3" t="s">
        <v>827</v>
      </c>
      <c r="H570" s="1" t="s">
        <v>1104</v>
      </c>
      <c r="I570" s="1">
        <v>24.0</v>
      </c>
      <c r="K570" s="2" t="s">
        <v>1105</v>
      </c>
      <c r="L570" s="2" t="s">
        <v>60</v>
      </c>
      <c r="M570" s="1" t="s">
        <v>2040</v>
      </c>
      <c r="N570" s="1" t="s">
        <v>62</v>
      </c>
      <c r="O570" s="1" t="s">
        <v>187</v>
      </c>
      <c r="P570" s="1" t="s">
        <v>1111</v>
      </c>
      <c r="Q570" s="1">
        <v>17.751954</v>
      </c>
      <c r="R570" s="1">
        <v>-88.653037</v>
      </c>
      <c r="S570" s="1" t="s">
        <v>1108</v>
      </c>
      <c r="T570" s="2" t="s">
        <v>382</v>
      </c>
      <c r="U570" s="7" t="s">
        <v>173</v>
      </c>
      <c r="V570" s="3" t="s">
        <v>116</v>
      </c>
      <c r="W570" s="1" t="s">
        <v>2041</v>
      </c>
      <c r="X570" s="1" t="s">
        <v>544</v>
      </c>
      <c r="Y570" s="6" t="s">
        <v>76</v>
      </c>
      <c r="Z570" s="3" t="s">
        <v>76</v>
      </c>
      <c r="AB570" s="1">
        <v>1.0</v>
      </c>
      <c r="AI570" s="1" t="s">
        <v>675</v>
      </c>
      <c r="AJ570" s="2" t="s">
        <v>72</v>
      </c>
      <c r="AK570" s="1">
        <v>1950.0</v>
      </c>
      <c r="AL570" s="2" t="s">
        <v>100</v>
      </c>
      <c r="AM570" s="2" t="s">
        <v>76</v>
      </c>
      <c r="AN570" s="1" t="s">
        <v>74</v>
      </c>
      <c r="AO570" s="2" t="s">
        <v>60</v>
      </c>
      <c r="AQ570" s="2" t="s">
        <v>75</v>
      </c>
      <c r="AR570" s="2" t="s">
        <v>76</v>
      </c>
      <c r="AS570" s="1">
        <v>1691.0</v>
      </c>
      <c r="AT570" s="1">
        <v>1691.0</v>
      </c>
      <c r="AU570" s="1">
        <v>664.0</v>
      </c>
      <c r="AV570" s="1">
        <v>45.0</v>
      </c>
      <c r="AW570" s="1">
        <v>148.0</v>
      </c>
      <c r="AX570" s="1">
        <v>5316.0</v>
      </c>
      <c r="AY570" s="1">
        <v>41.0</v>
      </c>
      <c r="AZ570" s="1" t="s">
        <v>445</v>
      </c>
      <c r="BA570" s="1" t="s">
        <v>446</v>
      </c>
    </row>
    <row r="571">
      <c r="A571" s="1" t="s">
        <v>1101</v>
      </c>
      <c r="B571" s="1" t="s">
        <v>268</v>
      </c>
      <c r="C571" s="1">
        <v>2009.0</v>
      </c>
      <c r="D571" s="1" t="s">
        <v>1102</v>
      </c>
      <c r="E571" s="1" t="s">
        <v>1103</v>
      </c>
      <c r="F571" s="3" t="s">
        <v>827</v>
      </c>
      <c r="H571" s="1" t="s">
        <v>1104</v>
      </c>
      <c r="I571" s="1">
        <v>24.0</v>
      </c>
      <c r="K571" s="2" t="s">
        <v>1105</v>
      </c>
      <c r="L571" s="2" t="s">
        <v>60</v>
      </c>
      <c r="M571" s="1" t="s">
        <v>2042</v>
      </c>
      <c r="N571" s="1" t="s">
        <v>62</v>
      </c>
      <c r="O571" s="1" t="s">
        <v>187</v>
      </c>
      <c r="P571" s="1" t="s">
        <v>1107</v>
      </c>
      <c r="Q571" s="1">
        <v>17.763331</v>
      </c>
      <c r="R571" s="1">
        <v>-88.651927</v>
      </c>
      <c r="S571" s="1" t="s">
        <v>1108</v>
      </c>
      <c r="T571" s="2" t="s">
        <v>382</v>
      </c>
      <c r="U571" s="7" t="s">
        <v>173</v>
      </c>
      <c r="V571" s="3" t="s">
        <v>116</v>
      </c>
      <c r="W571" s="1" t="s">
        <v>2041</v>
      </c>
      <c r="X571" s="1" t="s">
        <v>544</v>
      </c>
      <c r="Y571" s="6" t="s">
        <v>76</v>
      </c>
      <c r="Z571" s="3" t="s">
        <v>76</v>
      </c>
      <c r="AB571" s="1">
        <v>6.0</v>
      </c>
      <c r="AI571" s="1" t="s">
        <v>1109</v>
      </c>
      <c r="AJ571" s="1">
        <v>-1650.0</v>
      </c>
      <c r="AK571" s="1">
        <v>1950.0</v>
      </c>
      <c r="AL571" s="2" t="s">
        <v>100</v>
      </c>
      <c r="AM571" s="2" t="s">
        <v>76</v>
      </c>
      <c r="AN571" s="1" t="s">
        <v>74</v>
      </c>
      <c r="AO571" s="2" t="s">
        <v>60</v>
      </c>
      <c r="AQ571" s="2" t="s">
        <v>75</v>
      </c>
      <c r="AR571" s="2" t="s">
        <v>76</v>
      </c>
      <c r="AS571" s="1">
        <v>1685.0</v>
      </c>
      <c r="AT571" s="1">
        <v>1685.0</v>
      </c>
      <c r="AU571" s="1">
        <v>661.0</v>
      </c>
      <c r="AV571" s="1">
        <v>44.0</v>
      </c>
      <c r="AW571" s="1">
        <v>146.0</v>
      </c>
      <c r="AX571" s="1">
        <v>5318.0</v>
      </c>
      <c r="AY571" s="1">
        <v>42.0</v>
      </c>
      <c r="AZ571" s="1" t="s">
        <v>445</v>
      </c>
      <c r="BA571" s="1" t="s">
        <v>446</v>
      </c>
    </row>
    <row r="572">
      <c r="A572" s="1" t="s">
        <v>1101</v>
      </c>
      <c r="B572" s="1" t="s">
        <v>268</v>
      </c>
      <c r="C572" s="1">
        <v>2009.0</v>
      </c>
      <c r="D572" s="1" t="s">
        <v>1102</v>
      </c>
      <c r="E572" s="1" t="s">
        <v>1103</v>
      </c>
      <c r="F572" s="3" t="s">
        <v>827</v>
      </c>
      <c r="H572" s="1" t="s">
        <v>1104</v>
      </c>
      <c r="I572" s="1">
        <v>24.0</v>
      </c>
      <c r="K572" s="2" t="s">
        <v>1105</v>
      </c>
      <c r="L572" s="2" t="s">
        <v>60</v>
      </c>
      <c r="M572" s="1" t="s">
        <v>2043</v>
      </c>
      <c r="N572" s="1" t="s">
        <v>62</v>
      </c>
      <c r="O572" s="1" t="s">
        <v>187</v>
      </c>
      <c r="P572" s="1" t="s">
        <v>1107</v>
      </c>
      <c r="Q572" s="1">
        <v>17.763331</v>
      </c>
      <c r="R572" s="1">
        <v>-88.651927</v>
      </c>
      <c r="S572" s="1" t="s">
        <v>1108</v>
      </c>
      <c r="T572" s="2" t="s">
        <v>95</v>
      </c>
      <c r="U572" s="2" t="s">
        <v>96</v>
      </c>
      <c r="V572" s="3" t="s">
        <v>97</v>
      </c>
      <c r="W572" s="1" t="s">
        <v>2036</v>
      </c>
      <c r="X572" s="1" t="s">
        <v>256</v>
      </c>
      <c r="Y572" s="6" t="s">
        <v>76</v>
      </c>
      <c r="Z572" s="3" t="s">
        <v>76</v>
      </c>
      <c r="AB572" s="1">
        <v>6.0</v>
      </c>
      <c r="AI572" s="1" t="s">
        <v>1109</v>
      </c>
      <c r="AJ572" s="1">
        <v>-1650.0</v>
      </c>
      <c r="AK572" s="1">
        <v>1950.0</v>
      </c>
      <c r="AL572" s="2" t="s">
        <v>100</v>
      </c>
      <c r="AM572" s="2" t="s">
        <v>76</v>
      </c>
      <c r="AN572" s="1" t="s">
        <v>74</v>
      </c>
      <c r="AO572" s="2" t="s">
        <v>60</v>
      </c>
      <c r="AQ572" s="2" t="s">
        <v>75</v>
      </c>
      <c r="AR572" s="2" t="s">
        <v>76</v>
      </c>
      <c r="AS572" s="1">
        <v>1685.0</v>
      </c>
      <c r="AT572" s="1">
        <v>1685.0</v>
      </c>
      <c r="AU572" s="1">
        <v>661.0</v>
      </c>
      <c r="AV572" s="1">
        <v>44.0</v>
      </c>
      <c r="AW572" s="1">
        <v>146.0</v>
      </c>
      <c r="AX572" s="1">
        <v>5318.0</v>
      </c>
      <c r="AY572" s="1">
        <v>42.0</v>
      </c>
      <c r="AZ572" s="1" t="s">
        <v>445</v>
      </c>
      <c r="BA572" s="1" t="s">
        <v>446</v>
      </c>
    </row>
    <row r="573">
      <c r="A573" s="1" t="s">
        <v>616</v>
      </c>
      <c r="B573" s="1" t="s">
        <v>53</v>
      </c>
      <c r="C573" s="1">
        <v>2019.0</v>
      </c>
      <c r="D573" s="1" t="s">
        <v>617</v>
      </c>
      <c r="E573" s="1" t="s">
        <v>618</v>
      </c>
      <c r="F573" s="1" t="s">
        <v>583</v>
      </c>
      <c r="G573" s="1" t="s">
        <v>619</v>
      </c>
      <c r="H573" s="1" t="s">
        <v>620</v>
      </c>
      <c r="I573" s="1">
        <v>29.0</v>
      </c>
      <c r="J573" s="1">
        <v>11.0</v>
      </c>
      <c r="K573" s="2" t="s">
        <v>621</v>
      </c>
      <c r="L573" s="2" t="s">
        <v>60</v>
      </c>
      <c r="M573" s="1" t="s">
        <v>2044</v>
      </c>
      <c r="N573" s="1" t="s">
        <v>62</v>
      </c>
      <c r="O573" s="1" t="s">
        <v>112</v>
      </c>
      <c r="P573" s="1" t="s">
        <v>623</v>
      </c>
      <c r="Q573" s="1">
        <v>10.730842</v>
      </c>
      <c r="R573" s="1">
        <v>-85.264185</v>
      </c>
      <c r="S573" s="1" t="s">
        <v>148</v>
      </c>
      <c r="T573" s="2" t="s">
        <v>194</v>
      </c>
      <c r="U573" s="2" t="s">
        <v>72</v>
      </c>
      <c r="V573" s="3" t="s">
        <v>277</v>
      </c>
      <c r="W573" s="1" t="s">
        <v>286</v>
      </c>
      <c r="X573" s="1" t="s">
        <v>70</v>
      </c>
      <c r="Y573" s="5" t="s">
        <v>76</v>
      </c>
      <c r="Z573" s="3" t="s">
        <v>76</v>
      </c>
      <c r="AB573" s="1">
        <v>10.0</v>
      </c>
      <c r="AI573" s="1" t="s">
        <v>626</v>
      </c>
      <c r="AJ573" s="1">
        <v>-2250.0</v>
      </c>
      <c r="AK573" s="1">
        <v>2014.0</v>
      </c>
      <c r="AL573" s="2" t="s">
        <v>73</v>
      </c>
      <c r="AM573" s="2" t="s">
        <v>76</v>
      </c>
      <c r="AN573" s="2" t="s">
        <v>132</v>
      </c>
      <c r="AO573" s="2" t="s">
        <v>72</v>
      </c>
      <c r="AQ573" s="2" t="s">
        <v>102</v>
      </c>
      <c r="AR573" s="2" t="s">
        <v>76</v>
      </c>
      <c r="AS573" s="1">
        <v>2220.0</v>
      </c>
      <c r="AT573" s="1">
        <v>2220.0</v>
      </c>
      <c r="AU573" s="1">
        <v>951.0</v>
      </c>
      <c r="AV573" s="1">
        <v>22.0</v>
      </c>
      <c r="AW573" s="1">
        <v>105.0</v>
      </c>
      <c r="AX573" s="1">
        <v>6837.0</v>
      </c>
      <c r="AY573" s="1">
        <v>690.0</v>
      </c>
      <c r="AZ573" s="1" t="s">
        <v>627</v>
      </c>
      <c r="BA573" s="1" t="s">
        <v>121</v>
      </c>
    </row>
    <row r="574">
      <c r="A574" s="1" t="s">
        <v>616</v>
      </c>
      <c r="B574" s="1" t="s">
        <v>53</v>
      </c>
      <c r="C574" s="1">
        <v>2019.0</v>
      </c>
      <c r="D574" s="1" t="s">
        <v>617</v>
      </c>
      <c r="E574" s="1" t="s">
        <v>618</v>
      </c>
      <c r="F574" s="1" t="s">
        <v>583</v>
      </c>
      <c r="G574" s="1" t="s">
        <v>619</v>
      </c>
      <c r="H574" s="1" t="s">
        <v>620</v>
      </c>
      <c r="I574" s="1">
        <v>29.0</v>
      </c>
      <c r="J574" s="1">
        <v>11.0</v>
      </c>
      <c r="K574" s="2" t="s">
        <v>621</v>
      </c>
      <c r="L574" s="2" t="s">
        <v>60</v>
      </c>
      <c r="M574" s="1" t="s">
        <v>2045</v>
      </c>
      <c r="N574" s="1" t="s">
        <v>62</v>
      </c>
      <c r="O574" s="1" t="s">
        <v>112</v>
      </c>
      <c r="P574" s="1" t="s">
        <v>623</v>
      </c>
      <c r="Q574" s="1">
        <v>10.730842</v>
      </c>
      <c r="R574" s="1">
        <v>-85.264185</v>
      </c>
      <c r="S574" s="1" t="s">
        <v>148</v>
      </c>
      <c r="T574" s="2" t="s">
        <v>189</v>
      </c>
      <c r="U574" s="2" t="s">
        <v>72</v>
      </c>
      <c r="V574" s="3" t="s">
        <v>277</v>
      </c>
      <c r="W574" s="1" t="s">
        <v>284</v>
      </c>
      <c r="X574" s="1" t="s">
        <v>70</v>
      </c>
      <c r="Y574" s="5" t="s">
        <v>76</v>
      </c>
      <c r="Z574" s="3" t="s">
        <v>76</v>
      </c>
      <c r="AB574" s="1">
        <v>10.0</v>
      </c>
      <c r="AI574" s="1" t="s">
        <v>626</v>
      </c>
      <c r="AJ574" s="1">
        <v>-2250.0</v>
      </c>
      <c r="AK574" s="1">
        <v>2014.0</v>
      </c>
      <c r="AL574" s="2" t="s">
        <v>73</v>
      </c>
      <c r="AM574" s="2" t="s">
        <v>76</v>
      </c>
      <c r="AN574" s="2" t="s">
        <v>132</v>
      </c>
      <c r="AO574" s="2" t="s">
        <v>72</v>
      </c>
      <c r="AQ574" s="2" t="s">
        <v>102</v>
      </c>
      <c r="AR574" s="2" t="s">
        <v>76</v>
      </c>
      <c r="AS574" s="1">
        <v>2220.0</v>
      </c>
      <c r="AT574" s="1">
        <v>2220.0</v>
      </c>
      <c r="AU574" s="1">
        <v>951.0</v>
      </c>
      <c r="AV574" s="1">
        <v>22.0</v>
      </c>
      <c r="AW574" s="1">
        <v>105.0</v>
      </c>
      <c r="AX574" s="1">
        <v>6837.0</v>
      </c>
      <c r="AY574" s="1">
        <v>690.0</v>
      </c>
      <c r="AZ574" s="1" t="s">
        <v>627</v>
      </c>
      <c r="BA574" s="1" t="s">
        <v>121</v>
      </c>
    </row>
    <row r="575">
      <c r="A575" s="1" t="s">
        <v>1101</v>
      </c>
      <c r="B575" s="1" t="s">
        <v>268</v>
      </c>
      <c r="C575" s="1">
        <v>2009.0</v>
      </c>
      <c r="D575" s="1" t="s">
        <v>1102</v>
      </c>
      <c r="E575" s="1" t="s">
        <v>1103</v>
      </c>
      <c r="F575" s="3" t="s">
        <v>827</v>
      </c>
      <c r="H575" s="1" t="s">
        <v>1104</v>
      </c>
      <c r="I575" s="1">
        <v>24.0</v>
      </c>
      <c r="K575" s="2" t="s">
        <v>1105</v>
      </c>
      <c r="L575" s="2" t="s">
        <v>60</v>
      </c>
      <c r="M575" s="1" t="s">
        <v>2046</v>
      </c>
      <c r="N575" s="1" t="s">
        <v>62</v>
      </c>
      <c r="O575" s="1" t="s">
        <v>187</v>
      </c>
      <c r="P575" s="1" t="s">
        <v>1111</v>
      </c>
      <c r="Q575" s="1">
        <v>17.751954</v>
      </c>
      <c r="R575" s="1">
        <v>-88.653037</v>
      </c>
      <c r="S575" s="1" t="s">
        <v>1108</v>
      </c>
      <c r="T575" s="2" t="s">
        <v>95</v>
      </c>
      <c r="U575" s="2" t="s">
        <v>96</v>
      </c>
      <c r="V575" s="3" t="s">
        <v>97</v>
      </c>
      <c r="W575" s="1" t="s">
        <v>2036</v>
      </c>
      <c r="X575" s="1" t="s">
        <v>256</v>
      </c>
      <c r="Y575" s="6" t="s">
        <v>76</v>
      </c>
      <c r="Z575" s="3" t="s">
        <v>76</v>
      </c>
      <c r="AB575" s="1">
        <v>1.0</v>
      </c>
      <c r="AI575" s="1" t="s">
        <v>675</v>
      </c>
      <c r="AJ575" s="2" t="s">
        <v>72</v>
      </c>
      <c r="AK575" s="1">
        <v>1950.0</v>
      </c>
      <c r="AL575" s="2" t="s">
        <v>100</v>
      </c>
      <c r="AM575" s="2" t="s">
        <v>76</v>
      </c>
      <c r="AN575" s="1" t="s">
        <v>74</v>
      </c>
      <c r="AO575" s="2" t="s">
        <v>60</v>
      </c>
      <c r="AQ575" s="2" t="s">
        <v>75</v>
      </c>
      <c r="AR575" s="2" t="s">
        <v>76</v>
      </c>
      <c r="AS575" s="1">
        <v>1691.0</v>
      </c>
      <c r="AT575" s="1">
        <v>1691.0</v>
      </c>
      <c r="AU575" s="1">
        <v>664.0</v>
      </c>
      <c r="AV575" s="1">
        <v>45.0</v>
      </c>
      <c r="AW575" s="1">
        <v>148.0</v>
      </c>
      <c r="AX575" s="1">
        <v>5316.0</v>
      </c>
      <c r="AY575" s="1">
        <v>41.0</v>
      </c>
      <c r="AZ575" s="1" t="s">
        <v>445</v>
      </c>
      <c r="BA575" s="1" t="s">
        <v>446</v>
      </c>
    </row>
    <row r="576">
      <c r="A576" s="1" t="s">
        <v>1101</v>
      </c>
      <c r="B576" s="1" t="s">
        <v>268</v>
      </c>
      <c r="C576" s="1">
        <v>2009.0</v>
      </c>
      <c r="D576" s="1" t="s">
        <v>1102</v>
      </c>
      <c r="E576" s="1" t="s">
        <v>1103</v>
      </c>
      <c r="F576" s="3" t="s">
        <v>827</v>
      </c>
      <c r="H576" s="1" t="s">
        <v>1104</v>
      </c>
      <c r="I576" s="1">
        <v>24.0</v>
      </c>
      <c r="K576" s="2" t="s">
        <v>1105</v>
      </c>
      <c r="L576" s="2" t="s">
        <v>60</v>
      </c>
      <c r="M576" s="1" t="s">
        <v>2047</v>
      </c>
      <c r="N576" s="1" t="s">
        <v>62</v>
      </c>
      <c r="O576" s="1" t="s">
        <v>187</v>
      </c>
      <c r="P576" s="1" t="s">
        <v>1111</v>
      </c>
      <c r="Q576" s="1">
        <v>17.751954</v>
      </c>
      <c r="R576" s="1">
        <v>-88.653037</v>
      </c>
      <c r="S576" s="1" t="s">
        <v>1108</v>
      </c>
      <c r="T576" s="2" t="s">
        <v>95</v>
      </c>
      <c r="U576" s="2" t="s">
        <v>96</v>
      </c>
      <c r="V576" s="3" t="s">
        <v>97</v>
      </c>
      <c r="W576" s="1" t="s">
        <v>2036</v>
      </c>
      <c r="X576" s="1" t="s">
        <v>256</v>
      </c>
      <c r="Y576" s="6" t="s">
        <v>76</v>
      </c>
      <c r="Z576" s="3" t="s">
        <v>76</v>
      </c>
      <c r="AB576" s="1">
        <v>1.0</v>
      </c>
      <c r="AI576" s="1" t="s">
        <v>675</v>
      </c>
      <c r="AJ576" s="2" t="s">
        <v>72</v>
      </c>
      <c r="AK576" s="1">
        <v>1950.0</v>
      </c>
      <c r="AL576" s="2" t="s">
        <v>100</v>
      </c>
      <c r="AM576" s="2" t="s">
        <v>76</v>
      </c>
      <c r="AN576" s="1" t="s">
        <v>74</v>
      </c>
      <c r="AO576" s="2" t="s">
        <v>60</v>
      </c>
      <c r="AQ576" s="2" t="s">
        <v>75</v>
      </c>
      <c r="AR576" s="2" t="s">
        <v>76</v>
      </c>
      <c r="AS576" s="1">
        <v>1691.0</v>
      </c>
      <c r="AT576" s="1">
        <v>1691.0</v>
      </c>
      <c r="AU576" s="1">
        <v>664.0</v>
      </c>
      <c r="AV576" s="1">
        <v>45.0</v>
      </c>
      <c r="AW576" s="1">
        <v>148.0</v>
      </c>
      <c r="AX576" s="1">
        <v>5316.0</v>
      </c>
      <c r="AY576" s="1">
        <v>41.0</v>
      </c>
      <c r="AZ576" s="1" t="s">
        <v>445</v>
      </c>
      <c r="BA576" s="1" t="s">
        <v>446</v>
      </c>
    </row>
    <row r="577">
      <c r="A577" s="1" t="s">
        <v>616</v>
      </c>
      <c r="B577" s="1" t="s">
        <v>53</v>
      </c>
      <c r="C577" s="1">
        <v>2019.0</v>
      </c>
      <c r="D577" s="1" t="s">
        <v>617</v>
      </c>
      <c r="E577" s="1" t="s">
        <v>618</v>
      </c>
      <c r="F577" s="1" t="s">
        <v>583</v>
      </c>
      <c r="G577" s="1" t="s">
        <v>619</v>
      </c>
      <c r="H577" s="1" t="s">
        <v>620</v>
      </c>
      <c r="I577" s="1">
        <v>29.0</v>
      </c>
      <c r="J577" s="1">
        <v>11.0</v>
      </c>
      <c r="K577" s="2" t="s">
        <v>621</v>
      </c>
      <c r="L577" s="2" t="s">
        <v>60</v>
      </c>
      <c r="M577" s="1" t="s">
        <v>2048</v>
      </c>
      <c r="N577" s="1" t="s">
        <v>62</v>
      </c>
      <c r="O577" s="1" t="s">
        <v>112</v>
      </c>
      <c r="P577" s="1" t="s">
        <v>623</v>
      </c>
      <c r="Q577" s="1">
        <v>10.730842</v>
      </c>
      <c r="R577" s="1">
        <v>-85.264185</v>
      </c>
      <c r="S577" s="1" t="s">
        <v>148</v>
      </c>
      <c r="T577" s="2" t="s">
        <v>388</v>
      </c>
      <c r="U577" s="2" t="s">
        <v>72</v>
      </c>
      <c r="V577" s="3" t="s">
        <v>277</v>
      </c>
      <c r="W577" s="1" t="s">
        <v>643</v>
      </c>
      <c r="X577" s="2" t="s">
        <v>99</v>
      </c>
      <c r="Y577" s="6" t="s">
        <v>76</v>
      </c>
      <c r="Z577" s="3" t="s">
        <v>76</v>
      </c>
      <c r="AB577" s="1">
        <v>10.0</v>
      </c>
      <c r="AI577" s="1" t="s">
        <v>626</v>
      </c>
      <c r="AJ577" s="1">
        <v>-2250.0</v>
      </c>
      <c r="AK577" s="1">
        <v>2014.0</v>
      </c>
      <c r="AL577" s="2" t="s">
        <v>73</v>
      </c>
      <c r="AM577" s="2" t="s">
        <v>76</v>
      </c>
      <c r="AN577" s="2" t="s">
        <v>132</v>
      </c>
      <c r="AO577" s="2" t="s">
        <v>72</v>
      </c>
      <c r="AQ577" s="2" t="s">
        <v>102</v>
      </c>
      <c r="AR577" s="2" t="s">
        <v>76</v>
      </c>
      <c r="AS577" s="1">
        <v>2220.0</v>
      </c>
      <c r="AT577" s="1">
        <v>2220.0</v>
      </c>
      <c r="AU577" s="1">
        <v>951.0</v>
      </c>
      <c r="AV577" s="1">
        <v>22.0</v>
      </c>
      <c r="AW577" s="1">
        <v>105.0</v>
      </c>
      <c r="AX577" s="1">
        <v>6837.0</v>
      </c>
      <c r="AY577" s="1">
        <v>690.0</v>
      </c>
      <c r="AZ577" s="1" t="s">
        <v>627</v>
      </c>
      <c r="BA577" s="1" t="s">
        <v>121</v>
      </c>
    </row>
    <row r="578">
      <c r="A578" s="1" t="s">
        <v>1101</v>
      </c>
      <c r="B578" s="1" t="s">
        <v>268</v>
      </c>
      <c r="C578" s="1">
        <v>2009.0</v>
      </c>
      <c r="D578" s="1" t="s">
        <v>1102</v>
      </c>
      <c r="E578" s="1" t="s">
        <v>1103</v>
      </c>
      <c r="F578" s="3" t="s">
        <v>827</v>
      </c>
      <c r="H578" s="1" t="s">
        <v>1104</v>
      </c>
      <c r="I578" s="1">
        <v>24.0</v>
      </c>
      <c r="K578" s="2" t="s">
        <v>1105</v>
      </c>
      <c r="L578" s="2" t="s">
        <v>60</v>
      </c>
      <c r="M578" s="1" t="s">
        <v>2049</v>
      </c>
      <c r="N578" s="1" t="s">
        <v>62</v>
      </c>
      <c r="O578" s="1" t="s">
        <v>187</v>
      </c>
      <c r="P578" s="1" t="s">
        <v>1111</v>
      </c>
      <c r="Q578" s="1">
        <v>17.751954</v>
      </c>
      <c r="R578" s="1">
        <v>-88.653037</v>
      </c>
      <c r="S578" s="1" t="s">
        <v>1108</v>
      </c>
      <c r="T578" s="2" t="s">
        <v>95</v>
      </c>
      <c r="U578" s="2" t="s">
        <v>96</v>
      </c>
      <c r="V578" s="3" t="s">
        <v>97</v>
      </c>
      <c r="W578" s="1" t="s">
        <v>2036</v>
      </c>
      <c r="X578" s="1" t="s">
        <v>256</v>
      </c>
      <c r="Y578" s="6" t="s">
        <v>76</v>
      </c>
      <c r="Z578" s="3" t="s">
        <v>76</v>
      </c>
      <c r="AB578" s="1">
        <v>1.0</v>
      </c>
      <c r="AI578" s="1" t="s">
        <v>675</v>
      </c>
      <c r="AJ578" s="2" t="s">
        <v>72</v>
      </c>
      <c r="AK578" s="1">
        <v>1950.0</v>
      </c>
      <c r="AL578" s="2" t="s">
        <v>100</v>
      </c>
      <c r="AM578" s="2" t="s">
        <v>76</v>
      </c>
      <c r="AN578" s="1" t="s">
        <v>74</v>
      </c>
      <c r="AO578" s="2" t="s">
        <v>60</v>
      </c>
      <c r="AQ578" s="2" t="s">
        <v>75</v>
      </c>
      <c r="AR578" s="2" t="s">
        <v>76</v>
      </c>
      <c r="AS578" s="1">
        <v>1691.0</v>
      </c>
      <c r="AT578" s="1">
        <v>1691.0</v>
      </c>
      <c r="AU578" s="1">
        <v>664.0</v>
      </c>
      <c r="AV578" s="1">
        <v>45.0</v>
      </c>
      <c r="AW578" s="1">
        <v>148.0</v>
      </c>
      <c r="AX578" s="1">
        <v>5316.0</v>
      </c>
      <c r="AY578" s="1">
        <v>41.0</v>
      </c>
      <c r="AZ578" s="1" t="s">
        <v>445</v>
      </c>
      <c r="BA578" s="1" t="s">
        <v>446</v>
      </c>
    </row>
    <row r="579">
      <c r="A579" s="1" t="s">
        <v>2050</v>
      </c>
      <c r="B579" s="1" t="s">
        <v>268</v>
      </c>
      <c r="C579" s="1">
        <v>2009.0</v>
      </c>
      <c r="D579" s="1" t="s">
        <v>2051</v>
      </c>
      <c r="E579" s="1" t="s">
        <v>2052</v>
      </c>
      <c r="F579" s="3" t="s">
        <v>793</v>
      </c>
      <c r="H579" s="1" t="s">
        <v>2053</v>
      </c>
      <c r="I579" s="1">
        <v>280.0</v>
      </c>
      <c r="K579" s="2" t="s">
        <v>1767</v>
      </c>
      <c r="L579" s="2" t="s">
        <v>60</v>
      </c>
      <c r="M579" s="1" t="s">
        <v>2054</v>
      </c>
      <c r="N579" s="1" t="s">
        <v>62</v>
      </c>
      <c r="O579" s="1" t="s">
        <v>187</v>
      </c>
      <c r="P579" s="1" t="s">
        <v>2055</v>
      </c>
      <c r="Q579" s="1">
        <v>17.4</v>
      </c>
      <c r="R579" s="1">
        <v>-88.066667</v>
      </c>
      <c r="S579" s="1" t="s">
        <v>65</v>
      </c>
      <c r="T579" s="2" t="s">
        <v>189</v>
      </c>
      <c r="U579" s="2" t="s">
        <v>917</v>
      </c>
      <c r="V579" s="3" t="s">
        <v>97</v>
      </c>
      <c r="W579" s="1" t="s">
        <v>2056</v>
      </c>
      <c r="X579" s="1" t="s">
        <v>70</v>
      </c>
      <c r="Y579" s="6" t="s">
        <v>76</v>
      </c>
      <c r="Z579" s="3" t="s">
        <v>76</v>
      </c>
      <c r="AB579" s="1">
        <v>7.0</v>
      </c>
      <c r="AI579" s="1" t="s">
        <v>2057</v>
      </c>
      <c r="AJ579" s="1">
        <v>-6150.0</v>
      </c>
      <c r="AK579" s="1">
        <v>1950.0</v>
      </c>
      <c r="AL579" s="2" t="s">
        <v>1278</v>
      </c>
      <c r="AM579" s="2" t="s">
        <v>76</v>
      </c>
      <c r="AN579" s="1" t="s">
        <v>238</v>
      </c>
      <c r="AO579" s="2" t="s">
        <v>72</v>
      </c>
      <c r="AQ579" s="2" t="s">
        <v>75</v>
      </c>
      <c r="AR579" s="2" t="s">
        <v>76</v>
      </c>
      <c r="AS579" s="1">
        <v>1718.0</v>
      </c>
      <c r="AT579" s="1">
        <v>1718.0</v>
      </c>
      <c r="AU579" s="1">
        <v>641.0</v>
      </c>
      <c r="AV579" s="1">
        <v>38.0</v>
      </c>
      <c r="AW579" s="1">
        <v>152.0</v>
      </c>
      <c r="AX579" s="1">
        <v>5103.0</v>
      </c>
      <c r="AY579" s="1">
        <v>1.0</v>
      </c>
      <c r="AZ579" s="1" t="s">
        <v>658</v>
      </c>
      <c r="BA579" s="1" t="s">
        <v>659</v>
      </c>
    </row>
    <row r="580">
      <c r="A580" s="1" t="s">
        <v>2050</v>
      </c>
      <c r="B580" s="1" t="s">
        <v>268</v>
      </c>
      <c r="C580" s="1">
        <v>2009.0</v>
      </c>
      <c r="D580" s="1" t="s">
        <v>2051</v>
      </c>
      <c r="E580" s="1" t="s">
        <v>2052</v>
      </c>
      <c r="F580" s="3" t="s">
        <v>793</v>
      </c>
      <c r="H580" s="1" t="s">
        <v>2053</v>
      </c>
      <c r="I580" s="1">
        <v>280.0</v>
      </c>
      <c r="K580" s="2" t="s">
        <v>1767</v>
      </c>
      <c r="L580" s="2" t="s">
        <v>60</v>
      </c>
      <c r="M580" s="1" t="s">
        <v>2058</v>
      </c>
      <c r="N580" s="1" t="s">
        <v>62</v>
      </c>
      <c r="O580" s="1" t="s">
        <v>187</v>
      </c>
      <c r="P580" s="1" t="s">
        <v>2055</v>
      </c>
      <c r="Q580" s="1">
        <v>17.4</v>
      </c>
      <c r="R580" s="1">
        <v>-88.066667</v>
      </c>
      <c r="S580" s="1" t="s">
        <v>65</v>
      </c>
      <c r="T580" s="2" t="s">
        <v>382</v>
      </c>
      <c r="U580" s="2" t="s">
        <v>917</v>
      </c>
      <c r="V580" s="3" t="s">
        <v>97</v>
      </c>
      <c r="W580" s="2" t="s">
        <v>72</v>
      </c>
      <c r="X580" s="1" t="s">
        <v>968</v>
      </c>
      <c r="Y580" s="6" t="s">
        <v>76</v>
      </c>
      <c r="Z580" s="3" t="s">
        <v>76</v>
      </c>
      <c r="AB580" s="1">
        <v>7.0</v>
      </c>
      <c r="AI580" s="1" t="s">
        <v>2057</v>
      </c>
      <c r="AJ580" s="1">
        <v>-6150.0</v>
      </c>
      <c r="AK580" s="1">
        <v>1950.0</v>
      </c>
      <c r="AL580" s="2" t="s">
        <v>1278</v>
      </c>
      <c r="AM580" s="2" t="s">
        <v>76</v>
      </c>
      <c r="AN580" s="1" t="s">
        <v>238</v>
      </c>
      <c r="AO580" s="2" t="s">
        <v>72</v>
      </c>
      <c r="AQ580" s="2" t="s">
        <v>75</v>
      </c>
      <c r="AR580" s="2" t="s">
        <v>76</v>
      </c>
      <c r="AS580" s="1">
        <v>1718.0</v>
      </c>
      <c r="AT580" s="1">
        <v>1718.0</v>
      </c>
      <c r="AU580" s="1">
        <v>641.0</v>
      </c>
      <c r="AV580" s="1">
        <v>38.0</v>
      </c>
      <c r="AW580" s="1">
        <v>152.0</v>
      </c>
      <c r="AX580" s="1">
        <v>5103.0</v>
      </c>
      <c r="AY580" s="1">
        <v>1.0</v>
      </c>
      <c r="AZ580" s="1" t="s">
        <v>658</v>
      </c>
      <c r="BA580" s="1" t="s">
        <v>659</v>
      </c>
    </row>
    <row r="581">
      <c r="A581" s="1" t="s">
        <v>2050</v>
      </c>
      <c r="B581" s="1" t="s">
        <v>268</v>
      </c>
      <c r="C581" s="1">
        <v>2009.0</v>
      </c>
      <c r="D581" s="1" t="s">
        <v>2051</v>
      </c>
      <c r="E581" s="1" t="s">
        <v>2052</v>
      </c>
      <c r="F581" s="3" t="s">
        <v>793</v>
      </c>
      <c r="H581" s="1" t="s">
        <v>2053</v>
      </c>
      <c r="I581" s="1">
        <v>280.0</v>
      </c>
      <c r="K581" s="2" t="s">
        <v>1767</v>
      </c>
      <c r="L581" s="2" t="s">
        <v>60</v>
      </c>
      <c r="M581" s="1" t="s">
        <v>2059</v>
      </c>
      <c r="N581" s="1" t="s">
        <v>62</v>
      </c>
      <c r="O581" s="1" t="s">
        <v>187</v>
      </c>
      <c r="P581" s="1" t="s">
        <v>2055</v>
      </c>
      <c r="Q581" s="1">
        <v>17.4</v>
      </c>
      <c r="R581" s="1">
        <v>-88.066667</v>
      </c>
      <c r="S581" s="1" t="s">
        <v>65</v>
      </c>
      <c r="T581" s="2" t="s">
        <v>194</v>
      </c>
      <c r="U581" s="2" t="s">
        <v>917</v>
      </c>
      <c r="V581" s="3" t="s">
        <v>97</v>
      </c>
      <c r="W581" s="1" t="s">
        <v>2060</v>
      </c>
      <c r="X581" s="1" t="s">
        <v>70</v>
      </c>
      <c r="Y581" s="6" t="s">
        <v>76</v>
      </c>
      <c r="Z581" s="3" t="s">
        <v>76</v>
      </c>
      <c r="AB581" s="1">
        <v>7.0</v>
      </c>
      <c r="AI581" s="1" t="s">
        <v>2057</v>
      </c>
      <c r="AJ581" s="1">
        <v>-6150.0</v>
      </c>
      <c r="AK581" s="1">
        <v>1950.0</v>
      </c>
      <c r="AL581" s="2" t="s">
        <v>1278</v>
      </c>
      <c r="AM581" s="2" t="s">
        <v>76</v>
      </c>
      <c r="AN581" s="1" t="s">
        <v>238</v>
      </c>
      <c r="AO581" s="2" t="s">
        <v>72</v>
      </c>
      <c r="AQ581" s="2" t="s">
        <v>75</v>
      </c>
      <c r="AR581" s="2" t="s">
        <v>76</v>
      </c>
      <c r="AS581" s="1">
        <v>1718.0</v>
      </c>
      <c r="AT581" s="1">
        <v>1718.0</v>
      </c>
      <c r="AU581" s="1">
        <v>641.0</v>
      </c>
      <c r="AV581" s="1">
        <v>38.0</v>
      </c>
      <c r="AW581" s="1">
        <v>152.0</v>
      </c>
      <c r="AX581" s="1">
        <v>5103.0</v>
      </c>
      <c r="AY581" s="1">
        <v>1.0</v>
      </c>
      <c r="AZ581" s="1" t="s">
        <v>658</v>
      </c>
      <c r="BA581" s="1" t="s">
        <v>659</v>
      </c>
    </row>
    <row r="582">
      <c r="A582" s="1" t="s">
        <v>2050</v>
      </c>
      <c r="B582" s="1" t="s">
        <v>268</v>
      </c>
      <c r="C582" s="1">
        <v>2009.0</v>
      </c>
      <c r="D582" s="1" t="s">
        <v>2051</v>
      </c>
      <c r="E582" s="1" t="s">
        <v>2052</v>
      </c>
      <c r="F582" s="3" t="s">
        <v>793</v>
      </c>
      <c r="H582" s="1" t="s">
        <v>2053</v>
      </c>
      <c r="I582" s="1">
        <v>280.0</v>
      </c>
      <c r="K582" s="2" t="s">
        <v>1767</v>
      </c>
      <c r="L582" s="2" t="s">
        <v>60</v>
      </c>
      <c r="M582" s="1" t="s">
        <v>2061</v>
      </c>
      <c r="N582" s="1" t="s">
        <v>62</v>
      </c>
      <c r="O582" s="1" t="s">
        <v>187</v>
      </c>
      <c r="P582" s="1" t="s">
        <v>2055</v>
      </c>
      <c r="Q582" s="1">
        <v>17.4</v>
      </c>
      <c r="R582" s="1">
        <v>-88.066667</v>
      </c>
      <c r="S582" s="1" t="s">
        <v>65</v>
      </c>
      <c r="T582" s="2" t="s">
        <v>66</v>
      </c>
      <c r="U582" s="2" t="s">
        <v>913</v>
      </c>
      <c r="V582" s="3" t="s">
        <v>788</v>
      </c>
      <c r="W582" s="1" t="s">
        <v>2062</v>
      </c>
      <c r="X582" s="1" t="s">
        <v>70</v>
      </c>
      <c r="Y582" s="5" t="s">
        <v>76</v>
      </c>
      <c r="Z582" s="3" t="s">
        <v>76</v>
      </c>
      <c r="AB582" s="1">
        <v>7.0</v>
      </c>
      <c r="AI582" s="1" t="s">
        <v>2057</v>
      </c>
      <c r="AJ582" s="1">
        <v>-6150.0</v>
      </c>
      <c r="AK582" s="1">
        <v>1950.0</v>
      </c>
      <c r="AL582" s="2" t="s">
        <v>1278</v>
      </c>
      <c r="AM582" s="2" t="s">
        <v>76</v>
      </c>
      <c r="AN582" s="1" t="s">
        <v>238</v>
      </c>
      <c r="AO582" s="2" t="s">
        <v>72</v>
      </c>
      <c r="AQ582" s="2" t="s">
        <v>75</v>
      </c>
      <c r="AR582" s="2" t="s">
        <v>76</v>
      </c>
      <c r="AS582" s="1">
        <v>1718.0</v>
      </c>
      <c r="AT582" s="1">
        <v>1718.0</v>
      </c>
      <c r="AU582" s="1">
        <v>641.0</v>
      </c>
      <c r="AV582" s="1">
        <v>38.0</v>
      </c>
      <c r="AW582" s="1">
        <v>152.0</v>
      </c>
      <c r="AX582" s="1">
        <v>5103.0</v>
      </c>
      <c r="AY582" s="1">
        <v>1.0</v>
      </c>
      <c r="AZ582" s="1" t="s">
        <v>658</v>
      </c>
      <c r="BA582" s="1" t="s">
        <v>659</v>
      </c>
    </row>
    <row r="583">
      <c r="A583" s="1" t="s">
        <v>2050</v>
      </c>
      <c r="B583" s="1" t="s">
        <v>268</v>
      </c>
      <c r="C583" s="1">
        <v>2009.0</v>
      </c>
      <c r="D583" s="1" t="s">
        <v>2051</v>
      </c>
      <c r="E583" s="1" t="s">
        <v>2052</v>
      </c>
      <c r="F583" s="3" t="s">
        <v>793</v>
      </c>
      <c r="H583" s="1" t="s">
        <v>2053</v>
      </c>
      <c r="I583" s="1">
        <v>280.0</v>
      </c>
      <c r="K583" s="2" t="s">
        <v>1767</v>
      </c>
      <c r="L583" s="2" t="s">
        <v>60</v>
      </c>
      <c r="M583" s="1" t="s">
        <v>2063</v>
      </c>
      <c r="N583" s="1" t="s">
        <v>62</v>
      </c>
      <c r="O583" s="1" t="s">
        <v>187</v>
      </c>
      <c r="P583" s="1" t="s">
        <v>2055</v>
      </c>
      <c r="Q583" s="1">
        <v>17.4</v>
      </c>
      <c r="R583" s="1">
        <v>-88.066667</v>
      </c>
      <c r="S583" s="1" t="s">
        <v>65</v>
      </c>
      <c r="T583" s="2" t="s">
        <v>95</v>
      </c>
      <c r="U583" s="2" t="s">
        <v>1683</v>
      </c>
      <c r="V583" s="3" t="s">
        <v>97</v>
      </c>
      <c r="W583" s="1" t="s">
        <v>2064</v>
      </c>
      <c r="X583" s="1" t="s">
        <v>483</v>
      </c>
      <c r="Y583" s="6" t="s">
        <v>76</v>
      </c>
      <c r="Z583" s="3" t="s">
        <v>76</v>
      </c>
      <c r="AB583" s="1">
        <v>7.0</v>
      </c>
      <c r="AI583" s="1" t="s">
        <v>2057</v>
      </c>
      <c r="AJ583" s="1">
        <v>-6150.0</v>
      </c>
      <c r="AK583" s="1">
        <v>1950.0</v>
      </c>
      <c r="AL583" s="2" t="s">
        <v>1278</v>
      </c>
      <c r="AM583" s="2" t="s">
        <v>76</v>
      </c>
      <c r="AN583" s="1" t="s">
        <v>238</v>
      </c>
      <c r="AO583" s="2" t="s">
        <v>72</v>
      </c>
      <c r="AQ583" s="2" t="s">
        <v>75</v>
      </c>
      <c r="AR583" s="2" t="s">
        <v>76</v>
      </c>
      <c r="AS583" s="1">
        <v>1718.0</v>
      </c>
      <c r="AT583" s="1">
        <v>1718.0</v>
      </c>
      <c r="AU583" s="1">
        <v>641.0</v>
      </c>
      <c r="AV583" s="1">
        <v>38.0</v>
      </c>
      <c r="AW583" s="1">
        <v>152.0</v>
      </c>
      <c r="AX583" s="1">
        <v>5103.0</v>
      </c>
      <c r="AY583" s="1">
        <v>1.0</v>
      </c>
      <c r="AZ583" s="1" t="s">
        <v>658</v>
      </c>
      <c r="BA583" s="1" t="s">
        <v>659</v>
      </c>
    </row>
    <row r="584">
      <c r="A584" s="1" t="s">
        <v>2050</v>
      </c>
      <c r="B584" s="1" t="s">
        <v>268</v>
      </c>
      <c r="C584" s="1">
        <v>2009.0</v>
      </c>
      <c r="D584" s="1" t="s">
        <v>2051</v>
      </c>
      <c r="E584" s="1" t="s">
        <v>2052</v>
      </c>
      <c r="F584" s="3" t="s">
        <v>793</v>
      </c>
      <c r="H584" s="1" t="s">
        <v>2053</v>
      </c>
      <c r="I584" s="1">
        <v>280.0</v>
      </c>
      <c r="K584" s="2" t="s">
        <v>1767</v>
      </c>
      <c r="L584" s="2" t="s">
        <v>60</v>
      </c>
      <c r="M584" s="1" t="s">
        <v>2065</v>
      </c>
      <c r="N584" s="1" t="s">
        <v>62</v>
      </c>
      <c r="O584" s="1" t="s">
        <v>187</v>
      </c>
      <c r="P584" s="1" t="s">
        <v>2055</v>
      </c>
      <c r="Q584" s="1">
        <v>17.4</v>
      </c>
      <c r="R584" s="1">
        <v>-88.066667</v>
      </c>
      <c r="S584" s="1" t="s">
        <v>65</v>
      </c>
      <c r="T584" s="2" t="s">
        <v>135</v>
      </c>
      <c r="U584" s="1" t="s">
        <v>2066</v>
      </c>
      <c r="V584" s="3" t="s">
        <v>138</v>
      </c>
      <c r="W584" s="1" t="s">
        <v>2067</v>
      </c>
      <c r="X584" s="1" t="s">
        <v>483</v>
      </c>
      <c r="Y584" s="6" t="s">
        <v>76</v>
      </c>
      <c r="Z584" s="3" t="s">
        <v>76</v>
      </c>
      <c r="AB584" s="1">
        <v>7.0</v>
      </c>
      <c r="AI584" s="1" t="s">
        <v>2057</v>
      </c>
      <c r="AJ584" s="1">
        <v>-6150.0</v>
      </c>
      <c r="AK584" s="1">
        <v>1950.0</v>
      </c>
      <c r="AL584" s="2" t="s">
        <v>1278</v>
      </c>
      <c r="AM584" s="2" t="s">
        <v>76</v>
      </c>
      <c r="AN584" s="1" t="s">
        <v>238</v>
      </c>
      <c r="AO584" s="2" t="s">
        <v>72</v>
      </c>
      <c r="AQ584" s="2" t="s">
        <v>75</v>
      </c>
      <c r="AR584" s="2" t="s">
        <v>76</v>
      </c>
      <c r="AS584" s="1">
        <v>1718.0</v>
      </c>
      <c r="AT584" s="1">
        <v>1718.0</v>
      </c>
      <c r="AU584" s="1">
        <v>641.0</v>
      </c>
      <c r="AV584" s="1">
        <v>38.0</v>
      </c>
      <c r="AW584" s="1">
        <v>152.0</v>
      </c>
      <c r="AX584" s="1">
        <v>5103.0</v>
      </c>
      <c r="AY584" s="1">
        <v>1.0</v>
      </c>
      <c r="AZ584" s="1" t="s">
        <v>658</v>
      </c>
      <c r="BA584" s="1" t="s">
        <v>659</v>
      </c>
    </row>
    <row r="585">
      <c r="A585" s="1" t="s">
        <v>2050</v>
      </c>
      <c r="B585" s="1" t="s">
        <v>268</v>
      </c>
      <c r="C585" s="1">
        <v>2009.0</v>
      </c>
      <c r="D585" s="1" t="s">
        <v>2051</v>
      </c>
      <c r="E585" s="1" t="s">
        <v>2052</v>
      </c>
      <c r="F585" s="3" t="s">
        <v>793</v>
      </c>
      <c r="H585" s="1" t="s">
        <v>2053</v>
      </c>
      <c r="I585" s="1">
        <v>280.0</v>
      </c>
      <c r="K585" s="2" t="s">
        <v>1767</v>
      </c>
      <c r="L585" s="2" t="s">
        <v>60</v>
      </c>
      <c r="M585" s="1" t="s">
        <v>2068</v>
      </c>
      <c r="N585" s="1" t="s">
        <v>62</v>
      </c>
      <c r="O585" s="1" t="s">
        <v>187</v>
      </c>
      <c r="P585" s="1" t="s">
        <v>2055</v>
      </c>
      <c r="Q585" s="1">
        <v>17.4</v>
      </c>
      <c r="R585" s="1">
        <v>-88.066667</v>
      </c>
      <c r="S585" s="1" t="s">
        <v>65</v>
      </c>
      <c r="T585" s="2" t="s">
        <v>388</v>
      </c>
      <c r="U585" s="1" t="s">
        <v>2066</v>
      </c>
      <c r="V585" s="3" t="s">
        <v>138</v>
      </c>
      <c r="W585" s="1" t="s">
        <v>2069</v>
      </c>
      <c r="X585" s="1" t="s">
        <v>483</v>
      </c>
      <c r="Y585" s="6" t="s">
        <v>76</v>
      </c>
      <c r="Z585" s="3" t="s">
        <v>76</v>
      </c>
      <c r="AB585" s="1">
        <v>7.0</v>
      </c>
      <c r="AI585" s="1" t="s">
        <v>2057</v>
      </c>
      <c r="AJ585" s="1">
        <v>-6150.0</v>
      </c>
      <c r="AK585" s="1">
        <v>1950.0</v>
      </c>
      <c r="AL585" s="2" t="s">
        <v>1278</v>
      </c>
      <c r="AM585" s="2" t="s">
        <v>76</v>
      </c>
      <c r="AN585" s="1" t="s">
        <v>238</v>
      </c>
      <c r="AO585" s="2" t="s">
        <v>72</v>
      </c>
      <c r="AQ585" s="2" t="s">
        <v>75</v>
      </c>
      <c r="AR585" s="2" t="s">
        <v>76</v>
      </c>
      <c r="AS585" s="1">
        <v>1718.0</v>
      </c>
      <c r="AT585" s="1">
        <v>1718.0</v>
      </c>
      <c r="AU585" s="1">
        <v>641.0</v>
      </c>
      <c r="AV585" s="1">
        <v>38.0</v>
      </c>
      <c r="AW585" s="1">
        <v>152.0</v>
      </c>
      <c r="AX585" s="1">
        <v>5103.0</v>
      </c>
      <c r="AY585" s="1">
        <v>1.0</v>
      </c>
      <c r="AZ585" s="1" t="s">
        <v>658</v>
      </c>
      <c r="BA585" s="1" t="s">
        <v>659</v>
      </c>
    </row>
    <row r="586">
      <c r="A586" s="1" t="s">
        <v>1168</v>
      </c>
      <c r="B586" s="1" t="s">
        <v>268</v>
      </c>
      <c r="C586" s="1">
        <v>2009.0</v>
      </c>
      <c r="D586" s="1" t="s">
        <v>1169</v>
      </c>
      <c r="E586" s="1" t="s">
        <v>1170</v>
      </c>
      <c r="F586" s="3" t="s">
        <v>303</v>
      </c>
      <c r="H586" s="1" t="s">
        <v>1171</v>
      </c>
      <c r="I586" s="1">
        <v>71.0</v>
      </c>
      <c r="K586" s="2" t="s">
        <v>1172</v>
      </c>
      <c r="L586" s="2" t="s">
        <v>60</v>
      </c>
      <c r="M586" s="1" t="s">
        <v>2070</v>
      </c>
      <c r="N586" s="1" t="s">
        <v>62</v>
      </c>
      <c r="O586" s="1" t="s">
        <v>167</v>
      </c>
      <c r="P586" s="1" t="s">
        <v>512</v>
      </c>
      <c r="Q586" s="1">
        <v>17.0</v>
      </c>
      <c r="R586" s="1">
        <v>-89.916667</v>
      </c>
      <c r="S586" s="1" t="s">
        <v>148</v>
      </c>
      <c r="T586" s="2" t="s">
        <v>66</v>
      </c>
      <c r="U586" s="2" t="s">
        <v>2071</v>
      </c>
      <c r="V586" s="3" t="s">
        <v>171</v>
      </c>
      <c r="W586" s="1" t="s">
        <v>2072</v>
      </c>
      <c r="X586" s="1" t="s">
        <v>70</v>
      </c>
      <c r="Y586" s="5" t="s">
        <v>60</v>
      </c>
      <c r="Z586" s="3" t="s">
        <v>345</v>
      </c>
      <c r="AB586" s="1">
        <v>6.0</v>
      </c>
      <c r="AI586" s="1" t="s">
        <v>1174</v>
      </c>
      <c r="AJ586" s="1">
        <v>-9080.0</v>
      </c>
      <c r="AK586" s="1">
        <v>1950.0</v>
      </c>
      <c r="AL586" s="2" t="s">
        <v>73</v>
      </c>
      <c r="AM586" s="2" t="s">
        <v>72</v>
      </c>
      <c r="AN586" s="2" t="s">
        <v>72</v>
      </c>
      <c r="AO586" s="2" t="s">
        <v>72</v>
      </c>
      <c r="AQ586" s="2" t="s">
        <v>75</v>
      </c>
      <c r="AR586" s="2" t="s">
        <v>76</v>
      </c>
      <c r="AS586" s="1">
        <v>1741.0</v>
      </c>
      <c r="AT586" s="1">
        <v>1741.0</v>
      </c>
      <c r="AU586" s="1">
        <v>702.0</v>
      </c>
      <c r="AV586" s="1">
        <v>39.0</v>
      </c>
      <c r="AW586" s="1">
        <v>141.0</v>
      </c>
      <c r="AX586" s="1">
        <v>5771.0</v>
      </c>
      <c r="AY586" s="1">
        <v>197.0</v>
      </c>
      <c r="AZ586" s="1" t="s">
        <v>133</v>
      </c>
      <c r="BA586" s="1" t="s">
        <v>121</v>
      </c>
    </row>
    <row r="587">
      <c r="A587" s="1" t="s">
        <v>1168</v>
      </c>
      <c r="B587" s="1" t="s">
        <v>268</v>
      </c>
      <c r="C587" s="1">
        <v>2009.0</v>
      </c>
      <c r="D587" s="1" t="s">
        <v>1169</v>
      </c>
      <c r="E587" s="1" t="s">
        <v>1170</v>
      </c>
      <c r="F587" s="3" t="s">
        <v>303</v>
      </c>
      <c r="H587" s="1" t="s">
        <v>1171</v>
      </c>
      <c r="I587" s="1">
        <v>71.0</v>
      </c>
      <c r="K587" s="2" t="s">
        <v>1172</v>
      </c>
      <c r="L587" s="2" t="s">
        <v>60</v>
      </c>
      <c r="M587" s="1" t="s">
        <v>2073</v>
      </c>
      <c r="N587" s="1" t="s">
        <v>62</v>
      </c>
      <c r="O587" s="1" t="s">
        <v>167</v>
      </c>
      <c r="P587" s="1" t="s">
        <v>512</v>
      </c>
      <c r="Q587" s="1">
        <v>17.0</v>
      </c>
      <c r="R587" s="1">
        <v>-89.916667</v>
      </c>
      <c r="S587" s="1" t="s">
        <v>148</v>
      </c>
      <c r="T587" s="2" t="s">
        <v>95</v>
      </c>
      <c r="U587" s="2" t="s">
        <v>96</v>
      </c>
      <c r="V587" s="3" t="s">
        <v>97</v>
      </c>
      <c r="W587" s="1" t="s">
        <v>264</v>
      </c>
      <c r="X587" s="1" t="s">
        <v>256</v>
      </c>
      <c r="Y587" s="6" t="s">
        <v>76</v>
      </c>
      <c r="Z587" s="3" t="s">
        <v>76</v>
      </c>
      <c r="AB587" s="1">
        <v>2.0</v>
      </c>
      <c r="AI587" s="1" t="s">
        <v>1174</v>
      </c>
      <c r="AJ587" s="1">
        <v>-8870.0</v>
      </c>
      <c r="AK587" s="1">
        <v>1950.0</v>
      </c>
      <c r="AL587" s="2" t="s">
        <v>73</v>
      </c>
      <c r="AM587" s="2" t="s">
        <v>72</v>
      </c>
      <c r="AN587" s="2" t="s">
        <v>72</v>
      </c>
      <c r="AO587" s="2" t="s">
        <v>72</v>
      </c>
      <c r="AQ587" s="2" t="s">
        <v>75</v>
      </c>
      <c r="AR587" s="2" t="s">
        <v>76</v>
      </c>
      <c r="AS587" s="1">
        <v>1741.0</v>
      </c>
      <c r="AT587" s="1">
        <v>1741.0</v>
      </c>
      <c r="AU587" s="1">
        <v>702.0</v>
      </c>
      <c r="AV587" s="1">
        <v>39.0</v>
      </c>
      <c r="AW587" s="1">
        <v>141.0</v>
      </c>
      <c r="AX587" s="1">
        <v>5771.0</v>
      </c>
      <c r="AY587" s="1">
        <v>197.0</v>
      </c>
      <c r="AZ587" s="1" t="s">
        <v>133</v>
      </c>
      <c r="BA587" s="1" t="s">
        <v>121</v>
      </c>
    </row>
    <row r="588">
      <c r="A588" s="1" t="s">
        <v>1168</v>
      </c>
      <c r="B588" s="1" t="s">
        <v>268</v>
      </c>
      <c r="C588" s="1">
        <v>2009.0</v>
      </c>
      <c r="D588" s="1" t="s">
        <v>1169</v>
      </c>
      <c r="E588" s="1" t="s">
        <v>1170</v>
      </c>
      <c r="F588" s="3" t="s">
        <v>303</v>
      </c>
      <c r="H588" s="1" t="s">
        <v>1171</v>
      </c>
      <c r="I588" s="1">
        <v>71.0</v>
      </c>
      <c r="K588" s="2" t="s">
        <v>1172</v>
      </c>
      <c r="L588" s="2" t="s">
        <v>60</v>
      </c>
      <c r="M588" s="1" t="s">
        <v>2074</v>
      </c>
      <c r="N588" s="1" t="s">
        <v>62</v>
      </c>
      <c r="O588" s="1" t="s">
        <v>167</v>
      </c>
      <c r="P588" s="1" t="s">
        <v>512</v>
      </c>
      <c r="Q588" s="1">
        <v>17.0</v>
      </c>
      <c r="R588" s="1">
        <v>-89.916667</v>
      </c>
      <c r="S588" s="1" t="s">
        <v>148</v>
      </c>
      <c r="T588" s="2" t="s">
        <v>135</v>
      </c>
      <c r="U588" s="7" t="s">
        <v>823</v>
      </c>
      <c r="V588" s="3" t="s">
        <v>116</v>
      </c>
      <c r="W588" s="1" t="s">
        <v>264</v>
      </c>
      <c r="X588" s="1" t="s">
        <v>256</v>
      </c>
      <c r="Y588" s="6" t="s">
        <v>76</v>
      </c>
      <c r="Z588" s="3" t="s">
        <v>411</v>
      </c>
      <c r="AB588" s="1">
        <v>6.0</v>
      </c>
      <c r="AI588" s="1" t="s">
        <v>1174</v>
      </c>
      <c r="AJ588" s="1">
        <v>-9080.0</v>
      </c>
      <c r="AK588" s="1">
        <v>1950.0</v>
      </c>
      <c r="AL588" s="2" t="s">
        <v>73</v>
      </c>
      <c r="AM588" s="2" t="s">
        <v>72</v>
      </c>
      <c r="AN588" s="2" t="s">
        <v>72</v>
      </c>
      <c r="AO588" s="2" t="s">
        <v>72</v>
      </c>
      <c r="AQ588" s="2" t="s">
        <v>75</v>
      </c>
      <c r="AR588" s="2" t="s">
        <v>76</v>
      </c>
      <c r="AS588" s="1">
        <v>1741.0</v>
      </c>
      <c r="AT588" s="1">
        <v>1741.0</v>
      </c>
      <c r="AU588" s="1">
        <v>702.0</v>
      </c>
      <c r="AV588" s="1">
        <v>39.0</v>
      </c>
      <c r="AW588" s="1">
        <v>141.0</v>
      </c>
      <c r="AX588" s="1">
        <v>5771.0</v>
      </c>
      <c r="AY588" s="1">
        <v>197.0</v>
      </c>
      <c r="AZ588" s="1" t="s">
        <v>133</v>
      </c>
      <c r="BA588" s="1" t="s">
        <v>121</v>
      </c>
    </row>
    <row r="589">
      <c r="A589" s="1" t="s">
        <v>1168</v>
      </c>
      <c r="B589" s="1" t="s">
        <v>268</v>
      </c>
      <c r="C589" s="1">
        <v>2009.0</v>
      </c>
      <c r="D589" s="1" t="s">
        <v>1169</v>
      </c>
      <c r="E589" s="1" t="s">
        <v>1170</v>
      </c>
      <c r="F589" s="3" t="s">
        <v>303</v>
      </c>
      <c r="H589" s="1" t="s">
        <v>1171</v>
      </c>
      <c r="I589" s="1">
        <v>71.0</v>
      </c>
      <c r="K589" s="2" t="s">
        <v>1172</v>
      </c>
      <c r="L589" s="2" t="s">
        <v>60</v>
      </c>
      <c r="M589" s="1" t="s">
        <v>2075</v>
      </c>
      <c r="N589" s="1" t="s">
        <v>62</v>
      </c>
      <c r="O589" s="1" t="s">
        <v>167</v>
      </c>
      <c r="P589" s="1" t="s">
        <v>512</v>
      </c>
      <c r="Q589" s="1">
        <v>17.0</v>
      </c>
      <c r="R589" s="1">
        <v>-89.916667</v>
      </c>
      <c r="S589" s="1" t="s">
        <v>148</v>
      </c>
      <c r="T589" s="2" t="s">
        <v>189</v>
      </c>
      <c r="U589" s="2" t="s">
        <v>96</v>
      </c>
      <c r="V589" s="3" t="s">
        <v>97</v>
      </c>
      <c r="W589" s="1" t="s">
        <v>2076</v>
      </c>
      <c r="X589" s="1" t="s">
        <v>70</v>
      </c>
      <c r="Y589" s="6" t="s">
        <v>76</v>
      </c>
      <c r="Z589" s="3" t="s">
        <v>76</v>
      </c>
      <c r="AB589" s="1">
        <v>6.0</v>
      </c>
      <c r="AI589" s="1" t="s">
        <v>1174</v>
      </c>
      <c r="AJ589" s="1">
        <v>-9080.0</v>
      </c>
      <c r="AK589" s="1">
        <v>1950.0</v>
      </c>
      <c r="AL589" s="2" t="s">
        <v>73</v>
      </c>
      <c r="AM589" s="2" t="s">
        <v>72</v>
      </c>
      <c r="AN589" s="2" t="s">
        <v>72</v>
      </c>
      <c r="AO589" s="2" t="s">
        <v>72</v>
      </c>
      <c r="AQ589" s="2" t="s">
        <v>75</v>
      </c>
      <c r="AR589" s="2" t="s">
        <v>76</v>
      </c>
      <c r="AS589" s="1">
        <v>1741.0</v>
      </c>
      <c r="AT589" s="1">
        <v>1741.0</v>
      </c>
      <c r="AU589" s="1">
        <v>702.0</v>
      </c>
      <c r="AV589" s="1">
        <v>39.0</v>
      </c>
      <c r="AW589" s="1">
        <v>141.0</v>
      </c>
      <c r="AX589" s="1">
        <v>5771.0</v>
      </c>
      <c r="AY589" s="1">
        <v>197.0</v>
      </c>
      <c r="AZ589" s="1" t="s">
        <v>133</v>
      </c>
      <c r="BA589" s="1" t="s">
        <v>121</v>
      </c>
    </row>
    <row r="590">
      <c r="A590" s="1" t="s">
        <v>1168</v>
      </c>
      <c r="B590" s="1" t="s">
        <v>268</v>
      </c>
      <c r="C590" s="1">
        <v>2009.0</v>
      </c>
      <c r="D590" s="1" t="s">
        <v>1169</v>
      </c>
      <c r="E590" s="1" t="s">
        <v>1170</v>
      </c>
      <c r="F590" s="3" t="s">
        <v>303</v>
      </c>
      <c r="H590" s="1" t="s">
        <v>1171</v>
      </c>
      <c r="I590" s="1">
        <v>71.0</v>
      </c>
      <c r="K590" s="2" t="s">
        <v>1172</v>
      </c>
      <c r="L590" s="2" t="s">
        <v>60</v>
      </c>
      <c r="M590" s="1" t="s">
        <v>2077</v>
      </c>
      <c r="N590" s="1" t="s">
        <v>62</v>
      </c>
      <c r="O590" s="1" t="s">
        <v>167</v>
      </c>
      <c r="P590" s="1" t="s">
        <v>512</v>
      </c>
      <c r="Q590" s="1">
        <v>17.0</v>
      </c>
      <c r="R590" s="1">
        <v>-89.916667</v>
      </c>
      <c r="S590" s="1" t="s">
        <v>148</v>
      </c>
      <c r="T590" s="2" t="s">
        <v>189</v>
      </c>
      <c r="U590" s="2" t="s">
        <v>96</v>
      </c>
      <c r="V590" s="3" t="s">
        <v>97</v>
      </c>
      <c r="W590" s="1" t="s">
        <v>2076</v>
      </c>
      <c r="X590" s="1" t="s">
        <v>70</v>
      </c>
      <c r="Y590" s="6" t="s">
        <v>76</v>
      </c>
      <c r="Z590" s="3" t="s">
        <v>76</v>
      </c>
      <c r="AB590" s="1">
        <v>2.0</v>
      </c>
      <c r="AI590" s="1" t="s">
        <v>1174</v>
      </c>
      <c r="AJ590" s="1">
        <v>-8870.0</v>
      </c>
      <c r="AK590" s="1">
        <v>1950.0</v>
      </c>
      <c r="AL590" s="2" t="s">
        <v>73</v>
      </c>
      <c r="AM590" s="2" t="s">
        <v>72</v>
      </c>
      <c r="AN590" s="2" t="s">
        <v>72</v>
      </c>
      <c r="AO590" s="2" t="s">
        <v>72</v>
      </c>
      <c r="AQ590" s="2" t="s">
        <v>75</v>
      </c>
      <c r="AR590" s="2" t="s">
        <v>76</v>
      </c>
      <c r="AS590" s="1">
        <v>1741.0</v>
      </c>
      <c r="AT590" s="1">
        <v>1741.0</v>
      </c>
      <c r="AU590" s="1">
        <v>702.0</v>
      </c>
      <c r="AV590" s="1">
        <v>39.0</v>
      </c>
      <c r="AW590" s="1">
        <v>141.0</v>
      </c>
      <c r="AX590" s="1">
        <v>5771.0</v>
      </c>
      <c r="AY590" s="1">
        <v>197.0</v>
      </c>
      <c r="AZ590" s="1" t="s">
        <v>133</v>
      </c>
      <c r="BA590" s="1" t="s">
        <v>121</v>
      </c>
    </row>
    <row r="591">
      <c r="A591" s="1" t="s">
        <v>1168</v>
      </c>
      <c r="B591" s="1" t="s">
        <v>268</v>
      </c>
      <c r="C591" s="1">
        <v>2009.0</v>
      </c>
      <c r="D591" s="1" t="s">
        <v>1169</v>
      </c>
      <c r="E591" s="1" t="s">
        <v>1170</v>
      </c>
      <c r="F591" s="3" t="s">
        <v>303</v>
      </c>
      <c r="H591" s="1" t="s">
        <v>1171</v>
      </c>
      <c r="I591" s="1">
        <v>71.0</v>
      </c>
      <c r="K591" s="2" t="s">
        <v>1172</v>
      </c>
      <c r="L591" s="2" t="s">
        <v>60</v>
      </c>
      <c r="M591" s="1" t="s">
        <v>2078</v>
      </c>
      <c r="N591" s="1" t="s">
        <v>62</v>
      </c>
      <c r="O591" s="1" t="s">
        <v>167</v>
      </c>
      <c r="P591" s="1" t="s">
        <v>512</v>
      </c>
      <c r="Q591" s="1">
        <v>17.0</v>
      </c>
      <c r="R591" s="1">
        <v>-89.916667</v>
      </c>
      <c r="S591" s="1" t="s">
        <v>148</v>
      </c>
      <c r="T591" s="2" t="s">
        <v>189</v>
      </c>
      <c r="U591" s="2" t="s">
        <v>96</v>
      </c>
      <c r="V591" s="3" t="s">
        <v>97</v>
      </c>
      <c r="W591" s="1" t="s">
        <v>2076</v>
      </c>
      <c r="X591" s="1" t="s">
        <v>70</v>
      </c>
      <c r="Y591" s="6" t="s">
        <v>76</v>
      </c>
      <c r="Z591" s="3" t="s">
        <v>76</v>
      </c>
      <c r="AB591" s="1">
        <v>12.0</v>
      </c>
      <c r="AI591" s="1" t="s">
        <v>1177</v>
      </c>
      <c r="AJ591" s="1">
        <v>-8965.0</v>
      </c>
      <c r="AK591" s="1">
        <v>1950.0</v>
      </c>
      <c r="AL591" s="2" t="s">
        <v>73</v>
      </c>
      <c r="AM591" s="2" t="s">
        <v>72</v>
      </c>
      <c r="AN591" s="2" t="s">
        <v>72</v>
      </c>
      <c r="AO591" s="2" t="s">
        <v>72</v>
      </c>
      <c r="AQ591" s="2" t="s">
        <v>75</v>
      </c>
      <c r="AR591" s="2" t="s">
        <v>76</v>
      </c>
      <c r="AS591" s="1">
        <v>1741.0</v>
      </c>
      <c r="AT591" s="1">
        <v>1741.0</v>
      </c>
      <c r="AU591" s="1">
        <v>702.0</v>
      </c>
      <c r="AV591" s="1">
        <v>39.0</v>
      </c>
      <c r="AW591" s="1">
        <v>141.0</v>
      </c>
      <c r="AX591" s="1">
        <v>5771.0</v>
      </c>
      <c r="AY591" s="1">
        <v>197.0</v>
      </c>
      <c r="AZ591" s="1" t="s">
        <v>133</v>
      </c>
      <c r="BA591" s="1" t="s">
        <v>121</v>
      </c>
    </row>
    <row r="592">
      <c r="A592" s="1" t="s">
        <v>1168</v>
      </c>
      <c r="B592" s="1" t="s">
        <v>268</v>
      </c>
      <c r="C592" s="1">
        <v>2009.0</v>
      </c>
      <c r="D592" s="1" t="s">
        <v>1169</v>
      </c>
      <c r="E592" s="1" t="s">
        <v>1170</v>
      </c>
      <c r="F592" s="3" t="s">
        <v>303</v>
      </c>
      <c r="H592" s="1" t="s">
        <v>1171</v>
      </c>
      <c r="I592" s="1">
        <v>71.0</v>
      </c>
      <c r="K592" s="2" t="s">
        <v>1172</v>
      </c>
      <c r="L592" s="2" t="s">
        <v>60</v>
      </c>
      <c r="M592" s="1" t="s">
        <v>2079</v>
      </c>
      <c r="N592" s="1" t="s">
        <v>62</v>
      </c>
      <c r="O592" s="1" t="s">
        <v>167</v>
      </c>
      <c r="P592" s="1" t="s">
        <v>512</v>
      </c>
      <c r="Q592" s="1">
        <v>17.0</v>
      </c>
      <c r="R592" s="1">
        <v>-89.916667</v>
      </c>
      <c r="S592" s="1" t="s">
        <v>148</v>
      </c>
      <c r="T592" s="2" t="s">
        <v>169</v>
      </c>
      <c r="U592" s="2" t="s">
        <v>96</v>
      </c>
      <c r="V592" s="3" t="s">
        <v>97</v>
      </c>
      <c r="W592" s="2" t="s">
        <v>2080</v>
      </c>
      <c r="X592" s="2" t="s">
        <v>2081</v>
      </c>
      <c r="Y592" s="6" t="s">
        <v>76</v>
      </c>
      <c r="Z592" s="3" t="s">
        <v>76</v>
      </c>
      <c r="AB592" s="1">
        <v>2.0</v>
      </c>
      <c r="AI592" s="1" t="s">
        <v>1174</v>
      </c>
      <c r="AJ592" s="1">
        <v>-8870.0</v>
      </c>
      <c r="AK592" s="1">
        <v>1950.0</v>
      </c>
      <c r="AL592" s="2" t="s">
        <v>73</v>
      </c>
      <c r="AM592" s="2" t="s">
        <v>72</v>
      </c>
      <c r="AN592" s="2" t="s">
        <v>72</v>
      </c>
      <c r="AO592" s="2" t="s">
        <v>72</v>
      </c>
      <c r="AQ592" s="2" t="s">
        <v>75</v>
      </c>
      <c r="AR592" s="2" t="s">
        <v>76</v>
      </c>
      <c r="AS592" s="1">
        <v>1741.0</v>
      </c>
      <c r="AT592" s="1">
        <v>1741.0</v>
      </c>
      <c r="AU592" s="1">
        <v>702.0</v>
      </c>
      <c r="AV592" s="1">
        <v>39.0</v>
      </c>
      <c r="AW592" s="1">
        <v>141.0</v>
      </c>
      <c r="AX592" s="1">
        <v>5771.0</v>
      </c>
      <c r="AY592" s="1">
        <v>197.0</v>
      </c>
      <c r="AZ592" s="1" t="s">
        <v>133</v>
      </c>
      <c r="BA592" s="1" t="s">
        <v>121</v>
      </c>
    </row>
    <row r="593">
      <c r="A593" s="1" t="s">
        <v>2082</v>
      </c>
      <c r="B593" s="1" t="s">
        <v>268</v>
      </c>
      <c r="C593" s="1">
        <v>2010.0</v>
      </c>
      <c r="D593" s="1" t="s">
        <v>2083</v>
      </c>
      <c r="E593" s="1" t="s">
        <v>2084</v>
      </c>
      <c r="F593" s="3" t="s">
        <v>1772</v>
      </c>
      <c r="H593" s="1" t="s">
        <v>2085</v>
      </c>
      <c r="I593" s="1">
        <v>160.0</v>
      </c>
      <c r="K593" s="2" t="s">
        <v>2086</v>
      </c>
      <c r="L593" s="2" t="s">
        <v>60</v>
      </c>
      <c r="M593" s="1" t="s">
        <v>2087</v>
      </c>
      <c r="N593" s="1" t="s">
        <v>62</v>
      </c>
      <c r="O593" s="1" t="s">
        <v>92</v>
      </c>
      <c r="P593" s="1" t="s">
        <v>2088</v>
      </c>
      <c r="Q593" s="1">
        <v>19.296933</v>
      </c>
      <c r="R593" s="1">
        <v>-88.070139</v>
      </c>
      <c r="S593" s="1" t="s">
        <v>148</v>
      </c>
      <c r="T593" s="2" t="s">
        <v>66</v>
      </c>
      <c r="U593" s="3" t="s">
        <v>2089</v>
      </c>
      <c r="V593" s="3" t="s">
        <v>171</v>
      </c>
      <c r="W593" s="1" t="s">
        <v>2090</v>
      </c>
      <c r="X593" s="1" t="s">
        <v>70</v>
      </c>
      <c r="Y593" s="6" t="s">
        <v>60</v>
      </c>
      <c r="Z593" s="3" t="s">
        <v>345</v>
      </c>
      <c r="AB593" s="1">
        <v>2.0</v>
      </c>
      <c r="AI593" s="1" t="s">
        <v>1684</v>
      </c>
      <c r="AJ593" s="1">
        <v>-5950.0</v>
      </c>
      <c r="AK593" s="1">
        <v>1950.0</v>
      </c>
      <c r="AL593" s="2" t="s">
        <v>100</v>
      </c>
      <c r="AM593" s="2" t="s">
        <v>72</v>
      </c>
      <c r="AN593" s="1" t="s">
        <v>2091</v>
      </c>
      <c r="AO593" s="2" t="s">
        <v>72</v>
      </c>
      <c r="AQ593" s="2" t="s">
        <v>576</v>
      </c>
      <c r="AR593" s="2" t="s">
        <v>76</v>
      </c>
      <c r="AS593" s="1">
        <v>1305.0</v>
      </c>
      <c r="AT593" s="1">
        <v>1305.0</v>
      </c>
      <c r="AU593" s="1">
        <v>517.0</v>
      </c>
      <c r="AV593" s="1">
        <v>37.0</v>
      </c>
      <c r="AW593" s="1">
        <v>131.0</v>
      </c>
      <c r="AX593" s="1">
        <v>5226.0</v>
      </c>
      <c r="AY593" s="1">
        <v>14.0</v>
      </c>
      <c r="AZ593" s="1" t="s">
        <v>239</v>
      </c>
      <c r="BA593" s="1" t="s">
        <v>121</v>
      </c>
    </row>
    <row r="594">
      <c r="A594" s="1" t="s">
        <v>2082</v>
      </c>
      <c r="B594" s="1" t="s">
        <v>268</v>
      </c>
      <c r="C594" s="1">
        <v>2010.0</v>
      </c>
      <c r="D594" s="1" t="s">
        <v>2083</v>
      </c>
      <c r="E594" s="1" t="s">
        <v>2084</v>
      </c>
      <c r="F594" s="3" t="s">
        <v>1772</v>
      </c>
      <c r="H594" s="1" t="s">
        <v>2085</v>
      </c>
      <c r="I594" s="1">
        <v>160.0</v>
      </c>
      <c r="K594" s="2" t="s">
        <v>2086</v>
      </c>
      <c r="L594" s="2" t="s">
        <v>60</v>
      </c>
      <c r="M594" s="1" t="s">
        <v>2092</v>
      </c>
      <c r="N594" s="1" t="s">
        <v>62</v>
      </c>
      <c r="O594" s="1" t="s">
        <v>92</v>
      </c>
      <c r="P594" s="1" t="s">
        <v>2088</v>
      </c>
      <c r="Q594" s="1">
        <v>19.296933</v>
      </c>
      <c r="R594" s="1">
        <v>-88.070139</v>
      </c>
      <c r="S594" s="1" t="s">
        <v>148</v>
      </c>
      <c r="T594" s="2" t="s">
        <v>95</v>
      </c>
      <c r="U594" s="2" t="s">
        <v>96</v>
      </c>
      <c r="V594" s="3" t="s">
        <v>97</v>
      </c>
      <c r="W594" s="1" t="s">
        <v>2093</v>
      </c>
      <c r="X594" s="2" t="s">
        <v>70</v>
      </c>
      <c r="Y594" s="6" t="s">
        <v>76</v>
      </c>
      <c r="Z594" s="3" t="s">
        <v>76</v>
      </c>
      <c r="AB594" s="1">
        <v>2.0</v>
      </c>
      <c r="AI594" s="1" t="s">
        <v>1684</v>
      </c>
      <c r="AJ594" s="1">
        <v>-2500.0</v>
      </c>
      <c r="AK594" s="1">
        <v>1500.0</v>
      </c>
      <c r="AL594" s="2" t="s">
        <v>100</v>
      </c>
      <c r="AM594" s="2" t="s">
        <v>72</v>
      </c>
      <c r="AN594" s="1" t="s">
        <v>2091</v>
      </c>
      <c r="AO594" s="2" t="s">
        <v>72</v>
      </c>
      <c r="AQ594" s="2" t="s">
        <v>102</v>
      </c>
      <c r="AR594" s="2" t="s">
        <v>76</v>
      </c>
      <c r="AS594" s="1">
        <v>1305.0</v>
      </c>
      <c r="AT594" s="1">
        <v>1305.0</v>
      </c>
      <c r="AU594" s="1">
        <v>517.0</v>
      </c>
      <c r="AV594" s="1">
        <v>37.0</v>
      </c>
      <c r="AW594" s="1">
        <v>131.0</v>
      </c>
      <c r="AX594" s="1">
        <v>5226.0</v>
      </c>
      <c r="AY594" s="1">
        <v>14.0</v>
      </c>
      <c r="AZ594" s="1" t="s">
        <v>239</v>
      </c>
      <c r="BA594" s="1" t="s">
        <v>121</v>
      </c>
    </row>
    <row r="595">
      <c r="A595" s="1" t="s">
        <v>2082</v>
      </c>
      <c r="B595" s="1" t="s">
        <v>268</v>
      </c>
      <c r="C595" s="1">
        <v>2010.0</v>
      </c>
      <c r="D595" s="1" t="s">
        <v>2083</v>
      </c>
      <c r="E595" s="1" t="s">
        <v>2084</v>
      </c>
      <c r="F595" s="3" t="s">
        <v>1772</v>
      </c>
      <c r="H595" s="1" t="s">
        <v>2085</v>
      </c>
      <c r="I595" s="1">
        <v>160.0</v>
      </c>
      <c r="K595" s="2" t="s">
        <v>2086</v>
      </c>
      <c r="L595" s="2" t="s">
        <v>60</v>
      </c>
      <c r="M595" s="1" t="s">
        <v>2094</v>
      </c>
      <c r="N595" s="1" t="s">
        <v>62</v>
      </c>
      <c r="O595" s="1" t="s">
        <v>92</v>
      </c>
      <c r="P595" s="1" t="s">
        <v>2088</v>
      </c>
      <c r="Q595" s="1">
        <v>19.296933</v>
      </c>
      <c r="R595" s="1">
        <v>-88.070139</v>
      </c>
      <c r="S595" s="1" t="s">
        <v>148</v>
      </c>
      <c r="T595" s="2" t="s">
        <v>95</v>
      </c>
      <c r="U595" s="2" t="s">
        <v>96</v>
      </c>
      <c r="V595" s="3" t="s">
        <v>97</v>
      </c>
      <c r="W595" s="1" t="s">
        <v>2093</v>
      </c>
      <c r="X595" s="2" t="s">
        <v>70</v>
      </c>
      <c r="Y595" s="6" t="s">
        <v>76</v>
      </c>
      <c r="Z595" s="3" t="s">
        <v>76</v>
      </c>
      <c r="AB595" s="1">
        <v>2.0</v>
      </c>
      <c r="AI595" s="1" t="s">
        <v>1684</v>
      </c>
      <c r="AJ595" s="1">
        <v>-1300.0</v>
      </c>
      <c r="AK595" s="1">
        <v>1100.0</v>
      </c>
      <c r="AL595" s="2" t="s">
        <v>100</v>
      </c>
      <c r="AM595" s="2" t="s">
        <v>72</v>
      </c>
      <c r="AN595" s="1" t="s">
        <v>2091</v>
      </c>
      <c r="AO595" s="2" t="s">
        <v>72</v>
      </c>
      <c r="AQ595" s="2" t="s">
        <v>102</v>
      </c>
      <c r="AR595" s="2" t="s">
        <v>76</v>
      </c>
      <c r="AS595" s="1">
        <v>1305.0</v>
      </c>
      <c r="AT595" s="1">
        <v>1305.0</v>
      </c>
      <c r="AU595" s="1">
        <v>517.0</v>
      </c>
      <c r="AV595" s="1">
        <v>37.0</v>
      </c>
      <c r="AW595" s="1">
        <v>131.0</v>
      </c>
      <c r="AX595" s="1">
        <v>5226.0</v>
      </c>
      <c r="AY595" s="1">
        <v>14.0</v>
      </c>
      <c r="AZ595" s="1" t="s">
        <v>239</v>
      </c>
      <c r="BA595" s="1" t="s">
        <v>121</v>
      </c>
    </row>
    <row r="596">
      <c r="A596" s="1" t="s">
        <v>2095</v>
      </c>
      <c r="B596" s="1" t="s">
        <v>268</v>
      </c>
      <c r="C596" s="1">
        <v>2011.0</v>
      </c>
      <c r="D596" s="1" t="s">
        <v>2096</v>
      </c>
      <c r="E596" s="1" t="s">
        <v>2097</v>
      </c>
      <c r="F596" s="3" t="s">
        <v>1947</v>
      </c>
      <c r="H596" s="1" t="s">
        <v>2098</v>
      </c>
      <c r="I596" s="1">
        <v>21.0</v>
      </c>
      <c r="K596" s="2" t="s">
        <v>2099</v>
      </c>
      <c r="L596" s="2" t="s">
        <v>60</v>
      </c>
      <c r="M596" s="1" t="s">
        <v>2100</v>
      </c>
      <c r="N596" s="1" t="s">
        <v>62</v>
      </c>
      <c r="O596" s="1" t="s">
        <v>521</v>
      </c>
      <c r="P596" s="1" t="s">
        <v>2101</v>
      </c>
      <c r="Q596" s="1">
        <v>11.477574</v>
      </c>
      <c r="R596" s="1">
        <v>-85.632578</v>
      </c>
      <c r="S596" s="1" t="s">
        <v>148</v>
      </c>
      <c r="T596" s="2" t="s">
        <v>382</v>
      </c>
      <c r="U596" s="9" t="s">
        <v>1471</v>
      </c>
      <c r="V596" s="3" t="s">
        <v>116</v>
      </c>
      <c r="W596" s="1" t="s">
        <v>2102</v>
      </c>
      <c r="X596" s="1" t="s">
        <v>544</v>
      </c>
      <c r="Y596" s="6" t="s">
        <v>76</v>
      </c>
      <c r="Z596" s="3" t="s">
        <v>173</v>
      </c>
      <c r="AB596" s="1">
        <v>6.0</v>
      </c>
      <c r="AI596" s="1" t="s">
        <v>2103</v>
      </c>
      <c r="AJ596" s="1">
        <v>580.0</v>
      </c>
      <c r="AK596" s="1">
        <v>2000.0</v>
      </c>
      <c r="AL596" s="2" t="s">
        <v>73</v>
      </c>
      <c r="AM596" s="2" t="s">
        <v>72</v>
      </c>
      <c r="AN596" s="1" t="s">
        <v>238</v>
      </c>
      <c r="AO596" s="2" t="s">
        <v>72</v>
      </c>
      <c r="AQ596" s="2" t="s">
        <v>102</v>
      </c>
      <c r="AR596" s="2" t="s">
        <v>76</v>
      </c>
      <c r="AS596" s="1">
        <v>1667.0</v>
      </c>
      <c r="AT596" s="1">
        <v>1667.0</v>
      </c>
      <c r="AU596" s="1">
        <v>848.0</v>
      </c>
      <c r="AV596" s="1">
        <v>4.0</v>
      </c>
      <c r="AW596" s="1">
        <v>23.0</v>
      </c>
      <c r="AX596" s="1">
        <v>9142.0</v>
      </c>
      <c r="AY596" s="1">
        <v>70.0</v>
      </c>
      <c r="AZ596" s="1" t="s">
        <v>627</v>
      </c>
      <c r="BA596" s="1" t="s">
        <v>121</v>
      </c>
    </row>
    <row r="597">
      <c r="A597" s="1" t="s">
        <v>2095</v>
      </c>
      <c r="B597" s="1" t="s">
        <v>268</v>
      </c>
      <c r="C597" s="1">
        <v>2011.0</v>
      </c>
      <c r="D597" s="1" t="s">
        <v>2096</v>
      </c>
      <c r="E597" s="1" t="s">
        <v>2097</v>
      </c>
      <c r="F597" s="3" t="s">
        <v>1947</v>
      </c>
      <c r="H597" s="1" t="s">
        <v>2098</v>
      </c>
      <c r="I597" s="1">
        <v>21.0</v>
      </c>
      <c r="K597" s="2" t="s">
        <v>2099</v>
      </c>
      <c r="L597" s="2" t="s">
        <v>60</v>
      </c>
      <c r="M597" s="1" t="s">
        <v>2104</v>
      </c>
      <c r="N597" s="1" t="s">
        <v>62</v>
      </c>
      <c r="O597" s="1" t="s">
        <v>521</v>
      </c>
      <c r="P597" s="1" t="s">
        <v>2101</v>
      </c>
      <c r="Q597" s="1">
        <v>11.477574</v>
      </c>
      <c r="R597" s="1">
        <v>-85.632578</v>
      </c>
      <c r="S597" s="1" t="s">
        <v>148</v>
      </c>
      <c r="T597" s="2" t="s">
        <v>194</v>
      </c>
      <c r="U597" s="9" t="s">
        <v>1471</v>
      </c>
      <c r="V597" s="3" t="s">
        <v>116</v>
      </c>
      <c r="W597" s="1" t="s">
        <v>286</v>
      </c>
      <c r="X597" s="1" t="s">
        <v>70</v>
      </c>
      <c r="Y597" s="6" t="s">
        <v>76</v>
      </c>
      <c r="Z597" s="3" t="s">
        <v>173</v>
      </c>
      <c r="AB597" s="1">
        <v>6.0</v>
      </c>
      <c r="AI597" s="1" t="s">
        <v>2103</v>
      </c>
      <c r="AJ597" s="1">
        <v>580.0</v>
      </c>
      <c r="AK597" s="1">
        <v>2000.0</v>
      </c>
      <c r="AL597" s="2" t="s">
        <v>73</v>
      </c>
      <c r="AM597" s="2" t="s">
        <v>72</v>
      </c>
      <c r="AN597" s="1" t="s">
        <v>238</v>
      </c>
      <c r="AO597" s="2" t="s">
        <v>72</v>
      </c>
      <c r="AQ597" s="2" t="s">
        <v>102</v>
      </c>
      <c r="AR597" s="2" t="s">
        <v>76</v>
      </c>
      <c r="AS597" s="1">
        <v>1667.0</v>
      </c>
      <c r="AT597" s="1">
        <v>1667.0</v>
      </c>
      <c r="AU597" s="1">
        <v>848.0</v>
      </c>
      <c r="AV597" s="1">
        <v>4.0</v>
      </c>
      <c r="AW597" s="1">
        <v>23.0</v>
      </c>
      <c r="AX597" s="1">
        <v>9142.0</v>
      </c>
      <c r="AY597" s="1">
        <v>70.0</v>
      </c>
      <c r="AZ597" s="1" t="s">
        <v>627</v>
      </c>
      <c r="BA597" s="1" t="s">
        <v>121</v>
      </c>
    </row>
    <row r="598">
      <c r="A598" s="1" t="s">
        <v>2095</v>
      </c>
      <c r="B598" s="1" t="s">
        <v>268</v>
      </c>
      <c r="C598" s="1">
        <v>2011.0</v>
      </c>
      <c r="D598" s="1" t="s">
        <v>2096</v>
      </c>
      <c r="E598" s="1" t="s">
        <v>2097</v>
      </c>
      <c r="F598" s="3" t="s">
        <v>1947</v>
      </c>
      <c r="H598" s="1" t="s">
        <v>2098</v>
      </c>
      <c r="I598" s="1">
        <v>21.0</v>
      </c>
      <c r="K598" s="2" t="s">
        <v>2099</v>
      </c>
      <c r="L598" s="2" t="s">
        <v>60</v>
      </c>
      <c r="M598" s="1" t="s">
        <v>2105</v>
      </c>
      <c r="N598" s="1" t="s">
        <v>62</v>
      </c>
      <c r="O598" s="1" t="s">
        <v>521</v>
      </c>
      <c r="P598" s="1" t="s">
        <v>2101</v>
      </c>
      <c r="Q598" s="1">
        <v>11.477574</v>
      </c>
      <c r="R598" s="1">
        <v>-85.632578</v>
      </c>
      <c r="S598" s="1" t="s">
        <v>148</v>
      </c>
      <c r="T598" s="2" t="s">
        <v>599</v>
      </c>
      <c r="U598" s="10" t="s">
        <v>81</v>
      </c>
      <c r="V598" s="3" t="s">
        <v>116</v>
      </c>
      <c r="W598" s="1" t="s">
        <v>1463</v>
      </c>
      <c r="X598" s="2" t="s">
        <v>355</v>
      </c>
      <c r="Y598" s="6" t="s">
        <v>76</v>
      </c>
      <c r="Z598" s="3" t="s">
        <v>84</v>
      </c>
      <c r="AB598" s="1">
        <v>6.0</v>
      </c>
      <c r="AI598" s="1" t="s">
        <v>2103</v>
      </c>
      <c r="AJ598" s="1">
        <v>580.0</v>
      </c>
      <c r="AK598" s="1">
        <v>2000.0</v>
      </c>
      <c r="AL598" s="2" t="s">
        <v>73</v>
      </c>
      <c r="AM598" s="2" t="s">
        <v>72</v>
      </c>
      <c r="AN598" s="1" t="s">
        <v>238</v>
      </c>
      <c r="AO598" s="2" t="s">
        <v>72</v>
      </c>
      <c r="AQ598" s="2" t="s">
        <v>102</v>
      </c>
      <c r="AR598" s="2" t="s">
        <v>76</v>
      </c>
      <c r="AS598" s="1">
        <v>1667.0</v>
      </c>
      <c r="AT598" s="1">
        <v>1667.0</v>
      </c>
      <c r="AU598" s="1">
        <v>848.0</v>
      </c>
      <c r="AV598" s="1">
        <v>4.0</v>
      </c>
      <c r="AW598" s="1">
        <v>23.0</v>
      </c>
      <c r="AX598" s="1">
        <v>9142.0</v>
      </c>
      <c r="AY598" s="1">
        <v>70.0</v>
      </c>
      <c r="AZ598" s="1" t="s">
        <v>627</v>
      </c>
      <c r="BA598" s="1" t="s">
        <v>121</v>
      </c>
    </row>
    <row r="599">
      <c r="A599" s="1" t="s">
        <v>2106</v>
      </c>
      <c r="B599" s="1" t="s">
        <v>268</v>
      </c>
      <c r="C599" s="1">
        <v>2011.0</v>
      </c>
      <c r="D599" s="1" t="s">
        <v>2051</v>
      </c>
      <c r="E599" s="1" t="s">
        <v>2107</v>
      </c>
      <c r="F599" s="3" t="s">
        <v>303</v>
      </c>
      <c r="H599" s="1" t="s">
        <v>2108</v>
      </c>
      <c r="I599" s="1">
        <v>76.0</v>
      </c>
      <c r="K599" s="2" t="s">
        <v>2109</v>
      </c>
      <c r="L599" s="2" t="s">
        <v>60</v>
      </c>
      <c r="M599" s="1" t="s">
        <v>2110</v>
      </c>
      <c r="N599" s="1" t="s">
        <v>62</v>
      </c>
      <c r="O599" s="1" t="s">
        <v>187</v>
      </c>
      <c r="P599" s="1" t="s">
        <v>2111</v>
      </c>
      <c r="Q599" s="1">
        <v>17.472047</v>
      </c>
      <c r="R599" s="1">
        <v>-88.260859</v>
      </c>
      <c r="S599" s="1" t="s">
        <v>65</v>
      </c>
      <c r="T599" s="2" t="s">
        <v>66</v>
      </c>
      <c r="U599" s="2" t="s">
        <v>2112</v>
      </c>
      <c r="V599" s="3" t="s">
        <v>788</v>
      </c>
      <c r="W599" s="1" t="s">
        <v>1594</v>
      </c>
      <c r="X599" s="1" t="s">
        <v>70</v>
      </c>
      <c r="Y599" s="5" t="s">
        <v>76</v>
      </c>
      <c r="Z599" s="3" t="s">
        <v>76</v>
      </c>
      <c r="AB599" s="1">
        <v>5.0</v>
      </c>
      <c r="AI599" s="1" t="s">
        <v>2113</v>
      </c>
      <c r="AJ599" s="1">
        <v>-6780.0</v>
      </c>
      <c r="AK599" s="1">
        <v>2005.0</v>
      </c>
      <c r="AL599" s="2" t="s">
        <v>73</v>
      </c>
      <c r="AM599" s="2" t="s">
        <v>72</v>
      </c>
      <c r="AN599" s="1" t="s">
        <v>238</v>
      </c>
      <c r="AO599" s="2" t="s">
        <v>72</v>
      </c>
      <c r="AQ599" s="2" t="s">
        <v>75</v>
      </c>
      <c r="AR599" s="2" t="s">
        <v>76</v>
      </c>
      <c r="AS599" s="1">
        <v>1875.0</v>
      </c>
      <c r="AT599" s="1">
        <v>1875.0</v>
      </c>
      <c r="AU599" s="1">
        <v>687.0</v>
      </c>
      <c r="AV599" s="1">
        <v>48.0</v>
      </c>
      <c r="AW599" s="1">
        <v>161.0</v>
      </c>
      <c r="AX599" s="1">
        <v>5008.0</v>
      </c>
      <c r="AY599" s="1">
        <v>4.0</v>
      </c>
      <c r="AZ599" s="1" t="s">
        <v>658</v>
      </c>
      <c r="BA599" s="1" t="s">
        <v>659</v>
      </c>
    </row>
    <row r="600">
      <c r="A600" s="1" t="s">
        <v>2106</v>
      </c>
      <c r="B600" s="1" t="s">
        <v>268</v>
      </c>
      <c r="C600" s="1">
        <v>2011.0</v>
      </c>
      <c r="D600" s="1" t="s">
        <v>2051</v>
      </c>
      <c r="E600" s="1" t="s">
        <v>2107</v>
      </c>
      <c r="F600" s="3" t="s">
        <v>303</v>
      </c>
      <c r="H600" s="1" t="s">
        <v>2108</v>
      </c>
      <c r="I600" s="1">
        <v>76.0</v>
      </c>
      <c r="K600" s="2" t="s">
        <v>2109</v>
      </c>
      <c r="L600" s="2" t="s">
        <v>60</v>
      </c>
      <c r="M600" s="1" t="s">
        <v>2114</v>
      </c>
      <c r="N600" s="1" t="s">
        <v>62</v>
      </c>
      <c r="O600" s="1" t="s">
        <v>187</v>
      </c>
      <c r="P600" s="1" t="s">
        <v>2111</v>
      </c>
      <c r="Q600" s="1">
        <v>17.472047</v>
      </c>
      <c r="R600" s="1">
        <v>-88.260859</v>
      </c>
      <c r="S600" s="1" t="s">
        <v>65</v>
      </c>
      <c r="T600" s="2" t="s">
        <v>189</v>
      </c>
      <c r="U600" s="2" t="s">
        <v>170</v>
      </c>
      <c r="V600" s="3" t="s">
        <v>97</v>
      </c>
      <c r="W600" s="1" t="s">
        <v>2056</v>
      </c>
      <c r="X600" s="1" t="s">
        <v>70</v>
      </c>
      <c r="Y600" s="6" t="s">
        <v>76</v>
      </c>
      <c r="Z600" s="3" t="s">
        <v>76</v>
      </c>
      <c r="AB600" s="1">
        <v>5.0</v>
      </c>
      <c r="AI600" s="1" t="s">
        <v>2113</v>
      </c>
      <c r="AJ600" s="1">
        <v>-6780.0</v>
      </c>
      <c r="AK600" s="1">
        <v>2005.0</v>
      </c>
      <c r="AL600" s="2" t="s">
        <v>73</v>
      </c>
      <c r="AM600" s="2" t="s">
        <v>72</v>
      </c>
      <c r="AN600" s="1" t="s">
        <v>238</v>
      </c>
      <c r="AO600" s="2" t="s">
        <v>72</v>
      </c>
      <c r="AQ600" s="2" t="s">
        <v>75</v>
      </c>
      <c r="AR600" s="2" t="s">
        <v>76</v>
      </c>
      <c r="AS600" s="1">
        <v>1875.0</v>
      </c>
      <c r="AT600" s="1">
        <v>1875.0</v>
      </c>
      <c r="AU600" s="1">
        <v>687.0</v>
      </c>
      <c r="AV600" s="1">
        <v>48.0</v>
      </c>
      <c r="AW600" s="1">
        <v>161.0</v>
      </c>
      <c r="AX600" s="1">
        <v>5008.0</v>
      </c>
      <c r="AY600" s="1">
        <v>4.0</v>
      </c>
      <c r="AZ600" s="1" t="s">
        <v>658</v>
      </c>
      <c r="BA600" s="1" t="s">
        <v>659</v>
      </c>
    </row>
    <row r="601">
      <c r="A601" s="1" t="s">
        <v>2106</v>
      </c>
      <c r="B601" s="1" t="s">
        <v>268</v>
      </c>
      <c r="C601" s="1">
        <v>2011.0</v>
      </c>
      <c r="D601" s="1" t="s">
        <v>2051</v>
      </c>
      <c r="E601" s="1" t="s">
        <v>2107</v>
      </c>
      <c r="F601" s="3" t="s">
        <v>303</v>
      </c>
      <c r="H601" s="1" t="s">
        <v>2108</v>
      </c>
      <c r="I601" s="1">
        <v>76.0</v>
      </c>
      <c r="K601" s="2" t="s">
        <v>2109</v>
      </c>
      <c r="L601" s="2" t="s">
        <v>60</v>
      </c>
      <c r="M601" s="1" t="s">
        <v>2115</v>
      </c>
      <c r="N601" s="1" t="s">
        <v>62</v>
      </c>
      <c r="O601" s="1" t="s">
        <v>187</v>
      </c>
      <c r="P601" s="1" t="s">
        <v>2111</v>
      </c>
      <c r="Q601" s="1">
        <v>17.472047</v>
      </c>
      <c r="R601" s="1">
        <v>-88.260859</v>
      </c>
      <c r="S601" s="1" t="s">
        <v>65</v>
      </c>
      <c r="T601" s="2" t="s">
        <v>135</v>
      </c>
      <c r="U601" s="1" t="s">
        <v>173</v>
      </c>
      <c r="V601" s="3" t="s">
        <v>97</v>
      </c>
      <c r="W601" s="1" t="s">
        <v>547</v>
      </c>
      <c r="X601" s="1" t="s">
        <v>256</v>
      </c>
      <c r="Y601" s="6" t="s">
        <v>76</v>
      </c>
      <c r="Z601" s="3" t="s">
        <v>76</v>
      </c>
      <c r="AB601" s="1">
        <v>5.0</v>
      </c>
      <c r="AI601" s="1" t="s">
        <v>2113</v>
      </c>
      <c r="AJ601" s="1">
        <v>-6780.0</v>
      </c>
      <c r="AK601" s="1">
        <v>2005.0</v>
      </c>
      <c r="AL601" s="2" t="s">
        <v>73</v>
      </c>
      <c r="AM601" s="2" t="s">
        <v>72</v>
      </c>
      <c r="AN601" s="1" t="s">
        <v>238</v>
      </c>
      <c r="AO601" s="2" t="s">
        <v>72</v>
      </c>
      <c r="AQ601" s="2" t="s">
        <v>75</v>
      </c>
      <c r="AR601" s="2" t="s">
        <v>76</v>
      </c>
      <c r="AS601" s="1">
        <v>1875.0</v>
      </c>
      <c r="AT601" s="1">
        <v>1875.0</v>
      </c>
      <c r="AU601" s="1">
        <v>687.0</v>
      </c>
      <c r="AV601" s="1">
        <v>48.0</v>
      </c>
      <c r="AW601" s="1">
        <v>161.0</v>
      </c>
      <c r="AX601" s="1">
        <v>5008.0</v>
      </c>
      <c r="AY601" s="1">
        <v>4.0</v>
      </c>
      <c r="AZ601" s="1" t="s">
        <v>658</v>
      </c>
      <c r="BA601" s="1" t="s">
        <v>659</v>
      </c>
    </row>
    <row r="602">
      <c r="A602" s="1" t="s">
        <v>2106</v>
      </c>
      <c r="B602" s="1" t="s">
        <v>268</v>
      </c>
      <c r="C602" s="1">
        <v>2011.0</v>
      </c>
      <c r="D602" s="1" t="s">
        <v>2051</v>
      </c>
      <c r="E602" s="1" t="s">
        <v>2107</v>
      </c>
      <c r="F602" s="3" t="s">
        <v>303</v>
      </c>
      <c r="H602" s="1" t="s">
        <v>2108</v>
      </c>
      <c r="I602" s="1">
        <v>76.0</v>
      </c>
      <c r="K602" s="2" t="s">
        <v>2109</v>
      </c>
      <c r="L602" s="2" t="s">
        <v>60</v>
      </c>
      <c r="M602" s="1" t="s">
        <v>2116</v>
      </c>
      <c r="N602" s="1" t="s">
        <v>62</v>
      </c>
      <c r="O602" s="1" t="s">
        <v>187</v>
      </c>
      <c r="P602" s="1" t="s">
        <v>2111</v>
      </c>
      <c r="Q602" s="1">
        <v>17.472047</v>
      </c>
      <c r="R602" s="1">
        <v>-88.260859</v>
      </c>
      <c r="S602" s="1" t="s">
        <v>65</v>
      </c>
      <c r="T602" s="2" t="s">
        <v>388</v>
      </c>
      <c r="U602" s="1" t="s">
        <v>173</v>
      </c>
      <c r="V602" s="3" t="s">
        <v>97</v>
      </c>
      <c r="W602" s="1" t="s">
        <v>547</v>
      </c>
      <c r="X602" s="1" t="s">
        <v>256</v>
      </c>
      <c r="Y602" s="6" t="s">
        <v>76</v>
      </c>
      <c r="Z602" s="3" t="s">
        <v>76</v>
      </c>
      <c r="AB602" s="1">
        <v>5.0</v>
      </c>
      <c r="AI602" s="1" t="s">
        <v>2113</v>
      </c>
      <c r="AJ602" s="1">
        <v>-6780.0</v>
      </c>
      <c r="AK602" s="1">
        <v>2005.0</v>
      </c>
      <c r="AL602" s="2" t="s">
        <v>73</v>
      </c>
      <c r="AM602" s="2" t="s">
        <v>72</v>
      </c>
      <c r="AN602" s="1" t="s">
        <v>238</v>
      </c>
      <c r="AO602" s="2" t="s">
        <v>72</v>
      </c>
      <c r="AQ602" s="2" t="s">
        <v>75</v>
      </c>
      <c r="AR602" s="2" t="s">
        <v>76</v>
      </c>
      <c r="AS602" s="1">
        <v>1875.0</v>
      </c>
      <c r="AT602" s="1">
        <v>1875.0</v>
      </c>
      <c r="AU602" s="1">
        <v>687.0</v>
      </c>
      <c r="AV602" s="1">
        <v>48.0</v>
      </c>
      <c r="AW602" s="1">
        <v>161.0</v>
      </c>
      <c r="AX602" s="1">
        <v>5008.0</v>
      </c>
      <c r="AY602" s="1">
        <v>4.0</v>
      </c>
      <c r="AZ602" s="1" t="s">
        <v>658</v>
      </c>
      <c r="BA602" s="1" t="s">
        <v>659</v>
      </c>
    </row>
    <row r="603">
      <c r="A603" s="1" t="s">
        <v>2106</v>
      </c>
      <c r="B603" s="1" t="s">
        <v>268</v>
      </c>
      <c r="C603" s="1">
        <v>2011.0</v>
      </c>
      <c r="D603" s="1" t="s">
        <v>2051</v>
      </c>
      <c r="E603" s="1" t="s">
        <v>2107</v>
      </c>
      <c r="F603" s="3" t="s">
        <v>303</v>
      </c>
      <c r="H603" s="1" t="s">
        <v>2108</v>
      </c>
      <c r="I603" s="1">
        <v>76.0</v>
      </c>
      <c r="K603" s="2" t="s">
        <v>2109</v>
      </c>
      <c r="L603" s="2" t="s">
        <v>60</v>
      </c>
      <c r="M603" s="1" t="s">
        <v>2117</v>
      </c>
      <c r="N603" s="1" t="s">
        <v>62</v>
      </c>
      <c r="O603" s="1" t="s">
        <v>187</v>
      </c>
      <c r="P603" s="1" t="s">
        <v>2111</v>
      </c>
      <c r="Q603" s="1">
        <v>17.472047</v>
      </c>
      <c r="R603" s="1">
        <v>-88.260859</v>
      </c>
      <c r="S603" s="1" t="s">
        <v>65</v>
      </c>
      <c r="T603" s="2" t="s">
        <v>382</v>
      </c>
      <c r="U603" s="1" t="s">
        <v>173</v>
      </c>
      <c r="V603" s="3" t="s">
        <v>97</v>
      </c>
      <c r="W603" s="2" t="s">
        <v>72</v>
      </c>
      <c r="X603" s="1" t="s">
        <v>968</v>
      </c>
      <c r="Y603" s="6" t="s">
        <v>76</v>
      </c>
      <c r="Z603" s="3" t="s">
        <v>76</v>
      </c>
      <c r="AB603" s="1">
        <v>5.0</v>
      </c>
      <c r="AI603" s="1" t="s">
        <v>2113</v>
      </c>
      <c r="AJ603" s="1">
        <v>-6780.0</v>
      </c>
      <c r="AK603" s="1">
        <v>2005.0</v>
      </c>
      <c r="AL603" s="2" t="s">
        <v>73</v>
      </c>
      <c r="AM603" s="2" t="s">
        <v>72</v>
      </c>
      <c r="AN603" s="1" t="s">
        <v>238</v>
      </c>
      <c r="AO603" s="2" t="s">
        <v>72</v>
      </c>
      <c r="AQ603" s="2" t="s">
        <v>75</v>
      </c>
      <c r="AR603" s="2" t="s">
        <v>76</v>
      </c>
      <c r="AS603" s="1">
        <v>1875.0</v>
      </c>
      <c r="AT603" s="1">
        <v>1875.0</v>
      </c>
      <c r="AU603" s="1">
        <v>687.0</v>
      </c>
      <c r="AV603" s="1">
        <v>48.0</v>
      </c>
      <c r="AW603" s="1">
        <v>161.0</v>
      </c>
      <c r="AX603" s="1">
        <v>5008.0</v>
      </c>
      <c r="AY603" s="1">
        <v>4.0</v>
      </c>
      <c r="AZ603" s="1" t="s">
        <v>658</v>
      </c>
      <c r="BA603" s="1" t="s">
        <v>659</v>
      </c>
    </row>
    <row r="604">
      <c r="A604" s="1" t="s">
        <v>2106</v>
      </c>
      <c r="B604" s="1" t="s">
        <v>268</v>
      </c>
      <c r="C604" s="1">
        <v>2011.0</v>
      </c>
      <c r="D604" s="1" t="s">
        <v>2051</v>
      </c>
      <c r="E604" s="1" t="s">
        <v>2107</v>
      </c>
      <c r="F604" s="3" t="s">
        <v>303</v>
      </c>
      <c r="H604" s="1" t="s">
        <v>2108</v>
      </c>
      <c r="I604" s="1">
        <v>76.0</v>
      </c>
      <c r="K604" s="2" t="s">
        <v>2109</v>
      </c>
      <c r="L604" s="2" t="s">
        <v>60</v>
      </c>
      <c r="M604" s="1" t="s">
        <v>2118</v>
      </c>
      <c r="N604" s="1" t="s">
        <v>62</v>
      </c>
      <c r="O604" s="1" t="s">
        <v>187</v>
      </c>
      <c r="P604" s="1" t="s">
        <v>2111</v>
      </c>
      <c r="Q604" s="1">
        <v>17.472047</v>
      </c>
      <c r="R604" s="1">
        <v>-88.260859</v>
      </c>
      <c r="S604" s="1" t="s">
        <v>65</v>
      </c>
      <c r="T604" s="2" t="s">
        <v>194</v>
      </c>
      <c r="U604" s="1" t="s">
        <v>173</v>
      </c>
      <c r="V604" s="3" t="s">
        <v>97</v>
      </c>
      <c r="W604" s="1" t="s">
        <v>2056</v>
      </c>
      <c r="X604" s="1" t="s">
        <v>70</v>
      </c>
      <c r="Y604" s="6" t="s">
        <v>76</v>
      </c>
      <c r="Z604" s="3" t="s">
        <v>76</v>
      </c>
      <c r="AB604" s="1">
        <v>5.0</v>
      </c>
      <c r="AI604" s="1" t="s">
        <v>2113</v>
      </c>
      <c r="AJ604" s="1">
        <v>-6780.0</v>
      </c>
      <c r="AK604" s="1">
        <v>2005.0</v>
      </c>
      <c r="AL604" s="2" t="s">
        <v>73</v>
      </c>
      <c r="AM604" s="2" t="s">
        <v>72</v>
      </c>
      <c r="AN604" s="1" t="s">
        <v>238</v>
      </c>
      <c r="AO604" s="2" t="s">
        <v>72</v>
      </c>
      <c r="AQ604" s="2" t="s">
        <v>75</v>
      </c>
      <c r="AR604" s="2" t="s">
        <v>76</v>
      </c>
      <c r="AS604" s="1">
        <v>1875.0</v>
      </c>
      <c r="AT604" s="1">
        <v>1875.0</v>
      </c>
      <c r="AU604" s="1">
        <v>687.0</v>
      </c>
      <c r="AV604" s="1">
        <v>48.0</v>
      </c>
      <c r="AW604" s="1">
        <v>161.0</v>
      </c>
      <c r="AX604" s="1">
        <v>5008.0</v>
      </c>
      <c r="AY604" s="1">
        <v>4.0</v>
      </c>
      <c r="AZ604" s="1" t="s">
        <v>658</v>
      </c>
      <c r="BA604" s="1" t="s">
        <v>659</v>
      </c>
    </row>
    <row r="605">
      <c r="A605" s="1" t="s">
        <v>2119</v>
      </c>
      <c r="B605" s="1" t="s">
        <v>268</v>
      </c>
      <c r="C605" s="1">
        <v>2013.0</v>
      </c>
      <c r="D605" s="1" t="s">
        <v>2120</v>
      </c>
      <c r="E605" s="1" t="s">
        <v>2121</v>
      </c>
      <c r="F605" s="3" t="s">
        <v>1947</v>
      </c>
      <c r="H605" s="1" t="s">
        <v>2122</v>
      </c>
      <c r="I605" s="1">
        <v>23.0</v>
      </c>
      <c r="K605" s="2" t="s">
        <v>2123</v>
      </c>
      <c r="L605" s="2" t="s">
        <v>60</v>
      </c>
      <c r="M605" s="1" t="s">
        <v>2124</v>
      </c>
      <c r="N605" s="1" t="s">
        <v>62</v>
      </c>
      <c r="O605" s="1" t="s">
        <v>187</v>
      </c>
      <c r="P605" s="1" t="s">
        <v>2125</v>
      </c>
      <c r="Q605" s="1">
        <v>17.666667</v>
      </c>
      <c r="R605" s="1">
        <v>-88.666667</v>
      </c>
      <c r="S605" s="1" t="s">
        <v>148</v>
      </c>
      <c r="T605" s="2" t="s">
        <v>80</v>
      </c>
      <c r="U605" s="3" t="s">
        <v>81</v>
      </c>
      <c r="V605" s="3" t="s">
        <v>68</v>
      </c>
      <c r="W605" s="1" t="s">
        <v>1302</v>
      </c>
      <c r="X605" s="1" t="s">
        <v>70</v>
      </c>
      <c r="Y605" s="6" t="s">
        <v>76</v>
      </c>
      <c r="Z605" s="3" t="s">
        <v>84</v>
      </c>
      <c r="AB605" s="1">
        <v>6.0</v>
      </c>
      <c r="AI605" s="1" t="s">
        <v>2126</v>
      </c>
      <c r="AJ605" s="1">
        <v>-1630.0</v>
      </c>
      <c r="AK605" s="1">
        <v>1500.0</v>
      </c>
      <c r="AL605" s="2" t="s">
        <v>73</v>
      </c>
      <c r="AM605" s="2" t="s">
        <v>60</v>
      </c>
      <c r="AN605" s="2" t="s">
        <v>72</v>
      </c>
      <c r="AO605" s="2" t="s">
        <v>72</v>
      </c>
      <c r="AQ605" s="2" t="s">
        <v>576</v>
      </c>
      <c r="AR605" s="2" t="s">
        <v>76</v>
      </c>
      <c r="AS605" s="1">
        <v>1741.0</v>
      </c>
      <c r="AT605" s="1">
        <v>1741.0</v>
      </c>
      <c r="AU605" s="1">
        <v>685.0</v>
      </c>
      <c r="AV605" s="1">
        <v>45.0</v>
      </c>
      <c r="AW605" s="1">
        <v>155.0</v>
      </c>
      <c r="AX605" s="1">
        <v>5285.0</v>
      </c>
      <c r="AY605" s="1">
        <v>42.0</v>
      </c>
      <c r="AZ605" s="1" t="s">
        <v>133</v>
      </c>
      <c r="BA605" s="1" t="s">
        <v>121</v>
      </c>
    </row>
    <row r="606">
      <c r="A606" s="1" t="s">
        <v>2119</v>
      </c>
      <c r="B606" s="1" t="s">
        <v>268</v>
      </c>
      <c r="C606" s="1">
        <v>2013.0</v>
      </c>
      <c r="D606" s="1" t="s">
        <v>2120</v>
      </c>
      <c r="E606" s="1" t="s">
        <v>2121</v>
      </c>
      <c r="F606" s="3" t="s">
        <v>1947</v>
      </c>
      <c r="H606" s="1" t="s">
        <v>2122</v>
      </c>
      <c r="I606" s="1">
        <v>23.0</v>
      </c>
      <c r="K606" s="2" t="s">
        <v>2123</v>
      </c>
      <c r="L606" s="2" t="s">
        <v>60</v>
      </c>
      <c r="M606" s="1" t="s">
        <v>2127</v>
      </c>
      <c r="N606" s="1" t="s">
        <v>62</v>
      </c>
      <c r="O606" s="1" t="s">
        <v>187</v>
      </c>
      <c r="P606" s="1" t="s">
        <v>2125</v>
      </c>
      <c r="Q606" s="1">
        <v>17.666667</v>
      </c>
      <c r="R606" s="1">
        <v>-88.666667</v>
      </c>
      <c r="S606" s="1" t="s">
        <v>148</v>
      </c>
      <c r="T606" s="2" t="s">
        <v>66</v>
      </c>
      <c r="U606" s="3" t="s">
        <v>67</v>
      </c>
      <c r="V606" s="3" t="s">
        <v>68</v>
      </c>
      <c r="W606" s="1" t="s">
        <v>2128</v>
      </c>
      <c r="X606" s="2" t="s">
        <v>928</v>
      </c>
      <c r="Y606" s="5" t="s">
        <v>60</v>
      </c>
      <c r="Z606" s="3" t="s">
        <v>71</v>
      </c>
      <c r="AB606" s="1">
        <v>6.0</v>
      </c>
      <c r="AI606" s="1" t="s">
        <v>2126</v>
      </c>
      <c r="AJ606" s="1">
        <v>-1630.0</v>
      </c>
      <c r="AK606" s="1">
        <v>1500.0</v>
      </c>
      <c r="AL606" s="2" t="s">
        <v>73</v>
      </c>
      <c r="AM606" s="2" t="s">
        <v>60</v>
      </c>
      <c r="AN606" s="2" t="s">
        <v>72</v>
      </c>
      <c r="AO606" s="2" t="s">
        <v>72</v>
      </c>
      <c r="AQ606" s="2" t="s">
        <v>576</v>
      </c>
      <c r="AR606" s="2" t="s">
        <v>76</v>
      </c>
      <c r="AS606" s="1">
        <v>1741.0</v>
      </c>
      <c r="AT606" s="1">
        <v>1741.0</v>
      </c>
      <c r="AU606" s="1">
        <v>685.0</v>
      </c>
      <c r="AV606" s="1">
        <v>45.0</v>
      </c>
      <c r="AW606" s="1">
        <v>155.0</v>
      </c>
      <c r="AX606" s="1">
        <v>5285.0</v>
      </c>
      <c r="AY606" s="1">
        <v>42.0</v>
      </c>
      <c r="AZ606" s="1" t="s">
        <v>133</v>
      </c>
      <c r="BA606" s="1" t="s">
        <v>121</v>
      </c>
    </row>
    <row r="607">
      <c r="A607" s="1" t="s">
        <v>2129</v>
      </c>
      <c r="B607" s="1" t="s">
        <v>53</v>
      </c>
      <c r="C607" s="1">
        <v>2019.0</v>
      </c>
      <c r="D607" s="1" t="s">
        <v>2130</v>
      </c>
      <c r="E607" s="1" t="s">
        <v>2131</v>
      </c>
      <c r="F607" s="1" t="s">
        <v>732</v>
      </c>
      <c r="G607" s="1" t="s">
        <v>2132</v>
      </c>
      <c r="H607" s="1" t="s">
        <v>2133</v>
      </c>
      <c r="I607" s="1">
        <v>62.0</v>
      </c>
      <c r="J607" s="1">
        <v>4.0</v>
      </c>
      <c r="K607" s="2" t="s">
        <v>2134</v>
      </c>
      <c r="L607" s="2" t="s">
        <v>60</v>
      </c>
      <c r="M607" s="1" t="s">
        <v>2135</v>
      </c>
      <c r="N607" s="1" t="s">
        <v>62</v>
      </c>
      <c r="O607" s="1" t="s">
        <v>167</v>
      </c>
      <c r="P607" s="1" t="s">
        <v>2136</v>
      </c>
      <c r="Q607" s="1">
        <v>15.456779</v>
      </c>
      <c r="R607" s="1">
        <v>-89.357641</v>
      </c>
      <c r="S607" s="1" t="s">
        <v>148</v>
      </c>
      <c r="T607" s="2" t="s">
        <v>194</v>
      </c>
      <c r="U607" s="1" t="s">
        <v>1825</v>
      </c>
      <c r="V607" s="3" t="s">
        <v>277</v>
      </c>
      <c r="W607" s="1" t="s">
        <v>2137</v>
      </c>
      <c r="X607" s="1" t="s">
        <v>70</v>
      </c>
      <c r="Y607" s="6" t="s">
        <v>76</v>
      </c>
      <c r="Z607" s="3" t="s">
        <v>76</v>
      </c>
      <c r="AB607" s="1">
        <v>6.0</v>
      </c>
      <c r="AD607" s="2" t="s">
        <v>72</v>
      </c>
      <c r="AE607" s="2" t="s">
        <v>72</v>
      </c>
      <c r="AI607" s="1" t="s">
        <v>1595</v>
      </c>
      <c r="AJ607" s="1">
        <v>1650.0</v>
      </c>
      <c r="AK607" s="1">
        <v>2017.0</v>
      </c>
      <c r="AL607" s="2" t="s">
        <v>153</v>
      </c>
      <c r="AM607" s="2" t="s">
        <v>72</v>
      </c>
      <c r="AN607" s="2" t="s">
        <v>132</v>
      </c>
      <c r="AO607" s="2" t="s">
        <v>72</v>
      </c>
      <c r="AQ607" s="2" t="s">
        <v>576</v>
      </c>
      <c r="AR607" s="2" t="s">
        <v>76</v>
      </c>
      <c r="AS607" s="1">
        <v>2538.0</v>
      </c>
      <c r="AT607" s="1">
        <v>2538.0</v>
      </c>
      <c r="AU607" s="1">
        <v>1212.0</v>
      </c>
      <c r="AV607" s="1">
        <v>59.0</v>
      </c>
      <c r="AW607" s="1">
        <v>205.0</v>
      </c>
      <c r="AX607" s="1">
        <v>6715.0</v>
      </c>
      <c r="AY607" s="1">
        <v>2.0</v>
      </c>
      <c r="AZ607" s="1" t="s">
        <v>1232</v>
      </c>
      <c r="BA607" s="1" t="s">
        <v>121</v>
      </c>
    </row>
    <row r="608">
      <c r="A608" s="1" t="s">
        <v>2129</v>
      </c>
      <c r="B608" s="1" t="s">
        <v>53</v>
      </c>
      <c r="C608" s="1">
        <v>2019.0</v>
      </c>
      <c r="D608" s="1" t="s">
        <v>2130</v>
      </c>
      <c r="E608" s="1" t="s">
        <v>2131</v>
      </c>
      <c r="F608" s="1" t="s">
        <v>732</v>
      </c>
      <c r="G608" s="1" t="s">
        <v>2132</v>
      </c>
      <c r="H608" s="1" t="s">
        <v>2133</v>
      </c>
      <c r="I608" s="1">
        <v>62.0</v>
      </c>
      <c r="J608" s="1">
        <v>4.0</v>
      </c>
      <c r="K608" s="2" t="s">
        <v>2134</v>
      </c>
      <c r="L608" s="2" t="s">
        <v>60</v>
      </c>
      <c r="M608" s="1" t="s">
        <v>2138</v>
      </c>
      <c r="N608" s="1" t="s">
        <v>62</v>
      </c>
      <c r="O608" s="1" t="s">
        <v>167</v>
      </c>
      <c r="P608" s="1" t="s">
        <v>2136</v>
      </c>
      <c r="Q608" s="1">
        <v>15.456779</v>
      </c>
      <c r="R608" s="1">
        <v>-89.357641</v>
      </c>
      <c r="S608" s="1" t="s">
        <v>148</v>
      </c>
      <c r="T608" s="2" t="s">
        <v>135</v>
      </c>
      <c r="U608" s="1" t="s">
        <v>1825</v>
      </c>
      <c r="V608" s="3" t="s">
        <v>277</v>
      </c>
      <c r="W608" s="1" t="s">
        <v>2137</v>
      </c>
      <c r="X608" s="2" t="s">
        <v>99</v>
      </c>
      <c r="Y608" s="6" t="s">
        <v>76</v>
      </c>
      <c r="Z608" s="3" t="s">
        <v>76</v>
      </c>
      <c r="AB608" s="1">
        <v>6.0</v>
      </c>
      <c r="AD608" s="2" t="s">
        <v>72</v>
      </c>
      <c r="AE608" s="2" t="s">
        <v>72</v>
      </c>
      <c r="AI608" s="1" t="s">
        <v>1595</v>
      </c>
      <c r="AJ608" s="1">
        <v>1650.0</v>
      </c>
      <c r="AK608" s="1">
        <v>2017.0</v>
      </c>
      <c r="AL608" s="2" t="s">
        <v>153</v>
      </c>
      <c r="AM608" s="2" t="s">
        <v>72</v>
      </c>
      <c r="AN608" s="2" t="s">
        <v>132</v>
      </c>
      <c r="AO608" s="2" t="s">
        <v>72</v>
      </c>
      <c r="AQ608" s="2" t="s">
        <v>576</v>
      </c>
      <c r="AR608" s="2" t="s">
        <v>76</v>
      </c>
      <c r="AS608" s="1">
        <v>2538.0</v>
      </c>
      <c r="AT608" s="1">
        <v>2538.0</v>
      </c>
      <c r="AU608" s="1">
        <v>1212.0</v>
      </c>
      <c r="AV608" s="1">
        <v>59.0</v>
      </c>
      <c r="AW608" s="1">
        <v>205.0</v>
      </c>
      <c r="AX608" s="1">
        <v>6715.0</v>
      </c>
      <c r="AY608" s="1">
        <v>2.0</v>
      </c>
      <c r="AZ608" s="1" t="s">
        <v>1232</v>
      </c>
      <c r="BA608" s="1" t="s">
        <v>121</v>
      </c>
    </row>
    <row r="609">
      <c r="A609" s="1" t="s">
        <v>2129</v>
      </c>
      <c r="B609" s="1" t="s">
        <v>53</v>
      </c>
      <c r="C609" s="1">
        <v>2019.0</v>
      </c>
      <c r="D609" s="1" t="s">
        <v>2130</v>
      </c>
      <c r="E609" s="1" t="s">
        <v>2131</v>
      </c>
      <c r="F609" s="1" t="s">
        <v>732</v>
      </c>
      <c r="G609" s="1" t="s">
        <v>2132</v>
      </c>
      <c r="H609" s="1" t="s">
        <v>2133</v>
      </c>
      <c r="I609" s="1">
        <v>62.0</v>
      </c>
      <c r="J609" s="1">
        <v>4.0</v>
      </c>
      <c r="K609" s="2" t="s">
        <v>2134</v>
      </c>
      <c r="L609" s="2" t="s">
        <v>60</v>
      </c>
      <c r="M609" s="1" t="s">
        <v>2139</v>
      </c>
      <c r="N609" s="1" t="s">
        <v>62</v>
      </c>
      <c r="O609" s="1" t="s">
        <v>167</v>
      </c>
      <c r="P609" s="1" t="s">
        <v>2136</v>
      </c>
      <c r="Q609" s="1">
        <v>15.456779</v>
      </c>
      <c r="R609" s="1">
        <v>-89.357641</v>
      </c>
      <c r="S609" s="1" t="s">
        <v>148</v>
      </c>
      <c r="T609" s="2" t="s">
        <v>388</v>
      </c>
      <c r="U609" s="1" t="s">
        <v>1825</v>
      </c>
      <c r="V609" s="3" t="s">
        <v>277</v>
      </c>
      <c r="W609" s="1" t="s">
        <v>2137</v>
      </c>
      <c r="X609" s="2" t="s">
        <v>99</v>
      </c>
      <c r="Y609" s="6" t="s">
        <v>76</v>
      </c>
      <c r="Z609" s="3" t="s">
        <v>76</v>
      </c>
      <c r="AB609" s="1">
        <v>6.0</v>
      </c>
      <c r="AD609" s="2" t="s">
        <v>72</v>
      </c>
      <c r="AE609" s="2" t="s">
        <v>72</v>
      </c>
      <c r="AI609" s="1" t="s">
        <v>1595</v>
      </c>
      <c r="AJ609" s="1">
        <v>1650.0</v>
      </c>
      <c r="AK609" s="1">
        <v>2017.0</v>
      </c>
      <c r="AL609" s="2" t="s">
        <v>153</v>
      </c>
      <c r="AM609" s="2" t="s">
        <v>72</v>
      </c>
      <c r="AN609" s="2" t="s">
        <v>132</v>
      </c>
      <c r="AO609" s="2" t="s">
        <v>72</v>
      </c>
      <c r="AQ609" s="2" t="s">
        <v>576</v>
      </c>
      <c r="AR609" s="2" t="s">
        <v>76</v>
      </c>
      <c r="AS609" s="1">
        <v>2538.0</v>
      </c>
      <c r="AT609" s="1">
        <v>2538.0</v>
      </c>
      <c r="AU609" s="1">
        <v>1212.0</v>
      </c>
      <c r="AV609" s="1">
        <v>59.0</v>
      </c>
      <c r="AW609" s="1">
        <v>205.0</v>
      </c>
      <c r="AX609" s="1">
        <v>6715.0</v>
      </c>
      <c r="AY609" s="1">
        <v>2.0</v>
      </c>
      <c r="AZ609" s="1" t="s">
        <v>1232</v>
      </c>
      <c r="BA609" s="1" t="s">
        <v>121</v>
      </c>
    </row>
    <row r="610">
      <c r="A610" s="1" t="s">
        <v>2129</v>
      </c>
      <c r="B610" s="1" t="s">
        <v>53</v>
      </c>
      <c r="C610" s="1">
        <v>2019.0</v>
      </c>
      <c r="D610" s="1" t="s">
        <v>2130</v>
      </c>
      <c r="E610" s="1" t="s">
        <v>2131</v>
      </c>
      <c r="F610" s="1" t="s">
        <v>732</v>
      </c>
      <c r="G610" s="1" t="s">
        <v>2132</v>
      </c>
      <c r="H610" s="1" t="s">
        <v>2133</v>
      </c>
      <c r="I610" s="1">
        <v>62.0</v>
      </c>
      <c r="J610" s="1">
        <v>4.0</v>
      </c>
      <c r="K610" s="2" t="s">
        <v>2134</v>
      </c>
      <c r="L610" s="2" t="s">
        <v>60</v>
      </c>
      <c r="M610" s="1" t="s">
        <v>2140</v>
      </c>
      <c r="N610" s="1" t="s">
        <v>62</v>
      </c>
      <c r="O610" s="1" t="s">
        <v>167</v>
      </c>
      <c r="P610" s="1" t="s">
        <v>2136</v>
      </c>
      <c r="Q610" s="1">
        <v>15.456779</v>
      </c>
      <c r="R610" s="1">
        <v>-89.357641</v>
      </c>
      <c r="S610" s="1" t="s">
        <v>148</v>
      </c>
      <c r="T610" s="2" t="s">
        <v>382</v>
      </c>
      <c r="U610" s="1" t="s">
        <v>72</v>
      </c>
      <c r="V610" s="3" t="s">
        <v>277</v>
      </c>
      <c r="W610" s="1" t="s">
        <v>2141</v>
      </c>
      <c r="X610" s="1" t="s">
        <v>968</v>
      </c>
      <c r="Y610" s="6" t="s">
        <v>76</v>
      </c>
      <c r="Z610" s="3" t="s">
        <v>76</v>
      </c>
      <c r="AB610" s="1">
        <v>6.0</v>
      </c>
      <c r="AD610" s="2" t="s">
        <v>72</v>
      </c>
      <c r="AE610" s="2" t="s">
        <v>72</v>
      </c>
      <c r="AI610" s="1" t="s">
        <v>1595</v>
      </c>
      <c r="AJ610" s="1">
        <v>1650.0</v>
      </c>
      <c r="AK610" s="1">
        <v>2017.0</v>
      </c>
      <c r="AL610" s="2" t="s">
        <v>153</v>
      </c>
      <c r="AM610" s="2" t="s">
        <v>72</v>
      </c>
      <c r="AN610" s="2" t="s">
        <v>132</v>
      </c>
      <c r="AO610" s="2" t="s">
        <v>72</v>
      </c>
      <c r="AQ610" s="2" t="s">
        <v>576</v>
      </c>
      <c r="AR610" s="2" t="s">
        <v>76</v>
      </c>
      <c r="AS610" s="1">
        <v>2538.0</v>
      </c>
      <c r="AT610" s="1">
        <v>2538.0</v>
      </c>
      <c r="AU610" s="1">
        <v>1212.0</v>
      </c>
      <c r="AV610" s="1">
        <v>59.0</v>
      </c>
      <c r="AW610" s="1">
        <v>205.0</v>
      </c>
      <c r="AX610" s="1">
        <v>6715.0</v>
      </c>
      <c r="AY610" s="1">
        <v>2.0</v>
      </c>
      <c r="AZ610" s="1" t="s">
        <v>1232</v>
      </c>
      <c r="BA610" s="1" t="s">
        <v>121</v>
      </c>
    </row>
    <row r="611">
      <c r="A611" s="1" t="s">
        <v>2142</v>
      </c>
      <c r="B611" s="1" t="s">
        <v>53</v>
      </c>
      <c r="C611" s="1">
        <v>2019.0</v>
      </c>
      <c r="D611" s="1" t="s">
        <v>2143</v>
      </c>
      <c r="E611" s="1" t="s">
        <v>2144</v>
      </c>
      <c r="F611" s="1" t="s">
        <v>2145</v>
      </c>
      <c r="G611" s="1" t="s">
        <v>2146</v>
      </c>
      <c r="H611" s="1" t="s">
        <v>2147</v>
      </c>
      <c r="I611" s="1">
        <v>26.0</v>
      </c>
      <c r="L611" s="2" t="s">
        <v>60</v>
      </c>
      <c r="M611" s="1" t="s">
        <v>2148</v>
      </c>
      <c r="N611" s="1" t="s">
        <v>62</v>
      </c>
      <c r="O611" s="1" t="s">
        <v>167</v>
      </c>
      <c r="P611" s="1" t="s">
        <v>2149</v>
      </c>
      <c r="Q611" s="1">
        <v>16.916667</v>
      </c>
      <c r="R611" s="1">
        <v>-89.833333</v>
      </c>
      <c r="S611" s="1" t="s">
        <v>148</v>
      </c>
      <c r="T611" s="2" t="s">
        <v>382</v>
      </c>
      <c r="U611" s="2" t="s">
        <v>173</v>
      </c>
      <c r="V611" s="3" t="s">
        <v>277</v>
      </c>
      <c r="W611" s="1" t="s">
        <v>2141</v>
      </c>
      <c r="X611" s="1" t="s">
        <v>968</v>
      </c>
      <c r="Y611" s="5" t="s">
        <v>76</v>
      </c>
      <c r="Z611" s="3" t="s">
        <v>76</v>
      </c>
      <c r="AB611" s="1">
        <v>6.0</v>
      </c>
      <c r="AI611" s="1" t="s">
        <v>2150</v>
      </c>
      <c r="AJ611" s="1">
        <v>-5200.0</v>
      </c>
      <c r="AK611" s="1">
        <v>2018.0</v>
      </c>
      <c r="AL611" s="2" t="s">
        <v>73</v>
      </c>
      <c r="AM611" s="2" t="s">
        <v>60</v>
      </c>
      <c r="AN611" s="2" t="s">
        <v>132</v>
      </c>
      <c r="AO611" s="2" t="s">
        <v>76</v>
      </c>
      <c r="AQ611" s="2" t="s">
        <v>102</v>
      </c>
      <c r="AR611" s="2" t="s">
        <v>76</v>
      </c>
      <c r="AS611" s="1">
        <v>1738.0</v>
      </c>
      <c r="AT611" s="1">
        <v>1738.0</v>
      </c>
      <c r="AU611" s="1">
        <v>690.0</v>
      </c>
      <c r="AV611" s="1">
        <v>36.0</v>
      </c>
      <c r="AW611" s="1">
        <v>144.0</v>
      </c>
      <c r="AX611" s="1">
        <v>5677.0</v>
      </c>
      <c r="AY611" s="1">
        <v>131.0</v>
      </c>
      <c r="AZ611" s="1" t="s">
        <v>133</v>
      </c>
      <c r="BA611" s="1" t="s">
        <v>121</v>
      </c>
    </row>
    <row r="612">
      <c r="A612" s="1" t="s">
        <v>2142</v>
      </c>
      <c r="B612" s="1" t="s">
        <v>53</v>
      </c>
      <c r="C612" s="1">
        <v>2019.0</v>
      </c>
      <c r="D612" s="1" t="s">
        <v>2143</v>
      </c>
      <c r="E612" s="1" t="s">
        <v>2144</v>
      </c>
      <c r="F612" s="1" t="s">
        <v>2145</v>
      </c>
      <c r="G612" s="1" t="s">
        <v>2146</v>
      </c>
      <c r="H612" s="1" t="s">
        <v>2147</v>
      </c>
      <c r="I612" s="1">
        <v>26.0</v>
      </c>
      <c r="L612" s="2" t="s">
        <v>60</v>
      </c>
      <c r="M612" s="1" t="s">
        <v>2151</v>
      </c>
      <c r="N612" s="1" t="s">
        <v>62</v>
      </c>
      <c r="O612" s="1" t="s">
        <v>167</v>
      </c>
      <c r="P612" s="1" t="s">
        <v>2149</v>
      </c>
      <c r="Q612" s="1">
        <v>16.916667</v>
      </c>
      <c r="R612" s="1">
        <v>-89.833333</v>
      </c>
      <c r="S612" s="1" t="s">
        <v>148</v>
      </c>
      <c r="T612" s="2" t="s">
        <v>169</v>
      </c>
      <c r="U612" s="2" t="s">
        <v>173</v>
      </c>
      <c r="V612" s="3" t="s">
        <v>277</v>
      </c>
      <c r="W612" s="1" t="s">
        <v>2152</v>
      </c>
      <c r="X612" s="1" t="s">
        <v>2153</v>
      </c>
      <c r="Y612" s="5" t="s">
        <v>76</v>
      </c>
      <c r="Z612" s="3" t="s">
        <v>76</v>
      </c>
      <c r="AB612" s="1">
        <v>6.0</v>
      </c>
      <c r="AI612" s="1" t="s">
        <v>2150</v>
      </c>
      <c r="AJ612" s="1">
        <v>-5200.0</v>
      </c>
      <c r="AK612" s="1">
        <v>2018.0</v>
      </c>
      <c r="AL612" s="2" t="s">
        <v>73</v>
      </c>
      <c r="AM612" s="2" t="s">
        <v>60</v>
      </c>
      <c r="AN612" s="2" t="s">
        <v>132</v>
      </c>
      <c r="AO612" s="2" t="s">
        <v>76</v>
      </c>
      <c r="AQ612" s="2" t="s">
        <v>102</v>
      </c>
      <c r="AR612" s="2" t="s">
        <v>76</v>
      </c>
      <c r="AS612" s="1">
        <v>1738.0</v>
      </c>
      <c r="AT612" s="1">
        <v>1738.0</v>
      </c>
      <c r="AU612" s="1">
        <v>690.0</v>
      </c>
      <c r="AV612" s="1">
        <v>36.0</v>
      </c>
      <c r="AW612" s="1">
        <v>144.0</v>
      </c>
      <c r="AX612" s="1">
        <v>5677.0</v>
      </c>
      <c r="AY612" s="1">
        <v>131.0</v>
      </c>
      <c r="AZ612" s="1" t="s">
        <v>133</v>
      </c>
      <c r="BA612" s="1" t="s">
        <v>121</v>
      </c>
    </row>
    <row r="613">
      <c r="A613" s="1" t="s">
        <v>1343</v>
      </c>
      <c r="B613" s="1" t="s">
        <v>53</v>
      </c>
      <c r="C613" s="1">
        <v>2019.0</v>
      </c>
      <c r="D613" s="1" t="s">
        <v>1344</v>
      </c>
      <c r="E613" s="1" t="s">
        <v>1345</v>
      </c>
      <c r="F613" s="1" t="s">
        <v>793</v>
      </c>
      <c r="G613" s="1" t="s">
        <v>1346</v>
      </c>
      <c r="H613" s="1" t="s">
        <v>1347</v>
      </c>
      <c r="I613" s="1">
        <v>518.0</v>
      </c>
      <c r="K613" s="2" t="s">
        <v>1348</v>
      </c>
      <c r="L613" s="2" t="s">
        <v>60</v>
      </c>
      <c r="M613" s="1" t="s">
        <v>2154</v>
      </c>
      <c r="N613" s="1" t="s">
        <v>62</v>
      </c>
      <c r="O613" s="1" t="s">
        <v>112</v>
      </c>
      <c r="P613" s="1" t="s">
        <v>1350</v>
      </c>
      <c r="Q613" s="1">
        <v>9.468532</v>
      </c>
      <c r="R613" s="1">
        <v>-83.480059</v>
      </c>
      <c r="S613" s="1" t="s">
        <v>148</v>
      </c>
      <c r="T613" s="2" t="s">
        <v>1214</v>
      </c>
      <c r="U613" s="3" t="s">
        <v>2155</v>
      </c>
      <c r="V613" s="3" t="s">
        <v>277</v>
      </c>
      <c r="W613" s="1" t="s">
        <v>2156</v>
      </c>
      <c r="X613" s="1" t="s">
        <v>70</v>
      </c>
      <c r="Y613" s="6" t="s">
        <v>76</v>
      </c>
      <c r="Z613" s="3" t="s">
        <v>76</v>
      </c>
      <c r="AB613" s="1">
        <v>8.0</v>
      </c>
      <c r="AI613" s="2" t="s">
        <v>72</v>
      </c>
      <c r="AJ613" s="1">
        <v>-6150.0</v>
      </c>
      <c r="AK613" s="1">
        <v>2014.0</v>
      </c>
      <c r="AL613" s="2" t="s">
        <v>100</v>
      </c>
      <c r="AM613" s="2" t="s">
        <v>72</v>
      </c>
      <c r="AN613" s="2" t="s">
        <v>132</v>
      </c>
      <c r="AO613" s="2" t="s">
        <v>72</v>
      </c>
      <c r="AQ613" s="2" t="s">
        <v>102</v>
      </c>
      <c r="AR613" s="2" t="s">
        <v>76</v>
      </c>
      <c r="AS613" s="1">
        <v>2510.0</v>
      </c>
      <c r="AT613" s="1">
        <v>2510.0</v>
      </c>
      <c r="AU613" s="1">
        <v>1054.0</v>
      </c>
      <c r="AV613" s="1">
        <v>28.0</v>
      </c>
      <c r="AW613" s="1">
        <v>87.0</v>
      </c>
      <c r="AX613" s="1">
        <v>6856.0</v>
      </c>
      <c r="AY613" s="1">
        <v>3450.0</v>
      </c>
      <c r="AZ613" s="1" t="s">
        <v>154</v>
      </c>
      <c r="BA613" s="1" t="s">
        <v>121</v>
      </c>
    </row>
    <row r="614">
      <c r="A614" s="1" t="s">
        <v>2157</v>
      </c>
      <c r="B614" s="1" t="s">
        <v>268</v>
      </c>
      <c r="C614" s="1">
        <v>2013.0</v>
      </c>
      <c r="D614" s="1" t="s">
        <v>970</v>
      </c>
      <c r="E614" s="1" t="s">
        <v>2158</v>
      </c>
      <c r="F614" s="3" t="s">
        <v>1947</v>
      </c>
      <c r="H614" s="1" t="s">
        <v>2159</v>
      </c>
      <c r="I614" s="1">
        <v>23.0</v>
      </c>
      <c r="K614" s="2" t="s">
        <v>2160</v>
      </c>
      <c r="L614" s="2" t="s">
        <v>60</v>
      </c>
      <c r="M614" s="1" t="s">
        <v>2161</v>
      </c>
      <c r="N614" s="1" t="s">
        <v>62</v>
      </c>
      <c r="O614" s="1" t="s">
        <v>112</v>
      </c>
      <c r="P614" s="1" t="s">
        <v>597</v>
      </c>
      <c r="Q614" s="1">
        <v>8.813</v>
      </c>
      <c r="R614" s="1">
        <v>-82.963</v>
      </c>
      <c r="S614" s="1" t="s">
        <v>148</v>
      </c>
      <c r="T614" s="2" t="s">
        <v>135</v>
      </c>
      <c r="U614" s="2" t="s">
        <v>540</v>
      </c>
      <c r="V614" s="3" t="s">
        <v>68</v>
      </c>
      <c r="W614" s="1" t="s">
        <v>1718</v>
      </c>
      <c r="X614" s="2" t="s">
        <v>72</v>
      </c>
      <c r="Y614" s="6" t="s">
        <v>76</v>
      </c>
      <c r="Z614" s="3" t="s">
        <v>76</v>
      </c>
      <c r="AA614" s="1">
        <v>1.0</v>
      </c>
      <c r="AJ614" s="1" t="s">
        <v>470</v>
      </c>
      <c r="AK614" s="1" t="s">
        <v>470</v>
      </c>
      <c r="AL614" s="2" t="s">
        <v>72</v>
      </c>
      <c r="AM614" s="2" t="s">
        <v>72</v>
      </c>
      <c r="AN614" s="2" t="s">
        <v>72</v>
      </c>
      <c r="AO614" s="2" t="s">
        <v>72</v>
      </c>
      <c r="AQ614" s="2" t="s">
        <v>75</v>
      </c>
      <c r="AR614" s="2" t="s">
        <v>76</v>
      </c>
      <c r="AS614" s="1">
        <v>2841.0</v>
      </c>
      <c r="AT614" s="1">
        <v>2841.0</v>
      </c>
      <c r="AU614" s="1">
        <v>1165.0</v>
      </c>
      <c r="AV614" s="1">
        <v>40.0</v>
      </c>
      <c r="AW614" s="1">
        <v>166.0</v>
      </c>
      <c r="AX614" s="1">
        <v>6482.0</v>
      </c>
      <c r="AY614" s="1">
        <v>1094.0</v>
      </c>
      <c r="AZ614" s="1" t="s">
        <v>154</v>
      </c>
      <c r="BA614" s="1" t="s">
        <v>121</v>
      </c>
    </row>
    <row r="615">
      <c r="A615" s="1" t="s">
        <v>1343</v>
      </c>
      <c r="B615" s="1" t="s">
        <v>53</v>
      </c>
      <c r="C615" s="1">
        <v>2019.0</v>
      </c>
      <c r="D615" s="1" t="s">
        <v>1344</v>
      </c>
      <c r="E615" s="1" t="s">
        <v>1345</v>
      </c>
      <c r="F615" s="1" t="s">
        <v>793</v>
      </c>
      <c r="G615" s="1" t="s">
        <v>1346</v>
      </c>
      <c r="H615" s="1" t="s">
        <v>1347</v>
      </c>
      <c r="I615" s="1">
        <v>518.0</v>
      </c>
      <c r="K615" s="2" t="s">
        <v>1348</v>
      </c>
      <c r="L615" s="2" t="s">
        <v>60</v>
      </c>
      <c r="M615" s="1" t="s">
        <v>2162</v>
      </c>
      <c r="N615" s="1" t="s">
        <v>62</v>
      </c>
      <c r="O615" s="1" t="s">
        <v>112</v>
      </c>
      <c r="P615" s="1" t="s">
        <v>1350</v>
      </c>
      <c r="Q615" s="1">
        <v>9.468532</v>
      </c>
      <c r="R615" s="1">
        <v>-83.480059</v>
      </c>
      <c r="S615" s="1" t="s">
        <v>148</v>
      </c>
      <c r="T615" s="2" t="s">
        <v>388</v>
      </c>
      <c r="U615" s="1" t="s">
        <v>173</v>
      </c>
      <c r="V615" s="3" t="s">
        <v>277</v>
      </c>
      <c r="W615" s="2" t="s">
        <v>72</v>
      </c>
      <c r="X615" s="1" t="s">
        <v>70</v>
      </c>
      <c r="Y615" s="6" t="s">
        <v>76</v>
      </c>
      <c r="Z615" s="3" t="s">
        <v>76</v>
      </c>
      <c r="AB615" s="1">
        <v>8.0</v>
      </c>
      <c r="AI615" s="2" t="s">
        <v>72</v>
      </c>
      <c r="AJ615" s="1">
        <v>-6150.0</v>
      </c>
      <c r="AK615" s="1">
        <v>2014.0</v>
      </c>
      <c r="AL615" s="2" t="s">
        <v>100</v>
      </c>
      <c r="AM615" s="2" t="s">
        <v>72</v>
      </c>
      <c r="AN615" s="2" t="s">
        <v>132</v>
      </c>
      <c r="AO615" s="2" t="s">
        <v>72</v>
      </c>
      <c r="AQ615" s="2" t="s">
        <v>102</v>
      </c>
      <c r="AR615" s="2" t="s">
        <v>76</v>
      </c>
      <c r="AS615" s="1">
        <v>2510.0</v>
      </c>
      <c r="AT615" s="1">
        <v>2510.0</v>
      </c>
      <c r="AU615" s="1">
        <v>1054.0</v>
      </c>
      <c r="AV615" s="1">
        <v>28.0</v>
      </c>
      <c r="AW615" s="1">
        <v>87.0</v>
      </c>
      <c r="AX615" s="1">
        <v>6856.0</v>
      </c>
      <c r="AY615" s="1">
        <v>3450.0</v>
      </c>
      <c r="AZ615" s="1" t="s">
        <v>154</v>
      </c>
      <c r="BA615" s="1" t="s">
        <v>121</v>
      </c>
    </row>
    <row r="616">
      <c r="A616" s="1" t="s">
        <v>2157</v>
      </c>
      <c r="B616" s="1" t="s">
        <v>268</v>
      </c>
      <c r="C616" s="1">
        <v>2013.0</v>
      </c>
      <c r="D616" s="1" t="s">
        <v>970</v>
      </c>
      <c r="E616" s="1" t="s">
        <v>2158</v>
      </c>
      <c r="F616" s="3" t="s">
        <v>1947</v>
      </c>
      <c r="H616" s="1" t="s">
        <v>2159</v>
      </c>
      <c r="I616" s="1">
        <v>23.0</v>
      </c>
      <c r="K616" s="2" t="s">
        <v>2160</v>
      </c>
      <c r="L616" s="2" t="s">
        <v>60</v>
      </c>
      <c r="M616" s="1" t="s">
        <v>2163</v>
      </c>
      <c r="N616" s="1" t="s">
        <v>62</v>
      </c>
      <c r="O616" s="1" t="s">
        <v>112</v>
      </c>
      <c r="P616" s="1" t="s">
        <v>597</v>
      </c>
      <c r="Q616" s="1">
        <v>8.813</v>
      </c>
      <c r="R616" s="1">
        <v>-82.963</v>
      </c>
      <c r="S616" s="1" t="s">
        <v>148</v>
      </c>
      <c r="T616" s="2" t="s">
        <v>135</v>
      </c>
      <c r="U616" s="2" t="s">
        <v>540</v>
      </c>
      <c r="V616" s="3" t="s">
        <v>68</v>
      </c>
      <c r="W616" s="1" t="s">
        <v>1718</v>
      </c>
      <c r="X616" s="2" t="s">
        <v>72</v>
      </c>
      <c r="Y616" s="6" t="s">
        <v>76</v>
      </c>
      <c r="Z616" s="3" t="s">
        <v>76</v>
      </c>
      <c r="AA616" s="1">
        <v>1.0</v>
      </c>
      <c r="AJ616" s="1" t="s">
        <v>470</v>
      </c>
      <c r="AK616" s="1" t="s">
        <v>470</v>
      </c>
      <c r="AL616" s="2" t="s">
        <v>72</v>
      </c>
      <c r="AM616" s="2" t="s">
        <v>72</v>
      </c>
      <c r="AN616" s="2" t="s">
        <v>72</v>
      </c>
      <c r="AO616" s="2" t="s">
        <v>72</v>
      </c>
      <c r="AQ616" s="2" t="s">
        <v>75</v>
      </c>
      <c r="AR616" s="2" t="s">
        <v>76</v>
      </c>
      <c r="AS616" s="1">
        <v>2841.0</v>
      </c>
      <c r="AT616" s="1">
        <v>2841.0</v>
      </c>
      <c r="AU616" s="1">
        <v>1165.0</v>
      </c>
      <c r="AV616" s="1">
        <v>40.0</v>
      </c>
      <c r="AW616" s="1">
        <v>166.0</v>
      </c>
      <c r="AX616" s="1">
        <v>6482.0</v>
      </c>
      <c r="AY616" s="1">
        <v>1094.0</v>
      </c>
      <c r="AZ616" s="1" t="s">
        <v>154</v>
      </c>
      <c r="BA616" s="1" t="s">
        <v>121</v>
      </c>
    </row>
    <row r="617">
      <c r="A617" s="1" t="s">
        <v>1343</v>
      </c>
      <c r="B617" s="1" t="s">
        <v>53</v>
      </c>
      <c r="C617" s="1">
        <v>2019.0</v>
      </c>
      <c r="D617" s="1" t="s">
        <v>1344</v>
      </c>
      <c r="E617" s="1" t="s">
        <v>1345</v>
      </c>
      <c r="F617" s="1" t="s">
        <v>793</v>
      </c>
      <c r="G617" s="1" t="s">
        <v>1346</v>
      </c>
      <c r="H617" s="1" t="s">
        <v>1347</v>
      </c>
      <c r="I617" s="1">
        <v>518.0</v>
      </c>
      <c r="K617" s="2" t="s">
        <v>1348</v>
      </c>
      <c r="L617" s="2" t="s">
        <v>60</v>
      </c>
      <c r="M617" s="1" t="s">
        <v>2164</v>
      </c>
      <c r="N617" s="1" t="s">
        <v>62</v>
      </c>
      <c r="O617" s="1" t="s">
        <v>112</v>
      </c>
      <c r="P617" s="1" t="s">
        <v>1350</v>
      </c>
      <c r="Q617" s="1">
        <v>9.468532</v>
      </c>
      <c r="R617" s="1">
        <v>-83.480059</v>
      </c>
      <c r="S617" s="1" t="s">
        <v>148</v>
      </c>
      <c r="T617" s="2" t="s">
        <v>194</v>
      </c>
      <c r="U617" s="1" t="s">
        <v>173</v>
      </c>
      <c r="V617" s="3" t="s">
        <v>277</v>
      </c>
      <c r="W617" s="2" t="s">
        <v>72</v>
      </c>
      <c r="X617" s="1" t="s">
        <v>70</v>
      </c>
      <c r="Y617" s="6" t="s">
        <v>76</v>
      </c>
      <c r="Z617" s="3" t="s">
        <v>76</v>
      </c>
      <c r="AB617" s="1">
        <v>8.0</v>
      </c>
      <c r="AI617" s="2" t="s">
        <v>72</v>
      </c>
      <c r="AJ617" s="1">
        <v>-6150.0</v>
      </c>
      <c r="AK617" s="1">
        <v>2014.0</v>
      </c>
      <c r="AL617" s="2" t="s">
        <v>100</v>
      </c>
      <c r="AM617" s="2" t="s">
        <v>72</v>
      </c>
      <c r="AN617" s="2" t="s">
        <v>132</v>
      </c>
      <c r="AO617" s="2" t="s">
        <v>72</v>
      </c>
      <c r="AQ617" s="2" t="s">
        <v>102</v>
      </c>
      <c r="AR617" s="2" t="s">
        <v>76</v>
      </c>
      <c r="AS617" s="1">
        <v>2510.0</v>
      </c>
      <c r="AT617" s="1">
        <v>2510.0</v>
      </c>
      <c r="AU617" s="1">
        <v>1054.0</v>
      </c>
      <c r="AV617" s="1">
        <v>28.0</v>
      </c>
      <c r="AW617" s="1">
        <v>87.0</v>
      </c>
      <c r="AX617" s="1">
        <v>6856.0</v>
      </c>
      <c r="AY617" s="1">
        <v>3450.0</v>
      </c>
      <c r="AZ617" s="1" t="s">
        <v>154</v>
      </c>
      <c r="BA617" s="1" t="s">
        <v>121</v>
      </c>
    </row>
    <row r="618">
      <c r="A618" s="1" t="s">
        <v>2165</v>
      </c>
      <c r="B618" s="1" t="s">
        <v>53</v>
      </c>
      <c r="C618" s="1">
        <v>2019.0</v>
      </c>
      <c r="D618" s="1" t="s">
        <v>1974</v>
      </c>
      <c r="E618" s="1" t="s">
        <v>2166</v>
      </c>
      <c r="F618" s="1" t="s">
        <v>1386</v>
      </c>
      <c r="G618" s="1" t="s">
        <v>2167</v>
      </c>
      <c r="H618" s="1" t="s">
        <v>2168</v>
      </c>
      <c r="I618" s="1">
        <v>215.0</v>
      </c>
      <c r="K618" s="2" t="s">
        <v>2169</v>
      </c>
      <c r="L618" s="2" t="s">
        <v>76</v>
      </c>
      <c r="M618" s="1" t="s">
        <v>2165</v>
      </c>
      <c r="N618" s="1" t="s">
        <v>62</v>
      </c>
      <c r="O618" s="1" t="s">
        <v>112</v>
      </c>
      <c r="P618" s="1" t="s">
        <v>1350</v>
      </c>
      <c r="Q618" s="1">
        <v>9.468532</v>
      </c>
      <c r="R618" s="1">
        <v>-83.480059</v>
      </c>
      <c r="S618" s="1" t="s">
        <v>148</v>
      </c>
      <c r="T618" s="2" t="s">
        <v>1214</v>
      </c>
      <c r="U618" s="1" t="s">
        <v>1296</v>
      </c>
      <c r="V618" s="3" t="s">
        <v>277</v>
      </c>
      <c r="W618" s="1" t="s">
        <v>2156</v>
      </c>
      <c r="X618" s="1" t="s">
        <v>70</v>
      </c>
      <c r="Y618" s="6" t="s">
        <v>76</v>
      </c>
      <c r="Z618" s="3" t="s">
        <v>76</v>
      </c>
      <c r="AB618" s="1">
        <v>7.0</v>
      </c>
      <c r="AI618" s="1" t="s">
        <v>523</v>
      </c>
      <c r="AJ618" s="1">
        <v>300.0</v>
      </c>
      <c r="AK618" s="1">
        <v>2014.0</v>
      </c>
      <c r="AL618" s="2" t="s">
        <v>73</v>
      </c>
      <c r="AM618" s="2" t="s">
        <v>72</v>
      </c>
      <c r="AN618" s="2" t="s">
        <v>132</v>
      </c>
      <c r="AO618" s="2" t="s">
        <v>72</v>
      </c>
      <c r="AQ618" s="2" t="s">
        <v>102</v>
      </c>
      <c r="AR618" s="2" t="s">
        <v>76</v>
      </c>
      <c r="AS618" s="1">
        <v>2510.0</v>
      </c>
      <c r="AT618" s="1">
        <v>2510.0</v>
      </c>
      <c r="AU618" s="1">
        <v>1054.0</v>
      </c>
      <c r="AV618" s="1">
        <v>28.0</v>
      </c>
      <c r="AW618" s="1">
        <v>87.0</v>
      </c>
      <c r="AX618" s="1">
        <v>6856.0</v>
      </c>
      <c r="AY618" s="1">
        <v>3450.0</v>
      </c>
      <c r="AZ618" s="1" t="s">
        <v>154</v>
      </c>
      <c r="BA618" s="1" t="s">
        <v>121</v>
      </c>
    </row>
    <row r="619">
      <c r="A619" s="1" t="s">
        <v>2157</v>
      </c>
      <c r="B619" s="1" t="s">
        <v>268</v>
      </c>
      <c r="C619" s="1">
        <v>2013.0</v>
      </c>
      <c r="D619" s="1" t="s">
        <v>970</v>
      </c>
      <c r="E619" s="1" t="s">
        <v>2158</v>
      </c>
      <c r="F619" s="3" t="s">
        <v>1947</v>
      </c>
      <c r="H619" s="1" t="s">
        <v>2159</v>
      </c>
      <c r="I619" s="1">
        <v>23.0</v>
      </c>
      <c r="K619" s="2" t="s">
        <v>2160</v>
      </c>
      <c r="L619" s="2" t="s">
        <v>60</v>
      </c>
      <c r="M619" s="1" t="s">
        <v>2170</v>
      </c>
      <c r="N619" s="1" t="s">
        <v>62</v>
      </c>
      <c r="O619" s="1" t="s">
        <v>112</v>
      </c>
      <c r="P619" s="1" t="s">
        <v>597</v>
      </c>
      <c r="Q619" s="1">
        <v>8.813</v>
      </c>
      <c r="R619" s="1">
        <v>-82.963</v>
      </c>
      <c r="S619" s="1" t="s">
        <v>148</v>
      </c>
      <c r="T619" s="2" t="s">
        <v>135</v>
      </c>
      <c r="U619" s="2" t="s">
        <v>540</v>
      </c>
      <c r="V619" s="3" t="s">
        <v>68</v>
      </c>
      <c r="W619" s="1" t="s">
        <v>1718</v>
      </c>
      <c r="X619" s="2" t="s">
        <v>72</v>
      </c>
      <c r="Y619" s="6" t="s">
        <v>76</v>
      </c>
      <c r="Z619" s="3" t="s">
        <v>76</v>
      </c>
      <c r="AA619" s="1">
        <v>1.0</v>
      </c>
      <c r="AJ619" s="1" t="s">
        <v>470</v>
      </c>
      <c r="AK619" s="1" t="s">
        <v>470</v>
      </c>
      <c r="AL619" s="2" t="s">
        <v>72</v>
      </c>
      <c r="AM619" s="2" t="s">
        <v>72</v>
      </c>
      <c r="AN619" s="2" t="s">
        <v>72</v>
      </c>
      <c r="AO619" s="2" t="s">
        <v>72</v>
      </c>
      <c r="AQ619" s="2" t="s">
        <v>75</v>
      </c>
      <c r="AR619" s="2" t="s">
        <v>76</v>
      </c>
      <c r="AS619" s="1">
        <v>2841.0</v>
      </c>
      <c r="AT619" s="1">
        <v>2841.0</v>
      </c>
      <c r="AU619" s="1">
        <v>1165.0</v>
      </c>
      <c r="AV619" s="1">
        <v>40.0</v>
      </c>
      <c r="AW619" s="1">
        <v>166.0</v>
      </c>
      <c r="AX619" s="1">
        <v>6482.0</v>
      </c>
      <c r="AY619" s="1">
        <v>1094.0</v>
      </c>
      <c r="AZ619" s="1" t="s">
        <v>154</v>
      </c>
      <c r="BA619" s="1" t="s">
        <v>121</v>
      </c>
    </row>
    <row r="620">
      <c r="A620" s="1" t="s">
        <v>2157</v>
      </c>
      <c r="B620" s="1" t="s">
        <v>268</v>
      </c>
      <c r="C620" s="1">
        <v>2013.0</v>
      </c>
      <c r="D620" s="1" t="s">
        <v>970</v>
      </c>
      <c r="E620" s="1" t="s">
        <v>2158</v>
      </c>
      <c r="F620" s="3" t="s">
        <v>1947</v>
      </c>
      <c r="H620" s="1" t="s">
        <v>2159</v>
      </c>
      <c r="I620" s="1">
        <v>23.0</v>
      </c>
      <c r="K620" s="2" t="s">
        <v>2160</v>
      </c>
      <c r="L620" s="2" t="s">
        <v>60</v>
      </c>
      <c r="M620" s="1" t="s">
        <v>2171</v>
      </c>
      <c r="N620" s="1" t="s">
        <v>62</v>
      </c>
      <c r="O620" s="1" t="s">
        <v>112</v>
      </c>
      <c r="P620" s="1" t="s">
        <v>597</v>
      </c>
      <c r="Q620" s="1">
        <v>8.813</v>
      </c>
      <c r="R620" s="1">
        <v>-82.963</v>
      </c>
      <c r="S620" s="1" t="s">
        <v>148</v>
      </c>
      <c r="T620" s="2" t="s">
        <v>135</v>
      </c>
      <c r="U620" s="2" t="s">
        <v>540</v>
      </c>
      <c r="V620" s="3" t="s">
        <v>68</v>
      </c>
      <c r="W620" s="1" t="s">
        <v>1718</v>
      </c>
      <c r="X620" s="2" t="s">
        <v>72</v>
      </c>
      <c r="Y620" s="6" t="s">
        <v>76</v>
      </c>
      <c r="Z620" s="3" t="s">
        <v>76</v>
      </c>
      <c r="AA620" s="1">
        <v>1.0</v>
      </c>
      <c r="AJ620" s="1" t="s">
        <v>470</v>
      </c>
      <c r="AK620" s="1" t="s">
        <v>470</v>
      </c>
      <c r="AL620" s="2" t="s">
        <v>72</v>
      </c>
      <c r="AM620" s="2" t="s">
        <v>72</v>
      </c>
      <c r="AN620" s="2" t="s">
        <v>72</v>
      </c>
      <c r="AO620" s="2" t="s">
        <v>72</v>
      </c>
      <c r="AQ620" s="2" t="s">
        <v>75</v>
      </c>
      <c r="AR620" s="2" t="s">
        <v>76</v>
      </c>
      <c r="AS620" s="1">
        <v>2841.0</v>
      </c>
      <c r="AT620" s="1">
        <v>2841.0</v>
      </c>
      <c r="AU620" s="1">
        <v>1165.0</v>
      </c>
      <c r="AV620" s="1">
        <v>40.0</v>
      </c>
      <c r="AW620" s="1">
        <v>166.0</v>
      </c>
      <c r="AX620" s="1">
        <v>6482.0</v>
      </c>
      <c r="AY620" s="1">
        <v>1094.0</v>
      </c>
      <c r="AZ620" s="1" t="s">
        <v>154</v>
      </c>
      <c r="BA620" s="1" t="s">
        <v>121</v>
      </c>
    </row>
    <row r="621">
      <c r="A621" s="1" t="s">
        <v>2157</v>
      </c>
      <c r="B621" s="1" t="s">
        <v>268</v>
      </c>
      <c r="C621" s="1">
        <v>2013.0</v>
      </c>
      <c r="D621" s="1" t="s">
        <v>970</v>
      </c>
      <c r="E621" s="1" t="s">
        <v>2158</v>
      </c>
      <c r="F621" s="3" t="s">
        <v>1947</v>
      </c>
      <c r="H621" s="1" t="s">
        <v>2159</v>
      </c>
      <c r="I621" s="1">
        <v>23.0</v>
      </c>
      <c r="K621" s="2" t="s">
        <v>2160</v>
      </c>
      <c r="L621" s="2" t="s">
        <v>60</v>
      </c>
      <c r="M621" s="1" t="s">
        <v>2172</v>
      </c>
      <c r="N621" s="1" t="s">
        <v>62</v>
      </c>
      <c r="O621" s="1" t="s">
        <v>112</v>
      </c>
      <c r="P621" s="1" t="s">
        <v>597</v>
      </c>
      <c r="Q621" s="1">
        <v>8.813</v>
      </c>
      <c r="R621" s="1">
        <v>-82.963</v>
      </c>
      <c r="S621" s="1" t="s">
        <v>148</v>
      </c>
      <c r="T621" s="2" t="s">
        <v>135</v>
      </c>
      <c r="U621" s="2" t="s">
        <v>540</v>
      </c>
      <c r="V621" s="3" t="s">
        <v>68</v>
      </c>
      <c r="W621" s="1" t="s">
        <v>1718</v>
      </c>
      <c r="X621" s="2" t="s">
        <v>72</v>
      </c>
      <c r="Y621" s="6" t="s">
        <v>76</v>
      </c>
      <c r="Z621" s="3" t="s">
        <v>76</v>
      </c>
      <c r="AA621" s="1">
        <v>1.0</v>
      </c>
      <c r="AJ621" s="1" t="s">
        <v>470</v>
      </c>
      <c r="AK621" s="1" t="s">
        <v>470</v>
      </c>
      <c r="AL621" s="2" t="s">
        <v>72</v>
      </c>
      <c r="AM621" s="2" t="s">
        <v>72</v>
      </c>
      <c r="AN621" s="2" t="s">
        <v>72</v>
      </c>
      <c r="AO621" s="2" t="s">
        <v>72</v>
      </c>
      <c r="AQ621" s="2" t="s">
        <v>75</v>
      </c>
      <c r="AR621" s="2" t="s">
        <v>76</v>
      </c>
      <c r="AS621" s="1">
        <v>2841.0</v>
      </c>
      <c r="AT621" s="1">
        <v>2841.0</v>
      </c>
      <c r="AU621" s="1">
        <v>1165.0</v>
      </c>
      <c r="AV621" s="1">
        <v>40.0</v>
      </c>
      <c r="AW621" s="1">
        <v>166.0</v>
      </c>
      <c r="AX621" s="1">
        <v>6482.0</v>
      </c>
      <c r="AY621" s="1">
        <v>1094.0</v>
      </c>
      <c r="AZ621" s="1" t="s">
        <v>154</v>
      </c>
      <c r="BA621" s="1" t="s">
        <v>121</v>
      </c>
    </row>
    <row r="622">
      <c r="A622" s="1" t="s">
        <v>2157</v>
      </c>
      <c r="B622" s="1" t="s">
        <v>268</v>
      </c>
      <c r="C622" s="1">
        <v>2013.0</v>
      </c>
      <c r="D622" s="1" t="s">
        <v>970</v>
      </c>
      <c r="E622" s="1" t="s">
        <v>2158</v>
      </c>
      <c r="F622" s="3" t="s">
        <v>1947</v>
      </c>
      <c r="H622" s="1" t="s">
        <v>2159</v>
      </c>
      <c r="I622" s="1">
        <v>23.0</v>
      </c>
      <c r="K622" s="2" t="s">
        <v>2160</v>
      </c>
      <c r="L622" s="2" t="s">
        <v>60</v>
      </c>
      <c r="M622" s="1" t="s">
        <v>2173</v>
      </c>
      <c r="N622" s="1" t="s">
        <v>62</v>
      </c>
      <c r="O622" s="1" t="s">
        <v>112</v>
      </c>
      <c r="P622" s="1" t="s">
        <v>597</v>
      </c>
      <c r="Q622" s="1">
        <v>8.813</v>
      </c>
      <c r="R622" s="1">
        <v>-82.963</v>
      </c>
      <c r="S622" s="1" t="s">
        <v>148</v>
      </c>
      <c r="T622" s="2" t="s">
        <v>66</v>
      </c>
      <c r="U622" s="10" t="s">
        <v>1059</v>
      </c>
      <c r="V622" s="3" t="s">
        <v>116</v>
      </c>
      <c r="W622" s="1" t="s">
        <v>2174</v>
      </c>
      <c r="X622" s="2" t="s">
        <v>83</v>
      </c>
      <c r="Y622" s="5" t="s">
        <v>60</v>
      </c>
      <c r="Z622" s="3" t="s">
        <v>118</v>
      </c>
      <c r="AA622" s="1">
        <v>1.0</v>
      </c>
      <c r="AJ622" s="1" t="s">
        <v>470</v>
      </c>
      <c r="AK622" s="1" t="s">
        <v>470</v>
      </c>
      <c r="AL622" s="2" t="s">
        <v>72</v>
      </c>
      <c r="AM622" s="2" t="s">
        <v>72</v>
      </c>
      <c r="AN622" s="2" t="s">
        <v>72</v>
      </c>
      <c r="AO622" s="2" t="s">
        <v>72</v>
      </c>
      <c r="AQ622" s="2" t="s">
        <v>75</v>
      </c>
      <c r="AR622" s="2" t="s">
        <v>76</v>
      </c>
      <c r="AS622" s="1">
        <v>2841.0</v>
      </c>
      <c r="AT622" s="1">
        <v>2841.0</v>
      </c>
      <c r="AU622" s="1">
        <v>1165.0</v>
      </c>
      <c r="AV622" s="1">
        <v>40.0</v>
      </c>
      <c r="AW622" s="1">
        <v>166.0</v>
      </c>
      <c r="AX622" s="1">
        <v>6482.0</v>
      </c>
      <c r="AY622" s="1">
        <v>1094.0</v>
      </c>
      <c r="AZ622" s="1" t="s">
        <v>154</v>
      </c>
      <c r="BA622" s="1" t="s">
        <v>121</v>
      </c>
    </row>
    <row r="623">
      <c r="A623" s="1" t="s">
        <v>2157</v>
      </c>
      <c r="B623" s="1" t="s">
        <v>268</v>
      </c>
      <c r="C623" s="1">
        <v>2013.0</v>
      </c>
      <c r="D623" s="1" t="s">
        <v>970</v>
      </c>
      <c r="E623" s="1" t="s">
        <v>2158</v>
      </c>
      <c r="F623" s="3" t="s">
        <v>1947</v>
      </c>
      <c r="H623" s="1" t="s">
        <v>2159</v>
      </c>
      <c r="I623" s="1">
        <v>23.0</v>
      </c>
      <c r="K623" s="2" t="s">
        <v>2160</v>
      </c>
      <c r="L623" s="2" t="s">
        <v>60</v>
      </c>
      <c r="M623" s="1" t="s">
        <v>2175</v>
      </c>
      <c r="N623" s="1" t="s">
        <v>62</v>
      </c>
      <c r="O623" s="1" t="s">
        <v>112</v>
      </c>
      <c r="P623" s="1" t="s">
        <v>597</v>
      </c>
      <c r="Q623" s="1">
        <v>8.813</v>
      </c>
      <c r="R623" s="1">
        <v>-82.963</v>
      </c>
      <c r="S623" s="1" t="s">
        <v>148</v>
      </c>
      <c r="T623" s="2" t="s">
        <v>66</v>
      </c>
      <c r="U623" s="9" t="s">
        <v>1909</v>
      </c>
      <c r="V623" s="3" t="s">
        <v>116</v>
      </c>
      <c r="W623" s="1" t="s">
        <v>2174</v>
      </c>
      <c r="X623" s="2" t="s">
        <v>83</v>
      </c>
      <c r="Y623" s="5" t="s">
        <v>60</v>
      </c>
      <c r="Z623" s="3" t="s">
        <v>118</v>
      </c>
      <c r="AA623" s="1">
        <v>1.0</v>
      </c>
      <c r="AJ623" s="1" t="s">
        <v>470</v>
      </c>
      <c r="AK623" s="1" t="s">
        <v>470</v>
      </c>
      <c r="AL623" s="2" t="s">
        <v>72</v>
      </c>
      <c r="AM623" s="2" t="s">
        <v>72</v>
      </c>
      <c r="AN623" s="2" t="s">
        <v>72</v>
      </c>
      <c r="AO623" s="2" t="s">
        <v>72</v>
      </c>
      <c r="AQ623" s="2" t="s">
        <v>75</v>
      </c>
      <c r="AR623" s="2" t="s">
        <v>76</v>
      </c>
      <c r="AS623" s="1">
        <v>2841.0</v>
      </c>
      <c r="AT623" s="1">
        <v>2841.0</v>
      </c>
      <c r="AU623" s="1">
        <v>1165.0</v>
      </c>
      <c r="AV623" s="1">
        <v>40.0</v>
      </c>
      <c r="AW623" s="1">
        <v>166.0</v>
      </c>
      <c r="AX623" s="1">
        <v>6482.0</v>
      </c>
      <c r="AY623" s="1">
        <v>1094.0</v>
      </c>
      <c r="AZ623" s="1" t="s">
        <v>154</v>
      </c>
      <c r="BA623" s="1" t="s">
        <v>121</v>
      </c>
    </row>
    <row r="624">
      <c r="A624" s="1" t="s">
        <v>2157</v>
      </c>
      <c r="B624" s="1" t="s">
        <v>268</v>
      </c>
      <c r="C624" s="1">
        <v>2013.0</v>
      </c>
      <c r="D624" s="1" t="s">
        <v>970</v>
      </c>
      <c r="E624" s="1" t="s">
        <v>2158</v>
      </c>
      <c r="F624" s="3" t="s">
        <v>1947</v>
      </c>
      <c r="H624" s="1" t="s">
        <v>2159</v>
      </c>
      <c r="I624" s="1">
        <v>23.0</v>
      </c>
      <c r="K624" s="2" t="s">
        <v>2160</v>
      </c>
      <c r="L624" s="2" t="s">
        <v>60</v>
      </c>
      <c r="M624" s="1" t="s">
        <v>2176</v>
      </c>
      <c r="N624" s="1" t="s">
        <v>62</v>
      </c>
      <c r="O624" s="1" t="s">
        <v>112</v>
      </c>
      <c r="P624" s="1" t="s">
        <v>597</v>
      </c>
      <c r="Q624" s="1">
        <v>8.813</v>
      </c>
      <c r="R624" s="1">
        <v>-82.963</v>
      </c>
      <c r="S624" s="1" t="s">
        <v>148</v>
      </c>
      <c r="T624" s="2" t="s">
        <v>66</v>
      </c>
      <c r="U624" s="9" t="s">
        <v>1909</v>
      </c>
      <c r="V624" s="3" t="s">
        <v>116</v>
      </c>
      <c r="W624" s="1" t="s">
        <v>2174</v>
      </c>
      <c r="X624" s="2" t="s">
        <v>83</v>
      </c>
      <c r="Y624" s="5" t="s">
        <v>60</v>
      </c>
      <c r="Z624" s="3" t="s">
        <v>118</v>
      </c>
      <c r="AA624" s="1">
        <v>1.0</v>
      </c>
      <c r="AJ624" s="1" t="s">
        <v>470</v>
      </c>
      <c r="AK624" s="1" t="s">
        <v>470</v>
      </c>
      <c r="AL624" s="2" t="s">
        <v>72</v>
      </c>
      <c r="AM624" s="2" t="s">
        <v>72</v>
      </c>
      <c r="AN624" s="2" t="s">
        <v>72</v>
      </c>
      <c r="AO624" s="2" t="s">
        <v>72</v>
      </c>
      <c r="AQ624" s="2" t="s">
        <v>75</v>
      </c>
      <c r="AR624" s="2" t="s">
        <v>76</v>
      </c>
      <c r="AS624" s="1">
        <v>2841.0</v>
      </c>
      <c r="AT624" s="1">
        <v>2841.0</v>
      </c>
      <c r="AU624" s="1">
        <v>1165.0</v>
      </c>
      <c r="AV624" s="1">
        <v>40.0</v>
      </c>
      <c r="AW624" s="1">
        <v>166.0</v>
      </c>
      <c r="AX624" s="1">
        <v>6482.0</v>
      </c>
      <c r="AY624" s="1">
        <v>1094.0</v>
      </c>
      <c r="AZ624" s="1" t="s">
        <v>154</v>
      </c>
      <c r="BA624" s="1" t="s">
        <v>121</v>
      </c>
    </row>
    <row r="625">
      <c r="A625" s="1" t="s">
        <v>2157</v>
      </c>
      <c r="B625" s="1" t="s">
        <v>268</v>
      </c>
      <c r="C625" s="1">
        <v>2013.0</v>
      </c>
      <c r="D625" s="1" t="s">
        <v>970</v>
      </c>
      <c r="E625" s="1" t="s">
        <v>2158</v>
      </c>
      <c r="F625" s="3" t="s">
        <v>1947</v>
      </c>
      <c r="H625" s="1" t="s">
        <v>2159</v>
      </c>
      <c r="I625" s="1">
        <v>23.0</v>
      </c>
      <c r="K625" s="2" t="s">
        <v>2160</v>
      </c>
      <c r="L625" s="2" t="s">
        <v>60</v>
      </c>
      <c r="M625" s="1" t="s">
        <v>2177</v>
      </c>
      <c r="N625" s="1" t="s">
        <v>62</v>
      </c>
      <c r="O625" s="1" t="s">
        <v>112</v>
      </c>
      <c r="P625" s="1" t="s">
        <v>597</v>
      </c>
      <c r="Q625" s="1">
        <v>8.813</v>
      </c>
      <c r="R625" s="1">
        <v>-82.963</v>
      </c>
      <c r="S625" s="1" t="s">
        <v>148</v>
      </c>
      <c r="T625" s="2" t="s">
        <v>66</v>
      </c>
      <c r="U625" s="9" t="s">
        <v>1909</v>
      </c>
      <c r="V625" s="3" t="s">
        <v>116</v>
      </c>
      <c r="W625" s="1" t="s">
        <v>2174</v>
      </c>
      <c r="X625" s="2" t="s">
        <v>83</v>
      </c>
      <c r="Y625" s="5" t="s">
        <v>60</v>
      </c>
      <c r="Z625" s="3" t="s">
        <v>118</v>
      </c>
      <c r="AA625" s="1">
        <v>1.0</v>
      </c>
      <c r="AJ625" s="1" t="s">
        <v>470</v>
      </c>
      <c r="AK625" s="1" t="s">
        <v>470</v>
      </c>
      <c r="AL625" s="2" t="s">
        <v>72</v>
      </c>
      <c r="AM625" s="2" t="s">
        <v>72</v>
      </c>
      <c r="AN625" s="2" t="s">
        <v>72</v>
      </c>
      <c r="AO625" s="2" t="s">
        <v>72</v>
      </c>
      <c r="AQ625" s="2" t="s">
        <v>75</v>
      </c>
      <c r="AR625" s="2" t="s">
        <v>76</v>
      </c>
      <c r="AS625" s="1">
        <v>2841.0</v>
      </c>
      <c r="AT625" s="1">
        <v>2841.0</v>
      </c>
      <c r="AU625" s="1">
        <v>1165.0</v>
      </c>
      <c r="AV625" s="1">
        <v>40.0</v>
      </c>
      <c r="AW625" s="1">
        <v>166.0</v>
      </c>
      <c r="AX625" s="1">
        <v>6482.0</v>
      </c>
      <c r="AY625" s="1">
        <v>1094.0</v>
      </c>
      <c r="AZ625" s="1" t="s">
        <v>154</v>
      </c>
      <c r="BA625" s="1" t="s">
        <v>121</v>
      </c>
    </row>
    <row r="626">
      <c r="A626" s="1" t="s">
        <v>2157</v>
      </c>
      <c r="B626" s="1" t="s">
        <v>268</v>
      </c>
      <c r="C626" s="1">
        <v>2013.0</v>
      </c>
      <c r="D626" s="1" t="s">
        <v>970</v>
      </c>
      <c r="E626" s="1" t="s">
        <v>2158</v>
      </c>
      <c r="F626" s="3" t="s">
        <v>1947</v>
      </c>
      <c r="H626" s="1" t="s">
        <v>2159</v>
      </c>
      <c r="I626" s="1">
        <v>23.0</v>
      </c>
      <c r="K626" s="2" t="s">
        <v>2160</v>
      </c>
      <c r="L626" s="2" t="s">
        <v>60</v>
      </c>
      <c r="M626" s="1" t="s">
        <v>2178</v>
      </c>
      <c r="N626" s="1" t="s">
        <v>62</v>
      </c>
      <c r="O626" s="1" t="s">
        <v>112</v>
      </c>
      <c r="P626" s="1" t="s">
        <v>597</v>
      </c>
      <c r="Q626" s="1">
        <v>8.813</v>
      </c>
      <c r="R626" s="1">
        <v>-82.963</v>
      </c>
      <c r="S626" s="1" t="s">
        <v>148</v>
      </c>
      <c r="T626" s="2" t="s">
        <v>66</v>
      </c>
      <c r="U626" s="9" t="s">
        <v>1909</v>
      </c>
      <c r="V626" s="3" t="s">
        <v>116</v>
      </c>
      <c r="W626" s="1" t="s">
        <v>2174</v>
      </c>
      <c r="X626" s="2" t="s">
        <v>83</v>
      </c>
      <c r="Y626" s="5" t="s">
        <v>60</v>
      </c>
      <c r="Z626" s="3" t="s">
        <v>118</v>
      </c>
      <c r="AA626" s="1">
        <v>1.0</v>
      </c>
      <c r="AJ626" s="1" t="s">
        <v>470</v>
      </c>
      <c r="AK626" s="1" t="s">
        <v>470</v>
      </c>
      <c r="AL626" s="2" t="s">
        <v>72</v>
      </c>
      <c r="AM626" s="2" t="s">
        <v>72</v>
      </c>
      <c r="AN626" s="2" t="s">
        <v>72</v>
      </c>
      <c r="AO626" s="2" t="s">
        <v>72</v>
      </c>
      <c r="AQ626" s="2" t="s">
        <v>75</v>
      </c>
      <c r="AR626" s="2" t="s">
        <v>76</v>
      </c>
      <c r="AS626" s="1">
        <v>2841.0</v>
      </c>
      <c r="AT626" s="1">
        <v>2841.0</v>
      </c>
      <c r="AU626" s="1">
        <v>1165.0</v>
      </c>
      <c r="AV626" s="1">
        <v>40.0</v>
      </c>
      <c r="AW626" s="1">
        <v>166.0</v>
      </c>
      <c r="AX626" s="1">
        <v>6482.0</v>
      </c>
      <c r="AY626" s="1">
        <v>1094.0</v>
      </c>
      <c r="AZ626" s="1" t="s">
        <v>154</v>
      </c>
      <c r="BA626" s="1" t="s">
        <v>121</v>
      </c>
    </row>
    <row r="627">
      <c r="A627" s="1" t="s">
        <v>1626</v>
      </c>
      <c r="B627" s="1" t="s">
        <v>268</v>
      </c>
      <c r="C627" s="1">
        <v>2015.0</v>
      </c>
      <c r="D627" s="1" t="s">
        <v>1627</v>
      </c>
      <c r="E627" s="1" t="s">
        <v>1628</v>
      </c>
      <c r="F627" s="3" t="s">
        <v>1947</v>
      </c>
      <c r="H627" s="1" t="s">
        <v>1629</v>
      </c>
      <c r="I627" s="1">
        <v>25.0</v>
      </c>
      <c r="K627" s="2" t="s">
        <v>1630</v>
      </c>
      <c r="L627" s="2" t="s">
        <v>60</v>
      </c>
      <c r="M627" s="1" t="s">
        <v>2179</v>
      </c>
      <c r="N627" s="1" t="s">
        <v>62</v>
      </c>
      <c r="O627" s="1" t="s">
        <v>92</v>
      </c>
      <c r="P627" s="1" t="s">
        <v>1632</v>
      </c>
      <c r="Q627" s="1">
        <v>15.149667</v>
      </c>
      <c r="R627" s="1">
        <v>-92.751</v>
      </c>
      <c r="S627" s="1" t="s">
        <v>1108</v>
      </c>
      <c r="T627" s="2" t="s">
        <v>66</v>
      </c>
      <c r="U627" s="2" t="s">
        <v>2180</v>
      </c>
      <c r="V627" s="3" t="s">
        <v>171</v>
      </c>
      <c r="W627" s="1" t="s">
        <v>2181</v>
      </c>
      <c r="X627" s="1" t="s">
        <v>70</v>
      </c>
      <c r="Y627" s="5" t="s">
        <v>60</v>
      </c>
      <c r="Z627" s="3" t="s">
        <v>345</v>
      </c>
      <c r="AB627" s="1">
        <v>4.0</v>
      </c>
      <c r="AI627" s="1" t="s">
        <v>1633</v>
      </c>
      <c r="AJ627" s="1">
        <v>-4200.0</v>
      </c>
      <c r="AK627" s="1">
        <v>1100.0</v>
      </c>
      <c r="AL627" s="2" t="s">
        <v>73</v>
      </c>
      <c r="AM627" s="2" t="s">
        <v>72</v>
      </c>
      <c r="AN627" s="2" t="s">
        <v>132</v>
      </c>
      <c r="AO627" s="2" t="s">
        <v>60</v>
      </c>
      <c r="AQ627" s="2" t="s">
        <v>75</v>
      </c>
      <c r="AR627" s="2" t="s">
        <v>76</v>
      </c>
      <c r="AS627" s="1">
        <v>1799.0</v>
      </c>
      <c r="AT627" s="1">
        <v>1799.0</v>
      </c>
      <c r="AU627" s="1">
        <v>961.0</v>
      </c>
      <c r="AV627" s="1">
        <v>2.0</v>
      </c>
      <c r="AW627" s="1">
        <v>12.0</v>
      </c>
      <c r="AX627" s="1">
        <v>9833.0</v>
      </c>
      <c r="AY627" s="1">
        <v>1.0</v>
      </c>
      <c r="AZ627" s="1" t="s">
        <v>1162</v>
      </c>
      <c r="BA627" s="1" t="s">
        <v>659</v>
      </c>
    </row>
    <row r="628">
      <c r="A628" s="1" t="s">
        <v>2182</v>
      </c>
      <c r="B628" s="1" t="s">
        <v>268</v>
      </c>
      <c r="C628" s="1">
        <v>2016.0</v>
      </c>
      <c r="D628" s="1" t="s">
        <v>2183</v>
      </c>
      <c r="E628" s="1" t="s">
        <v>2184</v>
      </c>
      <c r="F628" s="3" t="s">
        <v>560</v>
      </c>
      <c r="H628" s="1" t="s">
        <v>2185</v>
      </c>
      <c r="I628" s="1">
        <v>138.0</v>
      </c>
      <c r="K628" s="2" t="s">
        <v>2186</v>
      </c>
      <c r="L628" s="2" t="s">
        <v>60</v>
      </c>
      <c r="M628" s="1" t="s">
        <v>2187</v>
      </c>
      <c r="N628" s="1" t="s">
        <v>62</v>
      </c>
      <c r="O628" s="1" t="s">
        <v>167</v>
      </c>
      <c r="P628" s="1" t="s">
        <v>588</v>
      </c>
      <c r="Q628" s="1">
        <v>17.533333</v>
      </c>
      <c r="R628" s="1">
        <v>-90.183333</v>
      </c>
      <c r="S628" s="1" t="s">
        <v>148</v>
      </c>
      <c r="T628" s="2" t="s">
        <v>95</v>
      </c>
      <c r="U628" s="2" t="s">
        <v>96</v>
      </c>
      <c r="V628" s="3" t="s">
        <v>97</v>
      </c>
      <c r="W628" s="2" t="s">
        <v>72</v>
      </c>
      <c r="X628" s="2" t="s">
        <v>728</v>
      </c>
      <c r="Y628" s="6" t="s">
        <v>76</v>
      </c>
      <c r="Z628" s="3" t="s">
        <v>76</v>
      </c>
      <c r="AB628" s="1">
        <v>7.0</v>
      </c>
      <c r="AI628" s="2" t="s">
        <v>72</v>
      </c>
      <c r="AJ628" s="1">
        <v>-7000.0</v>
      </c>
      <c r="AK628" s="1">
        <v>2003.0</v>
      </c>
      <c r="AL628" s="2" t="s">
        <v>73</v>
      </c>
      <c r="AM628" s="3" t="s">
        <v>72</v>
      </c>
      <c r="AN628" s="2" t="s">
        <v>72</v>
      </c>
      <c r="AO628" s="2" t="s">
        <v>72</v>
      </c>
      <c r="AQ628" s="2" t="s">
        <v>102</v>
      </c>
      <c r="AR628" s="2" t="s">
        <v>76</v>
      </c>
      <c r="AS628" s="1">
        <v>1598.0</v>
      </c>
      <c r="AT628" s="1">
        <v>1598.0</v>
      </c>
      <c r="AU628" s="1">
        <v>686.0</v>
      </c>
      <c r="AV628" s="1">
        <v>33.0</v>
      </c>
      <c r="AW628" s="1">
        <v>119.0</v>
      </c>
      <c r="AX628" s="1">
        <v>6059.0</v>
      </c>
      <c r="AY628" s="1">
        <v>238.0</v>
      </c>
      <c r="AZ628" s="1" t="s">
        <v>133</v>
      </c>
      <c r="BA628" s="1" t="s">
        <v>121</v>
      </c>
    </row>
    <row r="629">
      <c r="A629" s="1" t="s">
        <v>2182</v>
      </c>
      <c r="B629" s="1" t="s">
        <v>268</v>
      </c>
      <c r="C629" s="1">
        <v>2016.0</v>
      </c>
      <c r="D629" s="1" t="s">
        <v>2183</v>
      </c>
      <c r="E629" s="1" t="s">
        <v>2184</v>
      </c>
      <c r="F629" s="3" t="s">
        <v>560</v>
      </c>
      <c r="H629" s="1" t="s">
        <v>2185</v>
      </c>
      <c r="I629" s="1">
        <v>138.0</v>
      </c>
      <c r="K629" s="2" t="s">
        <v>2186</v>
      </c>
      <c r="L629" s="2" t="s">
        <v>60</v>
      </c>
      <c r="M629" s="1" t="s">
        <v>2188</v>
      </c>
      <c r="N629" s="1" t="s">
        <v>62</v>
      </c>
      <c r="O629" s="1" t="s">
        <v>167</v>
      </c>
      <c r="P629" s="1" t="s">
        <v>2189</v>
      </c>
      <c r="Q629" s="1">
        <v>17.8</v>
      </c>
      <c r="R629" s="1">
        <v>-90.116667</v>
      </c>
      <c r="S629" s="1" t="s">
        <v>148</v>
      </c>
      <c r="T629" s="2" t="s">
        <v>66</v>
      </c>
      <c r="U629" s="3" t="s">
        <v>67</v>
      </c>
      <c r="V629" s="3" t="s">
        <v>68</v>
      </c>
      <c r="W629" s="1" t="s">
        <v>589</v>
      </c>
      <c r="X629" s="1" t="s">
        <v>70</v>
      </c>
      <c r="Y629" s="5" t="s">
        <v>60</v>
      </c>
      <c r="Z629" s="3" t="s">
        <v>345</v>
      </c>
      <c r="AB629" s="1">
        <v>9.0</v>
      </c>
      <c r="AI629" s="2" t="s">
        <v>72</v>
      </c>
      <c r="AJ629" s="1">
        <v>-7800.0</v>
      </c>
      <c r="AK629" s="1">
        <v>2001.0</v>
      </c>
      <c r="AL629" s="2" t="s">
        <v>153</v>
      </c>
      <c r="AM629" s="3" t="s">
        <v>72</v>
      </c>
      <c r="AN629" s="2" t="s">
        <v>72</v>
      </c>
      <c r="AO629" s="2" t="s">
        <v>72</v>
      </c>
      <c r="AQ629" s="2" t="s">
        <v>102</v>
      </c>
      <c r="AR629" s="2" t="s">
        <v>76</v>
      </c>
      <c r="AS629" s="1">
        <v>1414.0</v>
      </c>
      <c r="AT629" s="1">
        <v>1414.0</v>
      </c>
      <c r="AU629" s="1">
        <v>624.0</v>
      </c>
      <c r="AV629" s="1">
        <v>32.0</v>
      </c>
      <c r="AW629" s="1">
        <v>106.0</v>
      </c>
      <c r="AX629" s="1">
        <v>6224.0</v>
      </c>
      <c r="AY629" s="1">
        <v>206.0</v>
      </c>
      <c r="AZ629" s="1" t="s">
        <v>133</v>
      </c>
      <c r="BA629" s="1" t="s">
        <v>121</v>
      </c>
    </row>
    <row r="630">
      <c r="A630" s="1" t="s">
        <v>2182</v>
      </c>
      <c r="B630" s="1" t="s">
        <v>268</v>
      </c>
      <c r="C630" s="1">
        <v>2016.0</v>
      </c>
      <c r="D630" s="1" t="s">
        <v>2183</v>
      </c>
      <c r="E630" s="1" t="s">
        <v>2184</v>
      </c>
      <c r="F630" s="3" t="s">
        <v>560</v>
      </c>
      <c r="H630" s="1" t="s">
        <v>2185</v>
      </c>
      <c r="I630" s="1">
        <v>138.0</v>
      </c>
      <c r="K630" s="2" t="s">
        <v>2186</v>
      </c>
      <c r="L630" s="2" t="s">
        <v>60</v>
      </c>
      <c r="M630" s="1" t="s">
        <v>2190</v>
      </c>
      <c r="N630" s="1" t="s">
        <v>62</v>
      </c>
      <c r="O630" s="1" t="s">
        <v>167</v>
      </c>
      <c r="P630" s="1" t="s">
        <v>588</v>
      </c>
      <c r="Q630" s="1">
        <v>17.533333</v>
      </c>
      <c r="R630" s="1">
        <v>-90.183333</v>
      </c>
      <c r="S630" s="1" t="s">
        <v>148</v>
      </c>
      <c r="T630" s="2" t="s">
        <v>66</v>
      </c>
      <c r="U630" s="3" t="s">
        <v>67</v>
      </c>
      <c r="V630" s="3" t="s">
        <v>68</v>
      </c>
      <c r="W630" s="1" t="s">
        <v>589</v>
      </c>
      <c r="X630" s="1" t="s">
        <v>70</v>
      </c>
      <c r="Y630" s="5" t="s">
        <v>60</v>
      </c>
      <c r="Z630" s="3" t="s">
        <v>345</v>
      </c>
      <c r="AB630" s="1">
        <v>7.0</v>
      </c>
      <c r="AI630" s="2" t="s">
        <v>72</v>
      </c>
      <c r="AJ630" s="1">
        <v>-7000.0</v>
      </c>
      <c r="AK630" s="1">
        <v>2003.0</v>
      </c>
      <c r="AL630" s="2" t="s">
        <v>73</v>
      </c>
      <c r="AM630" s="3" t="s">
        <v>72</v>
      </c>
      <c r="AN630" s="2" t="s">
        <v>72</v>
      </c>
      <c r="AO630" s="2" t="s">
        <v>72</v>
      </c>
      <c r="AQ630" s="2" t="s">
        <v>102</v>
      </c>
      <c r="AR630" s="2" t="s">
        <v>76</v>
      </c>
      <c r="AS630" s="1">
        <v>1598.0</v>
      </c>
      <c r="AT630" s="1">
        <v>1598.0</v>
      </c>
      <c r="AU630" s="1">
        <v>686.0</v>
      </c>
      <c r="AV630" s="1">
        <v>33.0</v>
      </c>
      <c r="AW630" s="1">
        <v>119.0</v>
      </c>
      <c r="AX630" s="1">
        <v>6059.0</v>
      </c>
      <c r="AY630" s="1">
        <v>238.0</v>
      </c>
      <c r="AZ630" s="1" t="s">
        <v>133</v>
      </c>
      <c r="BA630" s="1" t="s">
        <v>121</v>
      </c>
    </row>
    <row r="631">
      <c r="A631" s="1" t="s">
        <v>2182</v>
      </c>
      <c r="B631" s="1" t="s">
        <v>268</v>
      </c>
      <c r="C631" s="1">
        <v>2016.0</v>
      </c>
      <c r="D631" s="1" t="s">
        <v>2183</v>
      </c>
      <c r="E631" s="1" t="s">
        <v>2184</v>
      </c>
      <c r="F631" s="3" t="s">
        <v>560</v>
      </c>
      <c r="H631" s="1" t="s">
        <v>2185</v>
      </c>
      <c r="I631" s="1">
        <v>138.0</v>
      </c>
      <c r="K631" s="2" t="s">
        <v>2186</v>
      </c>
      <c r="L631" s="2" t="s">
        <v>60</v>
      </c>
      <c r="M631" s="1" t="s">
        <v>2191</v>
      </c>
      <c r="N631" s="1" t="s">
        <v>62</v>
      </c>
      <c r="O631" s="1" t="s">
        <v>167</v>
      </c>
      <c r="P631" s="1" t="s">
        <v>2189</v>
      </c>
      <c r="Q631" s="1">
        <v>17.8</v>
      </c>
      <c r="R631" s="1">
        <v>-90.116667</v>
      </c>
      <c r="S631" s="1" t="s">
        <v>148</v>
      </c>
      <c r="T631" s="2" t="s">
        <v>321</v>
      </c>
      <c r="U631" s="3" t="s">
        <v>81</v>
      </c>
      <c r="V631" s="3" t="s">
        <v>68</v>
      </c>
      <c r="W631" s="1" t="s">
        <v>2192</v>
      </c>
      <c r="X631" s="1" t="s">
        <v>2193</v>
      </c>
      <c r="Y631" s="6" t="s">
        <v>76</v>
      </c>
      <c r="Z631" s="3" t="s">
        <v>84</v>
      </c>
      <c r="AB631" s="1">
        <v>9.0</v>
      </c>
      <c r="AI631" s="2" t="s">
        <v>72</v>
      </c>
      <c r="AJ631" s="1">
        <v>-7800.0</v>
      </c>
      <c r="AK631" s="1">
        <v>2001.0</v>
      </c>
      <c r="AL631" s="2" t="s">
        <v>153</v>
      </c>
      <c r="AM631" s="3" t="s">
        <v>72</v>
      </c>
      <c r="AN631" s="2" t="s">
        <v>72</v>
      </c>
      <c r="AO631" s="2" t="s">
        <v>72</v>
      </c>
      <c r="AQ631" s="2" t="s">
        <v>102</v>
      </c>
      <c r="AR631" s="2" t="s">
        <v>76</v>
      </c>
      <c r="AS631" s="1">
        <v>1414.0</v>
      </c>
      <c r="AT631" s="1">
        <v>1414.0</v>
      </c>
      <c r="AU631" s="1">
        <v>624.0</v>
      </c>
      <c r="AV631" s="1">
        <v>32.0</v>
      </c>
      <c r="AW631" s="1">
        <v>106.0</v>
      </c>
      <c r="AX631" s="1">
        <v>6224.0</v>
      </c>
      <c r="AY631" s="1">
        <v>206.0</v>
      </c>
      <c r="AZ631" s="1" t="s">
        <v>133</v>
      </c>
      <c r="BA631" s="1" t="s">
        <v>121</v>
      </c>
    </row>
    <row r="632">
      <c r="A632" s="1" t="s">
        <v>2182</v>
      </c>
      <c r="B632" s="1" t="s">
        <v>268</v>
      </c>
      <c r="C632" s="1">
        <v>2016.0</v>
      </c>
      <c r="D632" s="1" t="s">
        <v>2183</v>
      </c>
      <c r="E632" s="1" t="s">
        <v>2184</v>
      </c>
      <c r="F632" s="3" t="s">
        <v>560</v>
      </c>
      <c r="H632" s="1" t="s">
        <v>2185</v>
      </c>
      <c r="I632" s="1">
        <v>138.0</v>
      </c>
      <c r="K632" s="2" t="s">
        <v>2186</v>
      </c>
      <c r="L632" s="2" t="s">
        <v>60</v>
      </c>
      <c r="M632" s="1" t="s">
        <v>2194</v>
      </c>
      <c r="N632" s="1" t="s">
        <v>62</v>
      </c>
      <c r="O632" s="1" t="s">
        <v>167</v>
      </c>
      <c r="P632" s="1" t="s">
        <v>588</v>
      </c>
      <c r="Q632" s="1">
        <v>17.533333</v>
      </c>
      <c r="R632" s="1">
        <v>-90.183333</v>
      </c>
      <c r="S632" s="1" t="s">
        <v>148</v>
      </c>
      <c r="T632" s="2" t="s">
        <v>321</v>
      </c>
      <c r="U632" s="3" t="s">
        <v>81</v>
      </c>
      <c r="V632" s="3" t="s">
        <v>68</v>
      </c>
      <c r="W632" s="1" t="s">
        <v>2195</v>
      </c>
      <c r="X632" s="1" t="s">
        <v>2193</v>
      </c>
      <c r="Y632" s="6" t="s">
        <v>76</v>
      </c>
      <c r="Z632" s="3" t="s">
        <v>84</v>
      </c>
      <c r="AB632" s="1">
        <v>7.0</v>
      </c>
      <c r="AI632" s="2" t="s">
        <v>72</v>
      </c>
      <c r="AJ632" s="1">
        <v>-7000.0</v>
      </c>
      <c r="AK632" s="1">
        <v>2003.0</v>
      </c>
      <c r="AL632" s="2" t="s">
        <v>73</v>
      </c>
      <c r="AM632" s="3" t="s">
        <v>72</v>
      </c>
      <c r="AN632" s="2" t="s">
        <v>72</v>
      </c>
      <c r="AO632" s="2" t="s">
        <v>72</v>
      </c>
      <c r="AQ632" s="2" t="s">
        <v>102</v>
      </c>
      <c r="AR632" s="2" t="s">
        <v>76</v>
      </c>
      <c r="AS632" s="1">
        <v>1598.0</v>
      </c>
      <c r="AT632" s="1">
        <v>1598.0</v>
      </c>
      <c r="AU632" s="1">
        <v>686.0</v>
      </c>
      <c r="AV632" s="1">
        <v>33.0</v>
      </c>
      <c r="AW632" s="1">
        <v>119.0</v>
      </c>
      <c r="AX632" s="1">
        <v>6059.0</v>
      </c>
      <c r="AY632" s="1">
        <v>238.0</v>
      </c>
      <c r="AZ632" s="1" t="s">
        <v>133</v>
      </c>
      <c r="BA632" s="1" t="s">
        <v>121</v>
      </c>
    </row>
    <row r="633">
      <c r="A633" s="1" t="s">
        <v>2196</v>
      </c>
      <c r="B633" s="1" t="s">
        <v>268</v>
      </c>
      <c r="C633" s="1">
        <v>2016.0</v>
      </c>
      <c r="D633" s="1" t="s">
        <v>2197</v>
      </c>
      <c r="E633" s="1" t="s">
        <v>2198</v>
      </c>
      <c r="F633" s="3" t="s">
        <v>827</v>
      </c>
      <c r="H633" s="1" t="s">
        <v>2199</v>
      </c>
      <c r="I633" s="1">
        <v>31.0</v>
      </c>
      <c r="K633" s="2" t="s">
        <v>2200</v>
      </c>
      <c r="L633" s="2" t="s">
        <v>60</v>
      </c>
      <c r="M633" s="1" t="s">
        <v>2201</v>
      </c>
      <c r="N633" s="1" t="s">
        <v>62</v>
      </c>
      <c r="O633" s="1" t="s">
        <v>146</v>
      </c>
      <c r="P633" s="1" t="s">
        <v>2202</v>
      </c>
      <c r="Q633" s="1">
        <v>8.625678</v>
      </c>
      <c r="R633" s="1">
        <v>-80.051178</v>
      </c>
      <c r="S633" s="1" t="s">
        <v>148</v>
      </c>
      <c r="T633" s="2" t="s">
        <v>149</v>
      </c>
      <c r="U633" s="2" t="s">
        <v>96</v>
      </c>
      <c r="V633" s="3" t="s">
        <v>97</v>
      </c>
      <c r="W633" s="1" t="s">
        <v>264</v>
      </c>
      <c r="X633" s="1" t="s">
        <v>70</v>
      </c>
      <c r="Y633" s="6" t="s">
        <v>76</v>
      </c>
      <c r="Z633" s="3" t="s">
        <v>76</v>
      </c>
      <c r="AB633" s="1">
        <v>5.0</v>
      </c>
      <c r="AI633" s="2" t="s">
        <v>72</v>
      </c>
      <c r="AJ633" s="1">
        <v>900.0</v>
      </c>
      <c r="AK633" s="1">
        <v>2012.0</v>
      </c>
      <c r="AL633" s="2" t="s">
        <v>73</v>
      </c>
      <c r="AM633" s="2" t="s">
        <v>72</v>
      </c>
      <c r="AN633" s="2" t="s">
        <v>132</v>
      </c>
      <c r="AO633" s="2" t="s">
        <v>72</v>
      </c>
      <c r="AQ633" s="2" t="s">
        <v>102</v>
      </c>
      <c r="AR633" s="2" t="s">
        <v>76</v>
      </c>
      <c r="AS633" s="1">
        <v>2261.0</v>
      </c>
      <c r="AT633" s="1">
        <v>2261.0</v>
      </c>
      <c r="AU633" s="1">
        <v>1042.0</v>
      </c>
      <c r="AV633" s="1">
        <v>7.0</v>
      </c>
      <c r="AW633" s="1">
        <v>67.0</v>
      </c>
      <c r="AX633" s="1">
        <v>7174.0</v>
      </c>
      <c r="AY633" s="1">
        <v>843.0</v>
      </c>
      <c r="AZ633" s="1" t="s">
        <v>281</v>
      </c>
      <c r="BA633" s="1" t="s">
        <v>121</v>
      </c>
    </row>
    <row r="634">
      <c r="A634" s="1" t="s">
        <v>2196</v>
      </c>
      <c r="B634" s="1" t="s">
        <v>268</v>
      </c>
      <c r="C634" s="1">
        <v>2016.0</v>
      </c>
      <c r="D634" s="1" t="s">
        <v>2197</v>
      </c>
      <c r="E634" s="1" t="s">
        <v>2198</v>
      </c>
      <c r="F634" s="3" t="s">
        <v>827</v>
      </c>
      <c r="H634" s="1" t="s">
        <v>2199</v>
      </c>
      <c r="I634" s="1">
        <v>31.0</v>
      </c>
      <c r="K634" s="2" t="s">
        <v>2200</v>
      </c>
      <c r="L634" s="2" t="s">
        <v>60</v>
      </c>
      <c r="M634" s="1" t="s">
        <v>2203</v>
      </c>
      <c r="N634" s="1" t="s">
        <v>62</v>
      </c>
      <c r="O634" s="1" t="s">
        <v>146</v>
      </c>
      <c r="P634" s="1" t="s">
        <v>2202</v>
      </c>
      <c r="Q634" s="1">
        <v>8.625678</v>
      </c>
      <c r="R634" s="1">
        <v>-80.051178</v>
      </c>
      <c r="S634" s="1" t="s">
        <v>148</v>
      </c>
      <c r="T634" s="2" t="s">
        <v>135</v>
      </c>
      <c r="U634" s="2" t="s">
        <v>1073</v>
      </c>
      <c r="V634" s="3" t="s">
        <v>788</v>
      </c>
      <c r="W634" s="1" t="s">
        <v>2204</v>
      </c>
      <c r="X634" s="1" t="s">
        <v>256</v>
      </c>
      <c r="Y634" s="6" t="s">
        <v>76</v>
      </c>
      <c r="Z634" s="3" t="s">
        <v>76</v>
      </c>
      <c r="AB634" s="1">
        <v>5.0</v>
      </c>
      <c r="AI634" s="2" t="s">
        <v>72</v>
      </c>
      <c r="AJ634" s="1">
        <v>900.0</v>
      </c>
      <c r="AK634" s="1">
        <v>2012.0</v>
      </c>
      <c r="AL634" s="2" t="s">
        <v>73</v>
      </c>
      <c r="AM634" s="2" t="s">
        <v>72</v>
      </c>
      <c r="AN634" s="2" t="s">
        <v>132</v>
      </c>
      <c r="AO634" s="2" t="s">
        <v>72</v>
      </c>
      <c r="AQ634" s="2" t="s">
        <v>102</v>
      </c>
      <c r="AR634" s="2" t="s">
        <v>76</v>
      </c>
      <c r="AS634" s="1">
        <v>2261.0</v>
      </c>
      <c r="AT634" s="1">
        <v>2261.0</v>
      </c>
      <c r="AU634" s="1">
        <v>1042.0</v>
      </c>
      <c r="AV634" s="1">
        <v>7.0</v>
      </c>
      <c r="AW634" s="1">
        <v>67.0</v>
      </c>
      <c r="AX634" s="1">
        <v>7174.0</v>
      </c>
      <c r="AY634" s="1">
        <v>843.0</v>
      </c>
      <c r="AZ634" s="1" t="s">
        <v>281</v>
      </c>
      <c r="BA634" s="1" t="s">
        <v>121</v>
      </c>
    </row>
    <row r="635">
      <c r="A635" s="1" t="s">
        <v>2196</v>
      </c>
      <c r="B635" s="1" t="s">
        <v>268</v>
      </c>
      <c r="C635" s="1">
        <v>2016.0</v>
      </c>
      <c r="D635" s="1" t="s">
        <v>2197</v>
      </c>
      <c r="E635" s="1" t="s">
        <v>2198</v>
      </c>
      <c r="F635" s="3" t="s">
        <v>827</v>
      </c>
      <c r="H635" s="1" t="s">
        <v>2199</v>
      </c>
      <c r="I635" s="1">
        <v>31.0</v>
      </c>
      <c r="K635" s="2" t="s">
        <v>2200</v>
      </c>
      <c r="L635" s="2" t="s">
        <v>60</v>
      </c>
      <c r="M635" s="1" t="s">
        <v>2205</v>
      </c>
      <c r="N635" s="1" t="s">
        <v>62</v>
      </c>
      <c r="O635" s="1" t="s">
        <v>146</v>
      </c>
      <c r="P635" s="1" t="s">
        <v>2202</v>
      </c>
      <c r="Q635" s="1">
        <v>8.625678</v>
      </c>
      <c r="R635" s="1">
        <v>-80.051178</v>
      </c>
      <c r="S635" s="1" t="s">
        <v>148</v>
      </c>
      <c r="T635" s="2" t="s">
        <v>66</v>
      </c>
      <c r="U635" s="3" t="s">
        <v>314</v>
      </c>
      <c r="V635" s="3" t="s">
        <v>171</v>
      </c>
      <c r="W635" s="1" t="s">
        <v>589</v>
      </c>
      <c r="X635" s="1" t="s">
        <v>70</v>
      </c>
      <c r="Y635" s="6" t="s">
        <v>60</v>
      </c>
      <c r="Z635" s="3" t="s">
        <v>345</v>
      </c>
      <c r="AB635" s="1">
        <v>5.0</v>
      </c>
      <c r="AI635" s="2" t="s">
        <v>72</v>
      </c>
      <c r="AJ635" s="1">
        <v>900.0</v>
      </c>
      <c r="AK635" s="1">
        <v>2012.0</v>
      </c>
      <c r="AL635" s="2" t="s">
        <v>73</v>
      </c>
      <c r="AM635" s="2" t="s">
        <v>72</v>
      </c>
      <c r="AN635" s="2" t="s">
        <v>132</v>
      </c>
      <c r="AO635" s="2" t="s">
        <v>72</v>
      </c>
      <c r="AQ635" s="2" t="s">
        <v>102</v>
      </c>
      <c r="AR635" s="2" t="s">
        <v>76</v>
      </c>
      <c r="AS635" s="1">
        <v>2261.0</v>
      </c>
      <c r="AT635" s="1">
        <v>2261.0</v>
      </c>
      <c r="AU635" s="1">
        <v>1042.0</v>
      </c>
      <c r="AV635" s="1">
        <v>7.0</v>
      </c>
      <c r="AW635" s="1">
        <v>67.0</v>
      </c>
      <c r="AX635" s="1">
        <v>7174.0</v>
      </c>
      <c r="AY635" s="1">
        <v>843.0</v>
      </c>
      <c r="AZ635" s="1" t="s">
        <v>281</v>
      </c>
      <c r="BA635" s="1" t="s">
        <v>121</v>
      </c>
    </row>
    <row r="636">
      <c r="A636" s="1" t="s">
        <v>2196</v>
      </c>
      <c r="B636" s="1" t="s">
        <v>268</v>
      </c>
      <c r="C636" s="1">
        <v>2016.0</v>
      </c>
      <c r="D636" s="1" t="s">
        <v>2197</v>
      </c>
      <c r="E636" s="1" t="s">
        <v>2198</v>
      </c>
      <c r="F636" s="3" t="s">
        <v>827</v>
      </c>
      <c r="H636" s="1" t="s">
        <v>2199</v>
      </c>
      <c r="I636" s="1">
        <v>31.0</v>
      </c>
      <c r="K636" s="2" t="s">
        <v>2200</v>
      </c>
      <c r="L636" s="2" t="s">
        <v>60</v>
      </c>
      <c r="M636" s="1" t="s">
        <v>2206</v>
      </c>
      <c r="N636" s="1" t="s">
        <v>62</v>
      </c>
      <c r="O636" s="1" t="s">
        <v>146</v>
      </c>
      <c r="P636" s="1" t="s">
        <v>2202</v>
      </c>
      <c r="Q636" s="1">
        <v>8.625678</v>
      </c>
      <c r="R636" s="1">
        <v>-80.051178</v>
      </c>
      <c r="S636" s="1" t="s">
        <v>148</v>
      </c>
      <c r="T636" s="2" t="s">
        <v>80</v>
      </c>
      <c r="U636" s="3" t="s">
        <v>81</v>
      </c>
      <c r="V636" s="3" t="s">
        <v>171</v>
      </c>
      <c r="W636" s="1" t="s">
        <v>2207</v>
      </c>
      <c r="X636" s="2" t="s">
        <v>158</v>
      </c>
      <c r="Y636" s="6" t="s">
        <v>76</v>
      </c>
      <c r="Z636" s="3" t="s">
        <v>84</v>
      </c>
      <c r="AB636" s="1">
        <v>5.0</v>
      </c>
      <c r="AI636" s="2" t="s">
        <v>72</v>
      </c>
      <c r="AJ636" s="1">
        <v>900.0</v>
      </c>
      <c r="AK636" s="1">
        <v>2012.0</v>
      </c>
      <c r="AL636" s="2" t="s">
        <v>73</v>
      </c>
      <c r="AM636" s="2" t="s">
        <v>72</v>
      </c>
      <c r="AN636" s="2" t="s">
        <v>132</v>
      </c>
      <c r="AO636" s="2" t="s">
        <v>72</v>
      </c>
      <c r="AQ636" s="2" t="s">
        <v>102</v>
      </c>
      <c r="AR636" s="2" t="s">
        <v>76</v>
      </c>
      <c r="AS636" s="1">
        <v>2261.0</v>
      </c>
      <c r="AT636" s="1">
        <v>2261.0</v>
      </c>
      <c r="AU636" s="1">
        <v>1042.0</v>
      </c>
      <c r="AV636" s="1">
        <v>7.0</v>
      </c>
      <c r="AW636" s="1">
        <v>67.0</v>
      </c>
      <c r="AX636" s="1">
        <v>7174.0</v>
      </c>
      <c r="AY636" s="1">
        <v>843.0</v>
      </c>
      <c r="AZ636" s="1" t="s">
        <v>281</v>
      </c>
      <c r="BA636" s="1" t="s">
        <v>121</v>
      </c>
    </row>
    <row r="637">
      <c r="A637" s="1" t="s">
        <v>2208</v>
      </c>
      <c r="B637" s="1" t="s">
        <v>53</v>
      </c>
      <c r="C637" s="1">
        <v>2016.0</v>
      </c>
      <c r="D637" s="1" t="s">
        <v>2209</v>
      </c>
      <c r="E637" s="1" t="s">
        <v>2210</v>
      </c>
      <c r="F637" s="3" t="s">
        <v>560</v>
      </c>
      <c r="H637" s="1" t="s">
        <v>2211</v>
      </c>
      <c r="I637" s="1">
        <v>138.0</v>
      </c>
      <c r="K637" s="2" t="s">
        <v>2212</v>
      </c>
      <c r="L637" s="2" t="s">
        <v>60</v>
      </c>
      <c r="M637" s="1" t="s">
        <v>2213</v>
      </c>
      <c r="N637" s="1" t="s">
        <v>62</v>
      </c>
      <c r="O637" s="1" t="s">
        <v>167</v>
      </c>
      <c r="P637" s="1" t="s">
        <v>2189</v>
      </c>
      <c r="Q637" s="1">
        <v>17.815556</v>
      </c>
      <c r="R637" s="1">
        <v>-90.120833</v>
      </c>
      <c r="S637" s="1" t="s">
        <v>148</v>
      </c>
      <c r="T637" s="2" t="s">
        <v>66</v>
      </c>
      <c r="U637" s="3" t="s">
        <v>513</v>
      </c>
      <c r="V637" s="3" t="s">
        <v>171</v>
      </c>
      <c r="W637" s="1" t="s">
        <v>589</v>
      </c>
      <c r="X637" s="1" t="s">
        <v>70</v>
      </c>
      <c r="Y637" s="5" t="s">
        <v>60</v>
      </c>
      <c r="Z637" s="3" t="s">
        <v>345</v>
      </c>
      <c r="AB637" s="1">
        <v>10.0</v>
      </c>
      <c r="AI637" s="1" t="s">
        <v>2214</v>
      </c>
      <c r="AJ637" s="1">
        <v>-7710.0</v>
      </c>
      <c r="AK637" s="1">
        <v>1950.0</v>
      </c>
      <c r="AL637" s="2" t="s">
        <v>100</v>
      </c>
      <c r="AM637" s="2" t="s">
        <v>76</v>
      </c>
      <c r="AN637" s="2" t="s">
        <v>132</v>
      </c>
      <c r="AO637" s="2" t="s">
        <v>76</v>
      </c>
      <c r="AQ637" s="2" t="s">
        <v>102</v>
      </c>
      <c r="AR637" s="2" t="s">
        <v>76</v>
      </c>
      <c r="AS637" s="1">
        <v>1405.0</v>
      </c>
      <c r="AT637" s="1">
        <v>1405.0</v>
      </c>
      <c r="AU637" s="1">
        <v>622.0</v>
      </c>
      <c r="AV637" s="1">
        <v>32.0</v>
      </c>
      <c r="AW637" s="1">
        <v>105.0</v>
      </c>
      <c r="AX637" s="1">
        <v>6231.0</v>
      </c>
      <c r="AY637" s="1">
        <v>196.0</v>
      </c>
      <c r="AZ637" s="1" t="s">
        <v>133</v>
      </c>
      <c r="BA637" s="1" t="s">
        <v>121</v>
      </c>
    </row>
    <row r="638">
      <c r="A638" s="1" t="s">
        <v>2208</v>
      </c>
      <c r="B638" s="1" t="s">
        <v>53</v>
      </c>
      <c r="C638" s="1">
        <v>2016.0</v>
      </c>
      <c r="D638" s="1" t="s">
        <v>2209</v>
      </c>
      <c r="E638" s="1" t="s">
        <v>2210</v>
      </c>
      <c r="F638" s="3" t="s">
        <v>560</v>
      </c>
      <c r="H638" s="1" t="s">
        <v>2211</v>
      </c>
      <c r="I638" s="1">
        <v>138.0</v>
      </c>
      <c r="K638" s="2" t="s">
        <v>2212</v>
      </c>
      <c r="L638" s="2" t="s">
        <v>60</v>
      </c>
      <c r="M638" s="1" t="s">
        <v>2215</v>
      </c>
      <c r="N638" s="1" t="s">
        <v>62</v>
      </c>
      <c r="O638" s="1" t="s">
        <v>167</v>
      </c>
      <c r="P638" s="1" t="s">
        <v>2189</v>
      </c>
      <c r="Q638" s="1">
        <v>17.815556</v>
      </c>
      <c r="R638" s="1">
        <v>-90.120833</v>
      </c>
      <c r="S638" s="1" t="s">
        <v>148</v>
      </c>
      <c r="T638" s="2" t="s">
        <v>189</v>
      </c>
      <c r="U638" s="3" t="s">
        <v>96</v>
      </c>
      <c r="V638" s="3" t="s">
        <v>97</v>
      </c>
      <c r="W638" s="1" t="s">
        <v>1598</v>
      </c>
      <c r="X638" s="1" t="s">
        <v>70</v>
      </c>
      <c r="Y638" s="6" t="s">
        <v>76</v>
      </c>
      <c r="Z638" s="3" t="s">
        <v>76</v>
      </c>
      <c r="AB638" s="1">
        <v>10.0</v>
      </c>
      <c r="AI638" s="1" t="s">
        <v>2214</v>
      </c>
      <c r="AJ638" s="1">
        <v>-7710.0</v>
      </c>
      <c r="AK638" s="1">
        <v>1950.0</v>
      </c>
      <c r="AL638" s="2" t="s">
        <v>100</v>
      </c>
      <c r="AM638" s="2" t="s">
        <v>76</v>
      </c>
      <c r="AN638" s="2" t="s">
        <v>132</v>
      </c>
      <c r="AO638" s="2" t="s">
        <v>76</v>
      </c>
      <c r="AQ638" s="2" t="s">
        <v>576</v>
      </c>
      <c r="AR638" s="2" t="s">
        <v>76</v>
      </c>
      <c r="AS638" s="1">
        <v>1405.0</v>
      </c>
      <c r="AT638" s="1">
        <v>1405.0</v>
      </c>
      <c r="AU638" s="1">
        <v>622.0</v>
      </c>
      <c r="AV638" s="1">
        <v>32.0</v>
      </c>
      <c r="AW638" s="1">
        <v>105.0</v>
      </c>
      <c r="AX638" s="1">
        <v>6231.0</v>
      </c>
      <c r="AY638" s="1">
        <v>196.0</v>
      </c>
      <c r="AZ638" s="1" t="s">
        <v>133</v>
      </c>
      <c r="BA638" s="1" t="s">
        <v>121</v>
      </c>
    </row>
    <row r="639">
      <c r="A639" s="1" t="s">
        <v>2208</v>
      </c>
      <c r="B639" s="1" t="s">
        <v>53</v>
      </c>
      <c r="C639" s="1">
        <v>2016.0</v>
      </c>
      <c r="D639" s="1" t="s">
        <v>2209</v>
      </c>
      <c r="E639" s="1" t="s">
        <v>2210</v>
      </c>
      <c r="F639" s="3" t="s">
        <v>560</v>
      </c>
      <c r="H639" s="1" t="s">
        <v>2211</v>
      </c>
      <c r="I639" s="1">
        <v>138.0</v>
      </c>
      <c r="K639" s="2" t="s">
        <v>2212</v>
      </c>
      <c r="L639" s="2" t="s">
        <v>60</v>
      </c>
      <c r="M639" s="1" t="s">
        <v>2216</v>
      </c>
      <c r="N639" s="1" t="s">
        <v>62</v>
      </c>
      <c r="O639" s="1" t="s">
        <v>167</v>
      </c>
      <c r="P639" s="1" t="s">
        <v>2189</v>
      </c>
      <c r="Q639" s="1">
        <v>17.815556</v>
      </c>
      <c r="R639" s="1">
        <v>-90.120833</v>
      </c>
      <c r="S639" s="1" t="s">
        <v>148</v>
      </c>
      <c r="T639" s="2" t="s">
        <v>135</v>
      </c>
      <c r="U639" s="1" t="s">
        <v>454</v>
      </c>
      <c r="V639" s="3" t="s">
        <v>68</v>
      </c>
      <c r="W639" s="1" t="s">
        <v>547</v>
      </c>
      <c r="X639" s="2" t="s">
        <v>99</v>
      </c>
      <c r="Y639" s="6" t="s">
        <v>76</v>
      </c>
      <c r="Z639" s="3" t="s">
        <v>411</v>
      </c>
      <c r="AB639" s="1">
        <v>10.0</v>
      </c>
      <c r="AI639" s="1" t="s">
        <v>2214</v>
      </c>
      <c r="AJ639" s="1">
        <v>-7710.0</v>
      </c>
      <c r="AK639" s="1">
        <v>1950.0</v>
      </c>
      <c r="AL639" s="2" t="s">
        <v>100</v>
      </c>
      <c r="AM639" s="2" t="s">
        <v>76</v>
      </c>
      <c r="AN639" s="2" t="s">
        <v>132</v>
      </c>
      <c r="AO639" s="2" t="s">
        <v>76</v>
      </c>
      <c r="AQ639" s="2" t="s">
        <v>576</v>
      </c>
      <c r="AR639" s="2" t="s">
        <v>76</v>
      </c>
      <c r="AS639" s="1">
        <v>1405.0</v>
      </c>
      <c r="AT639" s="1">
        <v>1405.0</v>
      </c>
      <c r="AU639" s="1">
        <v>622.0</v>
      </c>
      <c r="AV639" s="1">
        <v>32.0</v>
      </c>
      <c r="AW639" s="1">
        <v>105.0</v>
      </c>
      <c r="AX639" s="1">
        <v>6231.0</v>
      </c>
      <c r="AY639" s="1">
        <v>196.0</v>
      </c>
      <c r="AZ639" s="1" t="s">
        <v>133</v>
      </c>
      <c r="BA639" s="1" t="s">
        <v>121</v>
      </c>
    </row>
    <row r="640">
      <c r="A640" s="1" t="s">
        <v>2208</v>
      </c>
      <c r="B640" s="1" t="s">
        <v>53</v>
      </c>
      <c r="C640" s="1">
        <v>2016.0</v>
      </c>
      <c r="D640" s="1" t="s">
        <v>2209</v>
      </c>
      <c r="E640" s="1" t="s">
        <v>2210</v>
      </c>
      <c r="F640" s="3" t="s">
        <v>560</v>
      </c>
      <c r="H640" s="1" t="s">
        <v>2211</v>
      </c>
      <c r="I640" s="1">
        <v>138.0</v>
      </c>
      <c r="K640" s="2" t="s">
        <v>2212</v>
      </c>
      <c r="L640" s="2" t="s">
        <v>60</v>
      </c>
      <c r="M640" s="1" t="s">
        <v>2217</v>
      </c>
      <c r="N640" s="1" t="s">
        <v>62</v>
      </c>
      <c r="O640" s="1" t="s">
        <v>167</v>
      </c>
      <c r="P640" s="1" t="s">
        <v>2189</v>
      </c>
      <c r="Q640" s="1">
        <v>17.815556</v>
      </c>
      <c r="R640" s="1">
        <v>-90.120833</v>
      </c>
      <c r="S640" s="1" t="s">
        <v>148</v>
      </c>
      <c r="T640" s="2" t="s">
        <v>382</v>
      </c>
      <c r="U640" s="1" t="s">
        <v>173</v>
      </c>
      <c r="V640" s="3" t="s">
        <v>68</v>
      </c>
      <c r="W640" s="1" t="s">
        <v>1268</v>
      </c>
      <c r="X640" s="1" t="s">
        <v>544</v>
      </c>
      <c r="Y640" s="6" t="s">
        <v>76</v>
      </c>
      <c r="Z640" s="1" t="s">
        <v>173</v>
      </c>
      <c r="AB640" s="1">
        <v>10.0</v>
      </c>
      <c r="AI640" s="1" t="s">
        <v>2214</v>
      </c>
      <c r="AJ640" s="1">
        <v>-7710.0</v>
      </c>
      <c r="AK640" s="1">
        <v>1950.0</v>
      </c>
      <c r="AL640" s="2" t="s">
        <v>100</v>
      </c>
      <c r="AM640" s="2" t="s">
        <v>76</v>
      </c>
      <c r="AN640" s="2" t="s">
        <v>132</v>
      </c>
      <c r="AO640" s="2" t="s">
        <v>76</v>
      </c>
      <c r="AQ640" s="2" t="s">
        <v>576</v>
      </c>
      <c r="AR640" s="2" t="s">
        <v>76</v>
      </c>
      <c r="AS640" s="1">
        <v>1405.0</v>
      </c>
      <c r="AT640" s="1">
        <v>1405.0</v>
      </c>
      <c r="AU640" s="1">
        <v>622.0</v>
      </c>
      <c r="AV640" s="1">
        <v>32.0</v>
      </c>
      <c r="AW640" s="1">
        <v>105.0</v>
      </c>
      <c r="AX640" s="1">
        <v>6231.0</v>
      </c>
      <c r="AY640" s="1">
        <v>196.0</v>
      </c>
      <c r="AZ640" s="1" t="s">
        <v>133</v>
      </c>
      <c r="BA640" s="1" t="s">
        <v>121</v>
      </c>
    </row>
    <row r="641">
      <c r="A641" s="1" t="s">
        <v>2208</v>
      </c>
      <c r="B641" s="1" t="s">
        <v>53</v>
      </c>
      <c r="C641" s="1">
        <v>2016.0</v>
      </c>
      <c r="D641" s="1" t="s">
        <v>2209</v>
      </c>
      <c r="E641" s="1" t="s">
        <v>2210</v>
      </c>
      <c r="F641" s="3" t="s">
        <v>560</v>
      </c>
      <c r="H641" s="1" t="s">
        <v>2211</v>
      </c>
      <c r="I641" s="1">
        <v>138.0</v>
      </c>
      <c r="K641" s="2" t="s">
        <v>2212</v>
      </c>
      <c r="L641" s="2" t="s">
        <v>60</v>
      </c>
      <c r="M641" s="1" t="s">
        <v>2218</v>
      </c>
      <c r="N641" s="1" t="s">
        <v>62</v>
      </c>
      <c r="O641" s="1" t="s">
        <v>167</v>
      </c>
      <c r="P641" s="1" t="s">
        <v>2189</v>
      </c>
      <c r="Q641" s="1">
        <v>17.815556</v>
      </c>
      <c r="R641" s="1">
        <v>-90.120833</v>
      </c>
      <c r="S641" s="1" t="s">
        <v>148</v>
      </c>
      <c r="T641" s="2" t="s">
        <v>194</v>
      </c>
      <c r="U641" s="2" t="s">
        <v>96</v>
      </c>
      <c r="V641" s="3" t="s">
        <v>97</v>
      </c>
      <c r="W641" s="1" t="s">
        <v>1598</v>
      </c>
      <c r="X641" s="1" t="s">
        <v>70</v>
      </c>
      <c r="Y641" s="6" t="s">
        <v>76</v>
      </c>
      <c r="Z641" s="3" t="s">
        <v>76</v>
      </c>
      <c r="AB641" s="1">
        <v>10.0</v>
      </c>
      <c r="AI641" s="1" t="s">
        <v>2214</v>
      </c>
      <c r="AJ641" s="1">
        <v>-7710.0</v>
      </c>
      <c r="AK641" s="1">
        <v>1950.0</v>
      </c>
      <c r="AL641" s="2" t="s">
        <v>100</v>
      </c>
      <c r="AM641" s="2" t="s">
        <v>76</v>
      </c>
      <c r="AN641" s="2" t="s">
        <v>132</v>
      </c>
      <c r="AO641" s="2" t="s">
        <v>76</v>
      </c>
      <c r="AQ641" s="2" t="s">
        <v>576</v>
      </c>
      <c r="AR641" s="2" t="s">
        <v>76</v>
      </c>
      <c r="AS641" s="1">
        <v>1405.0</v>
      </c>
      <c r="AT641" s="1">
        <v>1405.0</v>
      </c>
      <c r="AU641" s="1">
        <v>622.0</v>
      </c>
      <c r="AV641" s="1">
        <v>32.0</v>
      </c>
      <c r="AW641" s="1">
        <v>105.0</v>
      </c>
      <c r="AX641" s="1">
        <v>6231.0</v>
      </c>
      <c r="AY641" s="1">
        <v>196.0</v>
      </c>
      <c r="AZ641" s="1" t="s">
        <v>133</v>
      </c>
      <c r="BA641" s="1" t="s">
        <v>121</v>
      </c>
    </row>
    <row r="642">
      <c r="A642" s="1" t="s">
        <v>2219</v>
      </c>
      <c r="B642" s="1" t="s">
        <v>53</v>
      </c>
      <c r="C642" s="1">
        <v>2020.0</v>
      </c>
      <c r="D642" s="1" t="s">
        <v>2220</v>
      </c>
      <c r="E642" s="1" t="s">
        <v>2221</v>
      </c>
      <c r="F642" s="1" t="s">
        <v>1610</v>
      </c>
      <c r="G642" s="1" t="s">
        <v>2222</v>
      </c>
      <c r="H642" s="1" t="s">
        <v>2223</v>
      </c>
      <c r="I642" s="1">
        <v>93.0</v>
      </c>
      <c r="J642" s="1">
        <v>1.0</v>
      </c>
      <c r="K642" s="2" t="s">
        <v>2224</v>
      </c>
      <c r="L642" s="2" t="s">
        <v>60</v>
      </c>
      <c r="M642" s="1" t="s">
        <v>2225</v>
      </c>
      <c r="N642" s="1" t="s">
        <v>62</v>
      </c>
      <c r="O642" s="1" t="s">
        <v>112</v>
      </c>
      <c r="P642" s="1" t="s">
        <v>308</v>
      </c>
      <c r="Q642" s="1">
        <v>9.494658</v>
      </c>
      <c r="R642" s="1">
        <v>-83.485118</v>
      </c>
      <c r="S642" s="1" t="s">
        <v>148</v>
      </c>
      <c r="T642" s="2" t="s">
        <v>321</v>
      </c>
      <c r="U642" s="1" t="s">
        <v>156</v>
      </c>
      <c r="V642" s="3" t="s">
        <v>277</v>
      </c>
      <c r="W642" s="1" t="s">
        <v>1351</v>
      </c>
      <c r="X642" s="2" t="s">
        <v>928</v>
      </c>
      <c r="Y642" s="6" t="s">
        <v>76</v>
      </c>
      <c r="Z642" s="3" t="s">
        <v>76</v>
      </c>
      <c r="AB642" s="1">
        <v>5.0</v>
      </c>
      <c r="AI642" s="1" t="s">
        <v>523</v>
      </c>
      <c r="AJ642" s="1">
        <v>300.0</v>
      </c>
      <c r="AK642" s="1">
        <v>2014.0</v>
      </c>
      <c r="AL642" s="2" t="s">
        <v>73</v>
      </c>
      <c r="AM642" s="2" t="s">
        <v>72</v>
      </c>
      <c r="AN642" s="2" t="s">
        <v>132</v>
      </c>
      <c r="AO642" s="2" t="s">
        <v>72</v>
      </c>
      <c r="AQ642" s="2" t="s">
        <v>576</v>
      </c>
      <c r="AR642" s="2" t="s">
        <v>76</v>
      </c>
      <c r="AS642" s="1">
        <v>2202.0</v>
      </c>
      <c r="AT642" s="1">
        <v>2202.0</v>
      </c>
      <c r="AU642" s="1">
        <v>957.0</v>
      </c>
      <c r="AV642" s="1">
        <v>11.0</v>
      </c>
      <c r="AW642" s="1">
        <v>65.0</v>
      </c>
      <c r="AX642" s="1">
        <v>7181.0</v>
      </c>
      <c r="AY642" s="1">
        <v>3509.0</v>
      </c>
      <c r="AZ642" s="1" t="s">
        <v>154</v>
      </c>
      <c r="BA642" s="1" t="s">
        <v>121</v>
      </c>
    </row>
    <row r="643">
      <c r="A643" s="12" t="s">
        <v>2219</v>
      </c>
      <c r="B643" s="12" t="s">
        <v>53</v>
      </c>
      <c r="C643" s="13">
        <v>2020.0</v>
      </c>
      <c r="D643" s="12" t="s">
        <v>2220</v>
      </c>
      <c r="E643" s="12" t="s">
        <v>2221</v>
      </c>
      <c r="F643" s="12" t="s">
        <v>1610</v>
      </c>
      <c r="G643" s="12" t="s">
        <v>2222</v>
      </c>
      <c r="H643" s="12" t="s">
        <v>2223</v>
      </c>
      <c r="I643" s="13">
        <v>93.0</v>
      </c>
      <c r="J643" s="13">
        <v>1.0</v>
      </c>
      <c r="K643" s="12" t="s">
        <v>2224</v>
      </c>
      <c r="L643" s="12" t="s">
        <v>60</v>
      </c>
      <c r="M643" s="12" t="s">
        <v>2225</v>
      </c>
      <c r="N643" s="12" t="s">
        <v>62</v>
      </c>
      <c r="O643" s="12" t="s">
        <v>112</v>
      </c>
      <c r="P643" s="12" t="s">
        <v>308</v>
      </c>
      <c r="Q643" s="13">
        <v>9.494658</v>
      </c>
      <c r="R643" s="13">
        <v>-83.485118</v>
      </c>
      <c r="S643" s="12" t="s">
        <v>148</v>
      </c>
      <c r="T643" s="14" t="s">
        <v>2226</v>
      </c>
      <c r="U643" s="12" t="s">
        <v>156</v>
      </c>
      <c r="V643" s="3" t="s">
        <v>277</v>
      </c>
      <c r="W643" s="12" t="s">
        <v>1351</v>
      </c>
      <c r="X643" s="12" t="s">
        <v>928</v>
      </c>
      <c r="Y643" s="15" t="s">
        <v>76</v>
      </c>
      <c r="Z643" s="3" t="s">
        <v>76</v>
      </c>
      <c r="AA643" s="12"/>
      <c r="AB643" s="13">
        <v>5.0</v>
      </c>
      <c r="AC643" s="12"/>
      <c r="AD643" s="12"/>
      <c r="AE643" s="12"/>
      <c r="AF643" s="12"/>
      <c r="AG643" s="12"/>
      <c r="AH643" s="12"/>
      <c r="AI643" s="12" t="s">
        <v>523</v>
      </c>
      <c r="AJ643" s="13">
        <v>300.0</v>
      </c>
      <c r="AK643" s="13">
        <v>2014.0</v>
      </c>
      <c r="AL643" s="12" t="s">
        <v>73</v>
      </c>
      <c r="AM643" s="12" t="s">
        <v>72</v>
      </c>
      <c r="AN643" s="12" t="s">
        <v>132</v>
      </c>
      <c r="AO643" s="12" t="s">
        <v>72</v>
      </c>
      <c r="AP643" s="12"/>
      <c r="AQ643" s="12" t="s">
        <v>576</v>
      </c>
      <c r="AR643" s="12" t="s">
        <v>76</v>
      </c>
      <c r="AS643" s="13">
        <v>2202.0</v>
      </c>
      <c r="AT643" s="13">
        <v>2202.0</v>
      </c>
      <c r="AU643" s="13">
        <v>957.0</v>
      </c>
      <c r="AV643" s="13">
        <v>11.0</v>
      </c>
      <c r="AW643" s="13">
        <v>65.0</v>
      </c>
      <c r="AX643" s="13">
        <v>7181.0</v>
      </c>
      <c r="AY643" s="13">
        <v>3509.0</v>
      </c>
      <c r="AZ643" s="12" t="s">
        <v>154</v>
      </c>
      <c r="BA643" s="12" t="s">
        <v>121</v>
      </c>
    </row>
    <row r="644">
      <c r="A644" s="1" t="s">
        <v>2219</v>
      </c>
      <c r="B644" s="1" t="s">
        <v>53</v>
      </c>
      <c r="C644" s="1">
        <v>2020.0</v>
      </c>
      <c r="D644" s="1" t="s">
        <v>2220</v>
      </c>
      <c r="E644" s="1" t="s">
        <v>2221</v>
      </c>
      <c r="F644" s="1" t="s">
        <v>1610</v>
      </c>
      <c r="G644" s="1" t="s">
        <v>2222</v>
      </c>
      <c r="H644" s="1" t="s">
        <v>2223</v>
      </c>
      <c r="I644" s="1">
        <v>93.0</v>
      </c>
      <c r="J644" s="1">
        <v>1.0</v>
      </c>
      <c r="K644" s="2" t="s">
        <v>2224</v>
      </c>
      <c r="L644" s="2" t="s">
        <v>60</v>
      </c>
      <c r="M644" s="1" t="s">
        <v>2227</v>
      </c>
      <c r="N644" s="1" t="s">
        <v>62</v>
      </c>
      <c r="O644" s="1" t="s">
        <v>112</v>
      </c>
      <c r="P644" s="1" t="s">
        <v>308</v>
      </c>
      <c r="Q644" s="1">
        <v>9.494658</v>
      </c>
      <c r="R644" s="1">
        <v>-83.485118</v>
      </c>
      <c r="S644" s="1" t="s">
        <v>148</v>
      </c>
      <c r="T644" s="2" t="s">
        <v>388</v>
      </c>
      <c r="U644" s="1" t="s">
        <v>173</v>
      </c>
      <c r="V644" s="3" t="s">
        <v>277</v>
      </c>
      <c r="W644" s="1" t="s">
        <v>2228</v>
      </c>
      <c r="X644" s="1" t="s">
        <v>483</v>
      </c>
      <c r="Y644" s="6" t="s">
        <v>76</v>
      </c>
      <c r="Z644" s="3" t="s">
        <v>76</v>
      </c>
      <c r="AB644" s="1">
        <v>5.0</v>
      </c>
      <c r="AI644" s="1" t="s">
        <v>523</v>
      </c>
      <c r="AJ644" s="1">
        <v>300.0</v>
      </c>
      <c r="AK644" s="1">
        <v>2014.0</v>
      </c>
      <c r="AL644" s="2" t="s">
        <v>73</v>
      </c>
      <c r="AM644" s="2" t="s">
        <v>72</v>
      </c>
      <c r="AN644" s="2" t="s">
        <v>132</v>
      </c>
      <c r="AO644" s="2" t="s">
        <v>72</v>
      </c>
      <c r="AQ644" s="2" t="s">
        <v>576</v>
      </c>
      <c r="AR644" s="2" t="s">
        <v>76</v>
      </c>
      <c r="AS644" s="1">
        <v>2202.0</v>
      </c>
      <c r="AT644" s="1">
        <v>2202.0</v>
      </c>
      <c r="AU644" s="1">
        <v>957.0</v>
      </c>
      <c r="AV644" s="1">
        <v>11.0</v>
      </c>
      <c r="AW644" s="1">
        <v>65.0</v>
      </c>
      <c r="AX644" s="1">
        <v>7181.0</v>
      </c>
      <c r="AY644" s="1">
        <v>3509.0</v>
      </c>
      <c r="AZ644" s="1" t="s">
        <v>154</v>
      </c>
      <c r="BA644" s="1" t="s">
        <v>121</v>
      </c>
    </row>
    <row r="645">
      <c r="A645" s="1" t="s">
        <v>2219</v>
      </c>
      <c r="B645" s="1" t="s">
        <v>53</v>
      </c>
      <c r="C645" s="1">
        <v>2020.0</v>
      </c>
      <c r="D645" s="1" t="s">
        <v>2220</v>
      </c>
      <c r="E645" s="1" t="s">
        <v>2221</v>
      </c>
      <c r="F645" s="1" t="s">
        <v>1610</v>
      </c>
      <c r="G645" s="1" t="s">
        <v>2222</v>
      </c>
      <c r="H645" s="1" t="s">
        <v>2223</v>
      </c>
      <c r="I645" s="1">
        <v>93.0</v>
      </c>
      <c r="J645" s="1">
        <v>1.0</v>
      </c>
      <c r="K645" s="2" t="s">
        <v>2224</v>
      </c>
      <c r="L645" s="2" t="s">
        <v>60</v>
      </c>
      <c r="M645" s="1" t="s">
        <v>2229</v>
      </c>
      <c r="N645" s="1" t="s">
        <v>62</v>
      </c>
      <c r="O645" s="1" t="s">
        <v>112</v>
      </c>
      <c r="P645" s="1" t="s">
        <v>308</v>
      </c>
      <c r="Q645" s="1">
        <v>9.494658</v>
      </c>
      <c r="R645" s="1">
        <v>-83.485118</v>
      </c>
      <c r="S645" s="1" t="s">
        <v>148</v>
      </c>
      <c r="T645" s="2" t="s">
        <v>135</v>
      </c>
      <c r="U645" s="1" t="s">
        <v>823</v>
      </c>
      <c r="V645" s="3" t="s">
        <v>277</v>
      </c>
      <c r="W645" s="1" t="s">
        <v>2228</v>
      </c>
      <c r="X645" s="1" t="s">
        <v>483</v>
      </c>
      <c r="Y645" s="5" t="s">
        <v>76</v>
      </c>
      <c r="Z645" s="3" t="s">
        <v>76</v>
      </c>
      <c r="AB645" s="1">
        <v>5.0</v>
      </c>
      <c r="AI645" s="1" t="s">
        <v>523</v>
      </c>
      <c r="AJ645" s="1">
        <v>300.0</v>
      </c>
      <c r="AK645" s="1">
        <v>2014.0</v>
      </c>
      <c r="AL645" s="2" t="s">
        <v>73</v>
      </c>
      <c r="AM645" s="2" t="s">
        <v>72</v>
      </c>
      <c r="AN645" s="2" t="s">
        <v>132</v>
      </c>
      <c r="AO645" s="2" t="s">
        <v>72</v>
      </c>
      <c r="AQ645" s="2" t="s">
        <v>576</v>
      </c>
      <c r="AR645" s="2" t="s">
        <v>76</v>
      </c>
      <c r="AS645" s="1">
        <v>2202.0</v>
      </c>
      <c r="AT645" s="1">
        <v>2202.0</v>
      </c>
      <c r="AU645" s="1">
        <v>957.0</v>
      </c>
      <c r="AV645" s="1">
        <v>11.0</v>
      </c>
      <c r="AW645" s="1">
        <v>65.0</v>
      </c>
      <c r="AX645" s="1">
        <v>7181.0</v>
      </c>
      <c r="AY645" s="1">
        <v>3509.0</v>
      </c>
      <c r="AZ645" s="1" t="s">
        <v>154</v>
      </c>
      <c r="BA645" s="1" t="s">
        <v>121</v>
      </c>
    </row>
    <row r="646">
      <c r="A646" s="1" t="s">
        <v>2219</v>
      </c>
      <c r="B646" s="1" t="s">
        <v>53</v>
      </c>
      <c r="C646" s="1">
        <v>2020.0</v>
      </c>
      <c r="D646" s="1" t="s">
        <v>2220</v>
      </c>
      <c r="E646" s="1" t="s">
        <v>2221</v>
      </c>
      <c r="F646" s="1" t="s">
        <v>1610</v>
      </c>
      <c r="G646" s="1" t="s">
        <v>2222</v>
      </c>
      <c r="H646" s="1" t="s">
        <v>2223</v>
      </c>
      <c r="I646" s="1">
        <v>93.0</v>
      </c>
      <c r="J646" s="1">
        <v>1.0</v>
      </c>
      <c r="K646" s="2" t="s">
        <v>2224</v>
      </c>
      <c r="L646" s="2" t="s">
        <v>60</v>
      </c>
      <c r="M646" s="1" t="s">
        <v>2230</v>
      </c>
      <c r="N646" s="1" t="s">
        <v>62</v>
      </c>
      <c r="O646" s="1" t="s">
        <v>112</v>
      </c>
      <c r="P646" s="1" t="s">
        <v>1350</v>
      </c>
      <c r="Q646" s="1">
        <v>9.468532</v>
      </c>
      <c r="R646" s="1">
        <v>-83.480059</v>
      </c>
      <c r="S646" s="1" t="s">
        <v>148</v>
      </c>
      <c r="T646" s="2" t="s">
        <v>321</v>
      </c>
      <c r="U646" s="1" t="s">
        <v>156</v>
      </c>
      <c r="V646" s="3" t="s">
        <v>277</v>
      </c>
      <c r="W646" s="1" t="s">
        <v>1351</v>
      </c>
      <c r="X646" s="2" t="s">
        <v>928</v>
      </c>
      <c r="Y646" s="6" t="s">
        <v>76</v>
      </c>
      <c r="Z646" s="3" t="s">
        <v>76</v>
      </c>
      <c r="AB646" s="1">
        <v>4.0</v>
      </c>
      <c r="AI646" s="1" t="s">
        <v>2231</v>
      </c>
      <c r="AJ646" s="1">
        <v>300.0</v>
      </c>
      <c r="AK646" s="1">
        <v>2014.0</v>
      </c>
      <c r="AL646" s="2" t="s">
        <v>73</v>
      </c>
      <c r="AM646" s="2" t="s">
        <v>72</v>
      </c>
      <c r="AN646" s="2" t="s">
        <v>132</v>
      </c>
      <c r="AO646" s="2" t="s">
        <v>72</v>
      </c>
      <c r="AQ646" s="2" t="s">
        <v>576</v>
      </c>
      <c r="AR646" s="2" t="s">
        <v>76</v>
      </c>
      <c r="AS646" s="1">
        <v>2510.0</v>
      </c>
      <c r="AT646" s="1">
        <v>2510.0</v>
      </c>
      <c r="AU646" s="1">
        <v>1054.0</v>
      </c>
      <c r="AV646" s="1">
        <v>28.0</v>
      </c>
      <c r="AW646" s="1">
        <v>87.0</v>
      </c>
      <c r="AX646" s="1">
        <v>6856.0</v>
      </c>
      <c r="AY646" s="1">
        <v>3450.0</v>
      </c>
      <c r="AZ646" s="1" t="s">
        <v>154</v>
      </c>
      <c r="BA646" s="1" t="s">
        <v>121</v>
      </c>
    </row>
    <row r="647">
      <c r="A647" s="1" t="s">
        <v>2219</v>
      </c>
      <c r="B647" s="1" t="s">
        <v>53</v>
      </c>
      <c r="C647" s="1">
        <v>2020.0</v>
      </c>
      <c r="D647" s="1" t="s">
        <v>2220</v>
      </c>
      <c r="E647" s="1" t="s">
        <v>2221</v>
      </c>
      <c r="F647" s="1" t="s">
        <v>1610</v>
      </c>
      <c r="G647" s="1" t="s">
        <v>2222</v>
      </c>
      <c r="H647" s="1" t="s">
        <v>2223</v>
      </c>
      <c r="I647" s="1">
        <v>93.0</v>
      </c>
      <c r="J647" s="1">
        <v>1.0</v>
      </c>
      <c r="K647" s="2" t="s">
        <v>2224</v>
      </c>
      <c r="L647" s="2" t="s">
        <v>60</v>
      </c>
      <c r="M647" s="1" t="s">
        <v>2230</v>
      </c>
      <c r="N647" s="1" t="s">
        <v>62</v>
      </c>
      <c r="O647" s="1" t="s">
        <v>112</v>
      </c>
      <c r="P647" s="1" t="s">
        <v>1350</v>
      </c>
      <c r="Q647" s="1">
        <v>9.468532</v>
      </c>
      <c r="R647" s="1">
        <v>-83.480059</v>
      </c>
      <c r="S647" s="1" t="s">
        <v>148</v>
      </c>
      <c r="T647" s="3" t="s">
        <v>80</v>
      </c>
      <c r="U647" s="1" t="s">
        <v>156</v>
      </c>
      <c r="V647" s="3" t="s">
        <v>277</v>
      </c>
      <c r="W647" s="1" t="s">
        <v>1351</v>
      </c>
      <c r="X647" s="2" t="s">
        <v>928</v>
      </c>
      <c r="Y647" s="6" t="s">
        <v>76</v>
      </c>
      <c r="Z647" s="3" t="s">
        <v>76</v>
      </c>
      <c r="AB647" s="1">
        <v>4.0</v>
      </c>
      <c r="AI647" s="1" t="s">
        <v>2231</v>
      </c>
      <c r="AJ647" s="1">
        <v>300.0</v>
      </c>
      <c r="AK647" s="1">
        <v>2014.0</v>
      </c>
      <c r="AL647" s="2" t="s">
        <v>73</v>
      </c>
      <c r="AM647" s="2" t="s">
        <v>72</v>
      </c>
      <c r="AN647" s="2" t="s">
        <v>132</v>
      </c>
      <c r="AO647" s="2" t="s">
        <v>72</v>
      </c>
      <c r="AQ647" s="2" t="s">
        <v>576</v>
      </c>
      <c r="AR647" s="2" t="s">
        <v>76</v>
      </c>
      <c r="AS647" s="1">
        <v>2510.0</v>
      </c>
      <c r="AT647" s="1">
        <v>2510.0</v>
      </c>
      <c r="AU647" s="1">
        <v>1054.0</v>
      </c>
      <c r="AV647" s="1">
        <v>28.0</v>
      </c>
      <c r="AW647" s="1">
        <v>87.0</v>
      </c>
      <c r="AX647" s="1">
        <v>6856.0</v>
      </c>
      <c r="AY647" s="1">
        <v>3450.0</v>
      </c>
      <c r="AZ647" s="1" t="s">
        <v>154</v>
      </c>
      <c r="BA647" s="1" t="s">
        <v>121</v>
      </c>
    </row>
    <row r="648">
      <c r="A648" s="1" t="s">
        <v>2219</v>
      </c>
      <c r="B648" s="1" t="s">
        <v>53</v>
      </c>
      <c r="C648" s="1">
        <v>2020.0</v>
      </c>
      <c r="D648" s="1" t="s">
        <v>2220</v>
      </c>
      <c r="E648" s="1" t="s">
        <v>2221</v>
      </c>
      <c r="F648" s="1" t="s">
        <v>1610</v>
      </c>
      <c r="G648" s="1" t="s">
        <v>2222</v>
      </c>
      <c r="H648" s="1" t="s">
        <v>2223</v>
      </c>
      <c r="I648" s="1">
        <v>93.0</v>
      </c>
      <c r="J648" s="1">
        <v>1.0</v>
      </c>
      <c r="K648" s="2" t="s">
        <v>2224</v>
      </c>
      <c r="L648" s="2" t="s">
        <v>60</v>
      </c>
      <c r="M648" s="1" t="s">
        <v>2232</v>
      </c>
      <c r="N648" s="1" t="s">
        <v>62</v>
      </c>
      <c r="O648" s="1" t="s">
        <v>112</v>
      </c>
      <c r="P648" s="1" t="s">
        <v>1350</v>
      </c>
      <c r="Q648" s="1">
        <v>9.468532</v>
      </c>
      <c r="R648" s="1">
        <v>-83.480059</v>
      </c>
      <c r="S648" s="1" t="s">
        <v>148</v>
      </c>
      <c r="T648" s="2" t="s">
        <v>388</v>
      </c>
      <c r="U648" s="1" t="s">
        <v>156</v>
      </c>
      <c r="V648" s="3" t="s">
        <v>277</v>
      </c>
      <c r="W648" s="1" t="s">
        <v>2228</v>
      </c>
      <c r="X648" s="1" t="s">
        <v>483</v>
      </c>
      <c r="Y648" s="6" t="s">
        <v>76</v>
      </c>
      <c r="Z648" s="3" t="s">
        <v>76</v>
      </c>
      <c r="AB648" s="1">
        <v>4.0</v>
      </c>
      <c r="AI648" s="1" t="s">
        <v>2231</v>
      </c>
      <c r="AJ648" s="1">
        <v>300.0</v>
      </c>
      <c r="AK648" s="1">
        <v>2014.0</v>
      </c>
      <c r="AL648" s="2" t="s">
        <v>73</v>
      </c>
      <c r="AM648" s="2" t="s">
        <v>72</v>
      </c>
      <c r="AN648" s="2" t="s">
        <v>132</v>
      </c>
      <c r="AO648" s="2" t="s">
        <v>72</v>
      </c>
      <c r="AQ648" s="2" t="s">
        <v>576</v>
      </c>
      <c r="AR648" s="2" t="s">
        <v>76</v>
      </c>
      <c r="AS648" s="1">
        <v>2510.0</v>
      </c>
      <c r="AT648" s="1">
        <v>2510.0</v>
      </c>
      <c r="AU648" s="1">
        <v>1054.0</v>
      </c>
      <c r="AV648" s="1">
        <v>28.0</v>
      </c>
      <c r="AW648" s="1">
        <v>87.0</v>
      </c>
      <c r="AX648" s="1">
        <v>6856.0</v>
      </c>
      <c r="AY648" s="1">
        <v>3450.0</v>
      </c>
      <c r="AZ648" s="1" t="s">
        <v>154</v>
      </c>
      <c r="BA648" s="1" t="s">
        <v>121</v>
      </c>
    </row>
    <row r="649">
      <c r="A649" s="1" t="s">
        <v>2219</v>
      </c>
      <c r="B649" s="1" t="s">
        <v>53</v>
      </c>
      <c r="C649" s="1">
        <v>2020.0</v>
      </c>
      <c r="D649" s="1" t="s">
        <v>2220</v>
      </c>
      <c r="E649" s="1" t="s">
        <v>2221</v>
      </c>
      <c r="F649" s="1" t="s">
        <v>1610</v>
      </c>
      <c r="G649" s="1" t="s">
        <v>2222</v>
      </c>
      <c r="H649" s="1" t="s">
        <v>2223</v>
      </c>
      <c r="I649" s="1">
        <v>93.0</v>
      </c>
      <c r="J649" s="1">
        <v>1.0</v>
      </c>
      <c r="K649" s="2" t="s">
        <v>2224</v>
      </c>
      <c r="L649" s="2" t="s">
        <v>60</v>
      </c>
      <c r="M649" s="1" t="s">
        <v>2233</v>
      </c>
      <c r="N649" s="1" t="s">
        <v>62</v>
      </c>
      <c r="O649" s="1" t="s">
        <v>112</v>
      </c>
      <c r="P649" s="1" t="s">
        <v>1350</v>
      </c>
      <c r="Q649" s="1">
        <v>9.468532</v>
      </c>
      <c r="R649" s="1">
        <v>-83.480059</v>
      </c>
      <c r="S649" s="1" t="s">
        <v>148</v>
      </c>
      <c r="T649" s="2" t="s">
        <v>135</v>
      </c>
      <c r="U649" s="1" t="s">
        <v>156</v>
      </c>
      <c r="V649" s="3" t="s">
        <v>277</v>
      </c>
      <c r="W649" s="1" t="s">
        <v>2228</v>
      </c>
      <c r="X649" s="1" t="s">
        <v>483</v>
      </c>
      <c r="Y649" s="6" t="s">
        <v>76</v>
      </c>
      <c r="Z649" s="3" t="s">
        <v>76</v>
      </c>
      <c r="AB649" s="1">
        <v>4.0</v>
      </c>
      <c r="AI649" s="1" t="s">
        <v>2231</v>
      </c>
      <c r="AJ649" s="1">
        <v>300.0</v>
      </c>
      <c r="AK649" s="1">
        <v>2014.0</v>
      </c>
      <c r="AL649" s="2" t="s">
        <v>73</v>
      </c>
      <c r="AM649" s="2" t="s">
        <v>72</v>
      </c>
      <c r="AN649" s="2" t="s">
        <v>132</v>
      </c>
      <c r="AO649" s="2" t="s">
        <v>72</v>
      </c>
      <c r="AQ649" s="2" t="s">
        <v>576</v>
      </c>
      <c r="AR649" s="2" t="s">
        <v>76</v>
      </c>
      <c r="AS649" s="1">
        <v>2510.0</v>
      </c>
      <c r="AT649" s="1">
        <v>2510.0</v>
      </c>
      <c r="AU649" s="1">
        <v>1054.0</v>
      </c>
      <c r="AV649" s="1">
        <v>28.0</v>
      </c>
      <c r="AW649" s="1">
        <v>87.0</v>
      </c>
      <c r="AX649" s="1">
        <v>6856.0</v>
      </c>
      <c r="AY649" s="1">
        <v>3450.0</v>
      </c>
      <c r="AZ649" s="1" t="s">
        <v>154</v>
      </c>
      <c r="BA649" s="1" t="s">
        <v>121</v>
      </c>
    </row>
  </sheetData>
  <autoFilter ref="$A$1:$BA$649">
    <sortState ref="A1:BA649">
      <sortCondition ref="F1:F649"/>
    </sortState>
  </autoFilter>
  <conditionalFormatting sqref="V2:V649">
    <cfRule type="notContainsBlanks" dxfId="0" priority="1">
      <formula>LEN(TRIM(V2))&gt;0</formula>
    </cfRule>
  </conditionalFormatting>
  <dataValidations>
    <dataValidation type="list" allowBlank="1" sqref="V2:V649">
      <formula1>"Forests,Water,Land Use Change"</formula1>
    </dataValidation>
    <dataValidation type="list" allowBlank="1" sqref="Z2:Z10 Z12:Z31 Z33:Z35 Z37 Z46:Z50 Z55:Z56 Z65:Z74 Z80:Z93 Z98:Z111 Z113:Z156 Z158 Z160:Z174 Z178 Z181:Z182 Z184:Z185 Z188:Z189 Z194:Z223 Z225:Z228 Z232:Z254 Z258:Z266 Z268:Z273 Z275:Z277 Z280:Z319 Z323:Z373 Z375:Z396 Z404:Z449 Z453:Z475 Z477 Z479:Z484 Z491:Z510 Z520:Z551 Z553 U568 Z555:Z639 Z641:Z649">
      <formula1>"Agricultural Taxa,Weedy/Disturbance Taxa,Burning,Decrease in Arboreal Taxa,No"</formula1>
    </dataValidation>
    <dataValidation type="list" allowBlank="1" sqref="Z32 Z36 Z38:Z44 Z51:Z54 Z112 Z157 Z159 Z175:Z177 Z179:Z180 Z183 Z186:Z187 Z190:Z193 Z224 Z267 Z321:Z322 Z374 Z397:Z403 Z450:Z452 Z476 Z478 Z485:Z490 Z511:Z519">
      <formula1>"Agricultural Taxa,Weedy/Disturbance Taxa,Burning,No"</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2346</v>
      </c>
      <c r="B1" s="3" t="s">
        <v>2347</v>
      </c>
      <c r="C1" s="3" t="s">
        <v>2348</v>
      </c>
      <c r="D1" s="3" t="s">
        <v>2349</v>
      </c>
      <c r="E1" s="3" t="s">
        <v>2350</v>
      </c>
      <c r="F1" s="3" t="s">
        <v>2351</v>
      </c>
      <c r="G1" s="3" t="s">
        <v>2352</v>
      </c>
      <c r="H1" s="3" t="s">
        <v>2353</v>
      </c>
      <c r="I1" s="3" t="s">
        <v>2354</v>
      </c>
      <c r="J1" s="3" t="s">
        <v>2355</v>
      </c>
      <c r="K1" s="3" t="s">
        <v>2356</v>
      </c>
      <c r="L1" s="3" t="s">
        <v>50</v>
      </c>
      <c r="M1" s="3" t="s">
        <v>2357</v>
      </c>
      <c r="N1" s="3" t="s">
        <v>51</v>
      </c>
      <c r="O1" s="3" t="s">
        <v>2358</v>
      </c>
      <c r="P1" s="3" t="s">
        <v>2359</v>
      </c>
      <c r="Q1" s="3" t="s">
        <v>2360</v>
      </c>
      <c r="R1" s="3" t="s">
        <v>2361</v>
      </c>
      <c r="S1" s="3" t="s">
        <v>2362</v>
      </c>
      <c r="T1" s="3" t="s">
        <v>2363</v>
      </c>
      <c r="U1" s="3" t="s">
        <v>2364</v>
      </c>
      <c r="V1" s="3" t="s">
        <v>2365</v>
      </c>
      <c r="W1" s="3" t="s">
        <v>2366</v>
      </c>
      <c r="X1" s="3" t="s">
        <v>2367</v>
      </c>
      <c r="Y1" s="3" t="s">
        <v>2368</v>
      </c>
      <c r="Z1" s="3" t="s">
        <v>2369</v>
      </c>
      <c r="AA1" s="3" t="s">
        <v>2370</v>
      </c>
      <c r="AB1" s="3" t="s">
        <v>2371</v>
      </c>
      <c r="AC1" s="3" t="s">
        <v>2372</v>
      </c>
    </row>
    <row r="2">
      <c r="A2" s="3">
        <v>0.0</v>
      </c>
      <c r="B2" s="3" t="s">
        <v>2373</v>
      </c>
      <c r="C2" s="3">
        <v>219.0</v>
      </c>
      <c r="D2" s="3" t="s">
        <v>502</v>
      </c>
      <c r="E2" s="3">
        <v>17.117188</v>
      </c>
      <c r="F2" s="3">
        <v>-88.890606</v>
      </c>
      <c r="G2" s="3">
        <v>0.0</v>
      </c>
      <c r="H2" s="3">
        <v>0.0</v>
      </c>
      <c r="I2" s="3" t="s">
        <v>187</v>
      </c>
      <c r="J2" s="3">
        <v>66.0</v>
      </c>
      <c r="K2" s="3">
        <v>67.0</v>
      </c>
      <c r="L2" s="3" t="s">
        <v>445</v>
      </c>
      <c r="M2" s="3">
        <v>7.0</v>
      </c>
      <c r="N2" s="3" t="s">
        <v>446</v>
      </c>
      <c r="O2" s="3" t="s">
        <v>2374</v>
      </c>
      <c r="P2" s="3" t="s">
        <v>2375</v>
      </c>
      <c r="Q2" s="3">
        <v>3.0</v>
      </c>
      <c r="R2" s="3">
        <v>564.0</v>
      </c>
      <c r="S2" s="3">
        <v>11.041297</v>
      </c>
      <c r="T2" s="3">
        <v>0.239735</v>
      </c>
      <c r="U2" s="3" t="s">
        <v>2376</v>
      </c>
      <c r="V2" s="3">
        <v>0.0</v>
      </c>
      <c r="W2" s="3">
        <v>1849.0</v>
      </c>
      <c r="X2" s="3">
        <v>5227.0</v>
      </c>
      <c r="Y2" s="3">
        <v>44.0</v>
      </c>
      <c r="Z2" s="3">
        <v>156.0</v>
      </c>
      <c r="AA2" s="3">
        <v>274.0</v>
      </c>
      <c r="AB2" s="3">
        <v>723.0</v>
      </c>
      <c r="AC2" s="3">
        <v>194.0</v>
      </c>
    </row>
    <row r="3">
      <c r="A3" s="3">
        <v>1.0</v>
      </c>
      <c r="B3" s="3" t="s">
        <v>2373</v>
      </c>
      <c r="C3" s="3">
        <v>220.0</v>
      </c>
      <c r="D3" s="3" t="s">
        <v>504</v>
      </c>
      <c r="E3" s="3">
        <v>17.117188</v>
      </c>
      <c r="F3" s="3">
        <v>-88.890606</v>
      </c>
      <c r="G3" s="3">
        <v>0.0</v>
      </c>
      <c r="H3" s="3">
        <v>0.0</v>
      </c>
      <c r="I3" s="3" t="s">
        <v>187</v>
      </c>
      <c r="J3" s="3">
        <v>66.0</v>
      </c>
      <c r="K3" s="3">
        <v>67.0</v>
      </c>
      <c r="L3" s="3" t="s">
        <v>445</v>
      </c>
      <c r="M3" s="3">
        <v>7.0</v>
      </c>
      <c r="N3" s="3" t="s">
        <v>446</v>
      </c>
      <c r="O3" s="3" t="s">
        <v>2374</v>
      </c>
      <c r="P3" s="3" t="s">
        <v>2375</v>
      </c>
      <c r="Q3" s="3">
        <v>3.0</v>
      </c>
      <c r="R3" s="3">
        <v>564.0</v>
      </c>
      <c r="S3" s="3">
        <v>11.041297</v>
      </c>
      <c r="T3" s="3">
        <v>0.239735</v>
      </c>
      <c r="U3" s="3" t="s">
        <v>2376</v>
      </c>
      <c r="V3" s="3">
        <v>0.0</v>
      </c>
      <c r="W3" s="3">
        <v>1849.0</v>
      </c>
      <c r="X3" s="3">
        <v>5227.0</v>
      </c>
      <c r="Y3" s="3">
        <v>44.0</v>
      </c>
      <c r="Z3" s="3">
        <v>156.0</v>
      </c>
      <c r="AA3" s="3">
        <v>274.0</v>
      </c>
      <c r="AB3" s="3">
        <v>723.0</v>
      </c>
      <c r="AC3" s="3">
        <v>194.0</v>
      </c>
    </row>
    <row r="4">
      <c r="A4" s="3">
        <v>2.0</v>
      </c>
      <c r="B4" s="3" t="s">
        <v>2373</v>
      </c>
      <c r="C4" s="3">
        <v>264.0</v>
      </c>
      <c r="D4" s="3" t="s">
        <v>2033</v>
      </c>
      <c r="E4" s="3">
        <v>17.751954</v>
      </c>
      <c r="F4" s="3">
        <v>-88.653037</v>
      </c>
      <c r="G4" s="3">
        <v>0.0</v>
      </c>
      <c r="H4" s="3">
        <v>0.0</v>
      </c>
      <c r="I4" s="3" t="s">
        <v>187</v>
      </c>
      <c r="J4" s="3">
        <v>66.0</v>
      </c>
      <c r="K4" s="3">
        <v>67.0</v>
      </c>
      <c r="L4" s="3" t="s">
        <v>445</v>
      </c>
      <c r="M4" s="3">
        <v>7.0</v>
      </c>
      <c r="N4" s="3" t="s">
        <v>446</v>
      </c>
      <c r="O4" s="3" t="s">
        <v>2374</v>
      </c>
      <c r="P4" s="3" t="s">
        <v>2375</v>
      </c>
      <c r="Q4" s="3">
        <v>3.0</v>
      </c>
      <c r="R4" s="3">
        <v>564.0</v>
      </c>
      <c r="S4" s="3">
        <v>11.041297</v>
      </c>
      <c r="T4" s="3">
        <v>0.239735</v>
      </c>
      <c r="U4" s="3" t="s">
        <v>2376</v>
      </c>
      <c r="V4" s="3">
        <v>0.0</v>
      </c>
      <c r="W4" s="3">
        <v>1691.0</v>
      </c>
      <c r="X4" s="3">
        <v>5316.0</v>
      </c>
      <c r="Y4" s="3">
        <v>45.0</v>
      </c>
      <c r="Z4" s="3">
        <v>148.0</v>
      </c>
      <c r="AA4" s="3">
        <v>242.0</v>
      </c>
      <c r="AB4" s="3">
        <v>664.0</v>
      </c>
      <c r="AC4" s="3">
        <v>41.0</v>
      </c>
    </row>
    <row r="5">
      <c r="A5" s="3">
        <v>3.0</v>
      </c>
      <c r="B5" s="3" t="s">
        <v>2373</v>
      </c>
      <c r="C5" s="3">
        <v>267.0</v>
      </c>
      <c r="D5" s="3" t="s">
        <v>2267</v>
      </c>
      <c r="E5" s="3">
        <v>17.763331</v>
      </c>
      <c r="F5" s="3">
        <v>-88.651927</v>
      </c>
      <c r="G5" s="3">
        <v>0.0</v>
      </c>
      <c r="H5" s="3">
        <v>0.0</v>
      </c>
      <c r="I5" s="3" t="s">
        <v>187</v>
      </c>
      <c r="J5" s="3">
        <v>66.0</v>
      </c>
      <c r="K5" s="3">
        <v>67.0</v>
      </c>
      <c r="L5" s="3" t="s">
        <v>445</v>
      </c>
      <c r="M5" s="3">
        <v>7.0</v>
      </c>
      <c r="N5" s="3" t="s">
        <v>446</v>
      </c>
      <c r="O5" s="3" t="s">
        <v>2374</v>
      </c>
      <c r="P5" s="3" t="s">
        <v>2375</v>
      </c>
      <c r="Q5" s="3">
        <v>3.0</v>
      </c>
      <c r="R5" s="3">
        <v>564.0</v>
      </c>
      <c r="S5" s="3">
        <v>11.041297</v>
      </c>
      <c r="T5" s="3">
        <v>0.239735</v>
      </c>
      <c r="U5" s="3" t="s">
        <v>2376</v>
      </c>
      <c r="V5" s="3">
        <v>0.0</v>
      </c>
      <c r="W5" s="3">
        <v>1685.0</v>
      </c>
      <c r="X5" s="3">
        <v>5318.0</v>
      </c>
      <c r="Y5" s="3">
        <v>44.0</v>
      </c>
      <c r="Z5" s="3">
        <v>146.0</v>
      </c>
      <c r="AA5" s="3">
        <v>241.0</v>
      </c>
      <c r="AB5" s="3">
        <v>661.0</v>
      </c>
      <c r="AC5" s="3">
        <v>42.0</v>
      </c>
    </row>
    <row r="6">
      <c r="A6" s="3">
        <v>4.0</v>
      </c>
      <c r="B6" s="3" t="s">
        <v>2373</v>
      </c>
      <c r="C6" s="3">
        <v>268.0</v>
      </c>
      <c r="D6" s="3" t="s">
        <v>2040</v>
      </c>
      <c r="E6" s="3">
        <v>17.751954</v>
      </c>
      <c r="F6" s="3">
        <v>-88.653037</v>
      </c>
      <c r="G6" s="3">
        <v>0.0</v>
      </c>
      <c r="H6" s="3">
        <v>0.0</v>
      </c>
      <c r="I6" s="3" t="s">
        <v>187</v>
      </c>
      <c r="J6" s="3">
        <v>66.0</v>
      </c>
      <c r="K6" s="3">
        <v>67.0</v>
      </c>
      <c r="L6" s="3" t="s">
        <v>445</v>
      </c>
      <c r="M6" s="3">
        <v>7.0</v>
      </c>
      <c r="N6" s="3" t="s">
        <v>446</v>
      </c>
      <c r="O6" s="3" t="s">
        <v>2374</v>
      </c>
      <c r="P6" s="3" t="s">
        <v>2375</v>
      </c>
      <c r="Q6" s="3">
        <v>3.0</v>
      </c>
      <c r="R6" s="3">
        <v>564.0</v>
      </c>
      <c r="S6" s="3">
        <v>11.041297</v>
      </c>
      <c r="T6" s="3">
        <v>0.239735</v>
      </c>
      <c r="U6" s="3" t="s">
        <v>2376</v>
      </c>
      <c r="V6" s="3">
        <v>0.0</v>
      </c>
      <c r="W6" s="3">
        <v>1691.0</v>
      </c>
      <c r="X6" s="3">
        <v>5316.0</v>
      </c>
      <c r="Y6" s="3">
        <v>45.0</v>
      </c>
      <c r="Z6" s="3">
        <v>148.0</v>
      </c>
      <c r="AA6" s="3">
        <v>242.0</v>
      </c>
      <c r="AB6" s="3">
        <v>664.0</v>
      </c>
      <c r="AC6" s="3">
        <v>41.0</v>
      </c>
    </row>
    <row r="7">
      <c r="A7" s="3">
        <v>5.0</v>
      </c>
      <c r="B7" s="3" t="s">
        <v>2373</v>
      </c>
      <c r="C7" s="3">
        <v>269.0</v>
      </c>
      <c r="D7" s="3" t="s">
        <v>2042</v>
      </c>
      <c r="E7" s="3">
        <v>17.763331</v>
      </c>
      <c r="F7" s="3">
        <v>-88.651927</v>
      </c>
      <c r="G7" s="3">
        <v>0.0</v>
      </c>
      <c r="H7" s="3">
        <v>0.0</v>
      </c>
      <c r="I7" s="3" t="s">
        <v>187</v>
      </c>
      <c r="J7" s="3">
        <v>66.0</v>
      </c>
      <c r="K7" s="3">
        <v>67.0</v>
      </c>
      <c r="L7" s="3" t="s">
        <v>445</v>
      </c>
      <c r="M7" s="3">
        <v>7.0</v>
      </c>
      <c r="N7" s="3" t="s">
        <v>446</v>
      </c>
      <c r="O7" s="3" t="s">
        <v>2374</v>
      </c>
      <c r="P7" s="3" t="s">
        <v>2375</v>
      </c>
      <c r="Q7" s="3">
        <v>3.0</v>
      </c>
      <c r="R7" s="3">
        <v>564.0</v>
      </c>
      <c r="S7" s="3">
        <v>11.041297</v>
      </c>
      <c r="T7" s="3">
        <v>0.239735</v>
      </c>
      <c r="U7" s="3" t="s">
        <v>2376</v>
      </c>
      <c r="V7" s="3">
        <v>0.0</v>
      </c>
      <c r="W7" s="3">
        <v>1685.0</v>
      </c>
      <c r="X7" s="3">
        <v>5318.0</v>
      </c>
      <c r="Y7" s="3">
        <v>44.0</v>
      </c>
      <c r="Z7" s="3">
        <v>146.0</v>
      </c>
      <c r="AA7" s="3">
        <v>241.0</v>
      </c>
      <c r="AB7" s="3">
        <v>661.0</v>
      </c>
      <c r="AC7" s="3">
        <v>42.0</v>
      </c>
    </row>
    <row r="8">
      <c r="A8" s="3">
        <v>6.0</v>
      </c>
      <c r="B8" s="3" t="s">
        <v>2373</v>
      </c>
      <c r="C8" s="3">
        <v>270.0</v>
      </c>
      <c r="D8" s="3" t="s">
        <v>1106</v>
      </c>
      <c r="E8" s="3">
        <v>17.763331</v>
      </c>
      <c r="F8" s="3">
        <v>-88.651927</v>
      </c>
      <c r="G8" s="3">
        <v>0.0</v>
      </c>
      <c r="H8" s="3">
        <v>0.0</v>
      </c>
      <c r="I8" s="3" t="s">
        <v>187</v>
      </c>
      <c r="J8" s="3">
        <v>66.0</v>
      </c>
      <c r="K8" s="3">
        <v>67.0</v>
      </c>
      <c r="L8" s="3" t="s">
        <v>445</v>
      </c>
      <c r="M8" s="3">
        <v>7.0</v>
      </c>
      <c r="N8" s="3" t="s">
        <v>446</v>
      </c>
      <c r="O8" s="3" t="s">
        <v>2374</v>
      </c>
      <c r="P8" s="3" t="s">
        <v>2375</v>
      </c>
      <c r="Q8" s="3">
        <v>3.0</v>
      </c>
      <c r="R8" s="3">
        <v>564.0</v>
      </c>
      <c r="S8" s="3">
        <v>11.041297</v>
      </c>
      <c r="T8" s="3">
        <v>0.239735</v>
      </c>
      <c r="U8" s="3" t="s">
        <v>2376</v>
      </c>
      <c r="V8" s="3">
        <v>0.0</v>
      </c>
      <c r="W8" s="3">
        <v>1685.0</v>
      </c>
      <c r="X8" s="3">
        <v>5318.0</v>
      </c>
      <c r="Y8" s="3">
        <v>44.0</v>
      </c>
      <c r="Z8" s="3">
        <v>146.0</v>
      </c>
      <c r="AA8" s="3">
        <v>241.0</v>
      </c>
      <c r="AB8" s="3">
        <v>661.0</v>
      </c>
      <c r="AC8" s="3">
        <v>42.0</v>
      </c>
    </row>
    <row r="9">
      <c r="A9" s="3">
        <v>7.0</v>
      </c>
      <c r="B9" s="3" t="s">
        <v>2373</v>
      </c>
      <c r="C9" s="3">
        <v>271.0</v>
      </c>
      <c r="D9" s="3" t="s">
        <v>1110</v>
      </c>
      <c r="E9" s="3">
        <v>17.751954</v>
      </c>
      <c r="F9" s="3">
        <v>-88.653037</v>
      </c>
      <c r="G9" s="3">
        <v>0.0</v>
      </c>
      <c r="H9" s="3">
        <v>0.0</v>
      </c>
      <c r="I9" s="3" t="s">
        <v>187</v>
      </c>
      <c r="J9" s="3">
        <v>66.0</v>
      </c>
      <c r="K9" s="3">
        <v>67.0</v>
      </c>
      <c r="L9" s="3" t="s">
        <v>445</v>
      </c>
      <c r="M9" s="3">
        <v>7.0</v>
      </c>
      <c r="N9" s="3" t="s">
        <v>446</v>
      </c>
      <c r="O9" s="3" t="s">
        <v>2374</v>
      </c>
      <c r="P9" s="3" t="s">
        <v>2375</v>
      </c>
      <c r="Q9" s="3">
        <v>3.0</v>
      </c>
      <c r="R9" s="3">
        <v>564.0</v>
      </c>
      <c r="S9" s="3">
        <v>11.041297</v>
      </c>
      <c r="T9" s="3">
        <v>0.239735</v>
      </c>
      <c r="U9" s="3" t="s">
        <v>2376</v>
      </c>
      <c r="V9" s="3">
        <v>0.0</v>
      </c>
      <c r="W9" s="3">
        <v>1691.0</v>
      </c>
      <c r="X9" s="3">
        <v>5316.0</v>
      </c>
      <c r="Y9" s="3">
        <v>45.0</v>
      </c>
      <c r="Z9" s="3">
        <v>148.0</v>
      </c>
      <c r="AA9" s="3">
        <v>242.0</v>
      </c>
      <c r="AB9" s="3">
        <v>664.0</v>
      </c>
      <c r="AC9" s="3">
        <v>41.0</v>
      </c>
    </row>
    <row r="10">
      <c r="A10" s="3">
        <v>8.0</v>
      </c>
      <c r="B10" s="3" t="s">
        <v>2373</v>
      </c>
      <c r="C10" s="3">
        <v>273.0</v>
      </c>
      <c r="D10" s="3" t="s">
        <v>2043</v>
      </c>
      <c r="E10" s="3">
        <v>17.763331</v>
      </c>
      <c r="F10" s="3">
        <v>-88.651927</v>
      </c>
      <c r="G10" s="3">
        <v>0.0</v>
      </c>
      <c r="H10" s="3">
        <v>0.0</v>
      </c>
      <c r="I10" s="3" t="s">
        <v>187</v>
      </c>
      <c r="J10" s="3">
        <v>66.0</v>
      </c>
      <c r="K10" s="3">
        <v>67.0</v>
      </c>
      <c r="L10" s="3" t="s">
        <v>445</v>
      </c>
      <c r="M10" s="3">
        <v>7.0</v>
      </c>
      <c r="N10" s="3" t="s">
        <v>446</v>
      </c>
      <c r="O10" s="3" t="s">
        <v>2374</v>
      </c>
      <c r="P10" s="3" t="s">
        <v>2375</v>
      </c>
      <c r="Q10" s="3">
        <v>3.0</v>
      </c>
      <c r="R10" s="3">
        <v>564.0</v>
      </c>
      <c r="S10" s="3">
        <v>11.041297</v>
      </c>
      <c r="T10" s="3">
        <v>0.239735</v>
      </c>
      <c r="U10" s="3" t="s">
        <v>2376</v>
      </c>
      <c r="V10" s="3">
        <v>0.0</v>
      </c>
      <c r="W10" s="3">
        <v>1685.0</v>
      </c>
      <c r="X10" s="3">
        <v>5318.0</v>
      </c>
      <c r="Y10" s="3">
        <v>44.0</v>
      </c>
      <c r="Z10" s="3">
        <v>146.0</v>
      </c>
      <c r="AA10" s="3">
        <v>241.0</v>
      </c>
      <c r="AB10" s="3">
        <v>661.0</v>
      </c>
      <c r="AC10" s="3">
        <v>42.0</v>
      </c>
    </row>
    <row r="11">
      <c r="A11" s="3">
        <v>9.0</v>
      </c>
      <c r="B11" s="3" t="s">
        <v>2373</v>
      </c>
      <c r="C11" s="3">
        <v>274.0</v>
      </c>
      <c r="D11" s="3" t="s">
        <v>2046</v>
      </c>
      <c r="E11" s="3">
        <v>17.751954</v>
      </c>
      <c r="F11" s="3">
        <v>-88.653037</v>
      </c>
      <c r="G11" s="3">
        <v>0.0</v>
      </c>
      <c r="H11" s="3">
        <v>0.0</v>
      </c>
      <c r="I11" s="3" t="s">
        <v>187</v>
      </c>
      <c r="J11" s="3">
        <v>66.0</v>
      </c>
      <c r="K11" s="3">
        <v>67.0</v>
      </c>
      <c r="L11" s="3" t="s">
        <v>445</v>
      </c>
      <c r="M11" s="3">
        <v>7.0</v>
      </c>
      <c r="N11" s="3" t="s">
        <v>446</v>
      </c>
      <c r="O11" s="3" t="s">
        <v>2374</v>
      </c>
      <c r="P11" s="3" t="s">
        <v>2375</v>
      </c>
      <c r="Q11" s="3">
        <v>3.0</v>
      </c>
      <c r="R11" s="3">
        <v>564.0</v>
      </c>
      <c r="S11" s="3">
        <v>11.041297</v>
      </c>
      <c r="T11" s="3">
        <v>0.239735</v>
      </c>
      <c r="U11" s="3" t="s">
        <v>2376</v>
      </c>
      <c r="V11" s="3">
        <v>0.0</v>
      </c>
      <c r="W11" s="3">
        <v>1691.0</v>
      </c>
      <c r="X11" s="3">
        <v>5316.0</v>
      </c>
      <c r="Y11" s="3">
        <v>45.0</v>
      </c>
      <c r="Z11" s="3">
        <v>148.0</v>
      </c>
      <c r="AA11" s="3">
        <v>242.0</v>
      </c>
      <c r="AB11" s="3">
        <v>664.0</v>
      </c>
      <c r="AC11" s="3">
        <v>41.0</v>
      </c>
    </row>
    <row r="12">
      <c r="A12" s="3">
        <v>10.0</v>
      </c>
      <c r="B12" s="3" t="s">
        <v>2373</v>
      </c>
      <c r="C12" s="3">
        <v>275.0</v>
      </c>
      <c r="D12" s="3" t="s">
        <v>2047</v>
      </c>
      <c r="E12" s="3">
        <v>17.751954</v>
      </c>
      <c r="F12" s="3">
        <v>-88.653037</v>
      </c>
      <c r="G12" s="3">
        <v>0.0</v>
      </c>
      <c r="H12" s="3">
        <v>0.0</v>
      </c>
      <c r="I12" s="3" t="s">
        <v>187</v>
      </c>
      <c r="J12" s="3">
        <v>66.0</v>
      </c>
      <c r="K12" s="3">
        <v>67.0</v>
      </c>
      <c r="L12" s="3" t="s">
        <v>445</v>
      </c>
      <c r="M12" s="3">
        <v>7.0</v>
      </c>
      <c r="N12" s="3" t="s">
        <v>446</v>
      </c>
      <c r="O12" s="3" t="s">
        <v>2374</v>
      </c>
      <c r="P12" s="3" t="s">
        <v>2375</v>
      </c>
      <c r="Q12" s="3">
        <v>3.0</v>
      </c>
      <c r="R12" s="3">
        <v>564.0</v>
      </c>
      <c r="S12" s="3">
        <v>11.041297</v>
      </c>
      <c r="T12" s="3">
        <v>0.239735</v>
      </c>
      <c r="U12" s="3" t="s">
        <v>2376</v>
      </c>
      <c r="V12" s="3">
        <v>0.0</v>
      </c>
      <c r="W12" s="3">
        <v>1691.0</v>
      </c>
      <c r="X12" s="3">
        <v>5316.0</v>
      </c>
      <c r="Y12" s="3">
        <v>45.0</v>
      </c>
      <c r="Z12" s="3">
        <v>148.0</v>
      </c>
      <c r="AA12" s="3">
        <v>242.0</v>
      </c>
      <c r="AB12" s="3">
        <v>664.0</v>
      </c>
      <c r="AC12" s="3">
        <v>41.0</v>
      </c>
    </row>
    <row r="13">
      <c r="A13" s="3">
        <v>11.0</v>
      </c>
      <c r="B13" s="3" t="s">
        <v>2373</v>
      </c>
      <c r="C13" s="3">
        <v>276.0</v>
      </c>
      <c r="D13" s="3" t="s">
        <v>2049</v>
      </c>
      <c r="E13" s="3">
        <v>17.751954</v>
      </c>
      <c r="F13" s="3">
        <v>-88.653037</v>
      </c>
      <c r="G13" s="3">
        <v>0.0</v>
      </c>
      <c r="H13" s="3">
        <v>0.0</v>
      </c>
      <c r="I13" s="3" t="s">
        <v>187</v>
      </c>
      <c r="J13" s="3">
        <v>66.0</v>
      </c>
      <c r="K13" s="3">
        <v>67.0</v>
      </c>
      <c r="L13" s="3" t="s">
        <v>445</v>
      </c>
      <c r="M13" s="3">
        <v>7.0</v>
      </c>
      <c r="N13" s="3" t="s">
        <v>446</v>
      </c>
      <c r="O13" s="3" t="s">
        <v>2374</v>
      </c>
      <c r="P13" s="3" t="s">
        <v>2375</v>
      </c>
      <c r="Q13" s="3">
        <v>3.0</v>
      </c>
      <c r="R13" s="3">
        <v>564.0</v>
      </c>
      <c r="S13" s="3">
        <v>11.041297</v>
      </c>
      <c r="T13" s="3">
        <v>0.239735</v>
      </c>
      <c r="U13" s="3" t="s">
        <v>2376</v>
      </c>
      <c r="V13" s="3">
        <v>0.0</v>
      </c>
      <c r="W13" s="3">
        <v>1691.0</v>
      </c>
      <c r="X13" s="3">
        <v>5316.0</v>
      </c>
      <c r="Y13" s="3">
        <v>45.0</v>
      </c>
      <c r="Z13" s="3">
        <v>148.0</v>
      </c>
      <c r="AA13" s="3">
        <v>242.0</v>
      </c>
      <c r="AB13" s="3">
        <v>664.0</v>
      </c>
      <c r="AC13" s="3">
        <v>41.0</v>
      </c>
    </row>
    <row r="14">
      <c r="A14" s="3">
        <v>12.0</v>
      </c>
      <c r="B14" s="3" t="s">
        <v>2373</v>
      </c>
      <c r="C14" s="3">
        <v>380.0</v>
      </c>
      <c r="D14" s="3" t="s">
        <v>442</v>
      </c>
      <c r="E14" s="3">
        <v>17.117188</v>
      </c>
      <c r="F14" s="3">
        <v>-88.890606</v>
      </c>
      <c r="G14" s="3">
        <v>0.0</v>
      </c>
      <c r="H14" s="3">
        <v>0.0</v>
      </c>
      <c r="I14" s="3" t="s">
        <v>187</v>
      </c>
      <c r="J14" s="3">
        <v>66.0</v>
      </c>
      <c r="K14" s="3">
        <v>67.0</v>
      </c>
      <c r="L14" s="3" t="s">
        <v>445</v>
      </c>
      <c r="M14" s="3">
        <v>7.0</v>
      </c>
      <c r="N14" s="3" t="s">
        <v>446</v>
      </c>
      <c r="O14" s="3" t="s">
        <v>2374</v>
      </c>
      <c r="P14" s="3" t="s">
        <v>2375</v>
      </c>
      <c r="Q14" s="3">
        <v>3.0</v>
      </c>
      <c r="R14" s="3">
        <v>564.0</v>
      </c>
      <c r="S14" s="3">
        <v>11.041297</v>
      </c>
      <c r="T14" s="3">
        <v>0.239735</v>
      </c>
      <c r="U14" s="3" t="s">
        <v>2376</v>
      </c>
      <c r="V14" s="3">
        <v>0.0</v>
      </c>
      <c r="W14" s="3">
        <v>1849.0</v>
      </c>
      <c r="X14" s="3">
        <v>5227.0</v>
      </c>
      <c r="Y14" s="3">
        <v>44.0</v>
      </c>
      <c r="Z14" s="3">
        <v>156.0</v>
      </c>
      <c r="AA14" s="3">
        <v>274.0</v>
      </c>
      <c r="AB14" s="3">
        <v>723.0</v>
      </c>
      <c r="AC14" s="3">
        <v>194.0</v>
      </c>
    </row>
    <row r="15">
      <c r="A15" s="3">
        <v>13.0</v>
      </c>
      <c r="B15" s="3" t="s">
        <v>2373</v>
      </c>
      <c r="C15" s="3">
        <v>381.0</v>
      </c>
      <c r="D15" s="3" t="s">
        <v>458</v>
      </c>
      <c r="E15" s="3">
        <v>17.117188</v>
      </c>
      <c r="F15" s="3">
        <v>-88.890606</v>
      </c>
      <c r="G15" s="3">
        <v>0.0</v>
      </c>
      <c r="H15" s="3">
        <v>0.0</v>
      </c>
      <c r="I15" s="3" t="s">
        <v>187</v>
      </c>
      <c r="J15" s="3">
        <v>66.0</v>
      </c>
      <c r="K15" s="3">
        <v>67.0</v>
      </c>
      <c r="L15" s="3" t="s">
        <v>445</v>
      </c>
      <c r="M15" s="3">
        <v>7.0</v>
      </c>
      <c r="N15" s="3" t="s">
        <v>446</v>
      </c>
      <c r="O15" s="3" t="s">
        <v>2374</v>
      </c>
      <c r="P15" s="3" t="s">
        <v>2375</v>
      </c>
      <c r="Q15" s="3">
        <v>3.0</v>
      </c>
      <c r="R15" s="3">
        <v>564.0</v>
      </c>
      <c r="S15" s="3">
        <v>11.041297</v>
      </c>
      <c r="T15" s="3">
        <v>0.239735</v>
      </c>
      <c r="U15" s="3" t="s">
        <v>2376</v>
      </c>
      <c r="V15" s="3">
        <v>0.0</v>
      </c>
      <c r="W15" s="3">
        <v>1849.0</v>
      </c>
      <c r="X15" s="3">
        <v>5227.0</v>
      </c>
      <c r="Y15" s="3">
        <v>44.0</v>
      </c>
      <c r="Z15" s="3">
        <v>156.0</v>
      </c>
      <c r="AA15" s="3">
        <v>274.0</v>
      </c>
      <c r="AB15" s="3">
        <v>723.0</v>
      </c>
      <c r="AC15" s="3">
        <v>194.0</v>
      </c>
    </row>
    <row r="16">
      <c r="A16" s="3">
        <v>14.0</v>
      </c>
      <c r="B16" s="3" t="s">
        <v>2373</v>
      </c>
      <c r="C16" s="3">
        <v>277.0</v>
      </c>
      <c r="D16" s="3" t="s">
        <v>2054</v>
      </c>
      <c r="E16" s="3">
        <v>17.4</v>
      </c>
      <c r="F16" s="3">
        <v>-88.066667</v>
      </c>
      <c r="G16" s="3">
        <v>2.0</v>
      </c>
      <c r="H16" s="3">
        <v>0.0</v>
      </c>
      <c r="I16" s="3" t="s">
        <v>187</v>
      </c>
      <c r="J16" s="3">
        <v>431.0</v>
      </c>
      <c r="K16" s="3">
        <v>436.0</v>
      </c>
      <c r="L16" s="3" t="s">
        <v>658</v>
      </c>
      <c r="M16" s="3">
        <v>14.0</v>
      </c>
      <c r="N16" s="3" t="s">
        <v>659</v>
      </c>
      <c r="O16" s="3" t="s">
        <v>2374</v>
      </c>
      <c r="P16" s="3" t="s">
        <v>2377</v>
      </c>
      <c r="Q16" s="3">
        <v>1.0</v>
      </c>
      <c r="R16" s="3">
        <v>613.0</v>
      </c>
      <c r="S16" s="3">
        <v>95.343925</v>
      </c>
      <c r="T16" s="3">
        <v>2.279907</v>
      </c>
      <c r="U16" s="3" t="s">
        <v>2376</v>
      </c>
      <c r="V16" s="3">
        <v>0.058896</v>
      </c>
      <c r="W16" s="3">
        <v>1718.0</v>
      </c>
      <c r="X16" s="3">
        <v>5103.0</v>
      </c>
      <c r="Y16" s="3">
        <v>38.0</v>
      </c>
      <c r="Z16" s="3">
        <v>152.0</v>
      </c>
      <c r="AA16" s="3">
        <v>239.0</v>
      </c>
      <c r="AB16" s="3">
        <v>641.0</v>
      </c>
      <c r="AC16" s="3">
        <v>1.0</v>
      </c>
    </row>
    <row r="17">
      <c r="A17" s="3">
        <v>15.0</v>
      </c>
      <c r="B17" s="3" t="s">
        <v>2373</v>
      </c>
      <c r="C17" s="3">
        <v>278.0</v>
      </c>
      <c r="D17" s="3" t="s">
        <v>2058</v>
      </c>
      <c r="E17" s="3">
        <v>17.4</v>
      </c>
      <c r="F17" s="3">
        <v>-88.066667</v>
      </c>
      <c r="G17" s="3">
        <v>2.0</v>
      </c>
      <c r="H17" s="3">
        <v>0.0</v>
      </c>
      <c r="I17" s="3" t="s">
        <v>187</v>
      </c>
      <c r="J17" s="3">
        <v>431.0</v>
      </c>
      <c r="K17" s="3">
        <v>436.0</v>
      </c>
      <c r="L17" s="3" t="s">
        <v>658</v>
      </c>
      <c r="M17" s="3">
        <v>14.0</v>
      </c>
      <c r="N17" s="3" t="s">
        <v>659</v>
      </c>
      <c r="O17" s="3" t="s">
        <v>2374</v>
      </c>
      <c r="P17" s="3" t="s">
        <v>2377</v>
      </c>
      <c r="Q17" s="3">
        <v>1.0</v>
      </c>
      <c r="R17" s="3">
        <v>613.0</v>
      </c>
      <c r="S17" s="3">
        <v>95.343925</v>
      </c>
      <c r="T17" s="3">
        <v>2.279907</v>
      </c>
      <c r="U17" s="3" t="s">
        <v>2376</v>
      </c>
      <c r="V17" s="3">
        <v>0.058896</v>
      </c>
      <c r="W17" s="3">
        <v>1718.0</v>
      </c>
      <c r="X17" s="3">
        <v>5103.0</v>
      </c>
      <c r="Y17" s="3">
        <v>38.0</v>
      </c>
      <c r="Z17" s="3">
        <v>152.0</v>
      </c>
      <c r="AA17" s="3">
        <v>239.0</v>
      </c>
      <c r="AB17" s="3">
        <v>641.0</v>
      </c>
      <c r="AC17" s="3">
        <v>1.0</v>
      </c>
    </row>
    <row r="18">
      <c r="A18" s="3">
        <v>16.0</v>
      </c>
      <c r="B18" s="3" t="s">
        <v>2373</v>
      </c>
      <c r="C18" s="3">
        <v>279.0</v>
      </c>
      <c r="D18" s="3" t="s">
        <v>2059</v>
      </c>
      <c r="E18" s="3">
        <v>17.4</v>
      </c>
      <c r="F18" s="3">
        <v>-88.066667</v>
      </c>
      <c r="G18" s="3">
        <v>2.0</v>
      </c>
      <c r="H18" s="3">
        <v>0.0</v>
      </c>
      <c r="I18" s="3" t="s">
        <v>187</v>
      </c>
      <c r="J18" s="3">
        <v>431.0</v>
      </c>
      <c r="K18" s="3">
        <v>436.0</v>
      </c>
      <c r="L18" s="3" t="s">
        <v>658</v>
      </c>
      <c r="M18" s="3">
        <v>14.0</v>
      </c>
      <c r="N18" s="3" t="s">
        <v>659</v>
      </c>
      <c r="O18" s="3" t="s">
        <v>2374</v>
      </c>
      <c r="P18" s="3" t="s">
        <v>2377</v>
      </c>
      <c r="Q18" s="3">
        <v>1.0</v>
      </c>
      <c r="R18" s="3">
        <v>613.0</v>
      </c>
      <c r="S18" s="3">
        <v>95.343925</v>
      </c>
      <c r="T18" s="3">
        <v>2.279907</v>
      </c>
      <c r="U18" s="3" t="s">
        <v>2376</v>
      </c>
      <c r="V18" s="3">
        <v>0.058896</v>
      </c>
      <c r="W18" s="3">
        <v>1718.0</v>
      </c>
      <c r="X18" s="3">
        <v>5103.0</v>
      </c>
      <c r="Y18" s="3">
        <v>38.0</v>
      </c>
      <c r="Z18" s="3">
        <v>152.0</v>
      </c>
      <c r="AA18" s="3">
        <v>239.0</v>
      </c>
      <c r="AB18" s="3">
        <v>641.0</v>
      </c>
      <c r="AC18" s="3">
        <v>1.0</v>
      </c>
    </row>
    <row r="19">
      <c r="A19" s="3">
        <v>17.0</v>
      </c>
      <c r="B19" s="3" t="s">
        <v>2373</v>
      </c>
      <c r="C19" s="3">
        <v>280.0</v>
      </c>
      <c r="D19" s="3" t="s">
        <v>2061</v>
      </c>
      <c r="E19" s="3">
        <v>17.4</v>
      </c>
      <c r="F19" s="3">
        <v>-88.066667</v>
      </c>
      <c r="G19" s="3">
        <v>2.0</v>
      </c>
      <c r="H19" s="3">
        <v>0.0</v>
      </c>
      <c r="I19" s="3" t="s">
        <v>187</v>
      </c>
      <c r="J19" s="3">
        <v>431.0</v>
      </c>
      <c r="K19" s="3">
        <v>436.0</v>
      </c>
      <c r="L19" s="3" t="s">
        <v>658</v>
      </c>
      <c r="M19" s="3">
        <v>14.0</v>
      </c>
      <c r="N19" s="3" t="s">
        <v>659</v>
      </c>
      <c r="O19" s="3" t="s">
        <v>2374</v>
      </c>
      <c r="P19" s="3" t="s">
        <v>2377</v>
      </c>
      <c r="Q19" s="3">
        <v>1.0</v>
      </c>
      <c r="R19" s="3">
        <v>613.0</v>
      </c>
      <c r="S19" s="3">
        <v>95.343925</v>
      </c>
      <c r="T19" s="3">
        <v>2.279907</v>
      </c>
      <c r="U19" s="3" t="s">
        <v>2376</v>
      </c>
      <c r="V19" s="3">
        <v>0.058896</v>
      </c>
      <c r="W19" s="3">
        <v>1718.0</v>
      </c>
      <c r="X19" s="3">
        <v>5103.0</v>
      </c>
      <c r="Y19" s="3">
        <v>38.0</v>
      </c>
      <c r="Z19" s="3">
        <v>152.0</v>
      </c>
      <c r="AA19" s="3">
        <v>239.0</v>
      </c>
      <c r="AB19" s="3">
        <v>641.0</v>
      </c>
      <c r="AC19" s="3">
        <v>1.0</v>
      </c>
    </row>
    <row r="20">
      <c r="A20" s="3">
        <v>18.0</v>
      </c>
      <c r="B20" s="3" t="s">
        <v>2373</v>
      </c>
      <c r="C20" s="3">
        <v>281.0</v>
      </c>
      <c r="D20" s="3" t="s">
        <v>2063</v>
      </c>
      <c r="E20" s="3">
        <v>17.4</v>
      </c>
      <c r="F20" s="3">
        <v>-88.066667</v>
      </c>
      <c r="G20" s="3">
        <v>2.0</v>
      </c>
      <c r="H20" s="3">
        <v>0.0</v>
      </c>
      <c r="I20" s="3" t="s">
        <v>187</v>
      </c>
      <c r="J20" s="3">
        <v>431.0</v>
      </c>
      <c r="K20" s="3">
        <v>436.0</v>
      </c>
      <c r="L20" s="3" t="s">
        <v>658</v>
      </c>
      <c r="M20" s="3">
        <v>14.0</v>
      </c>
      <c r="N20" s="3" t="s">
        <v>659</v>
      </c>
      <c r="O20" s="3" t="s">
        <v>2374</v>
      </c>
      <c r="P20" s="3" t="s">
        <v>2377</v>
      </c>
      <c r="Q20" s="3">
        <v>1.0</v>
      </c>
      <c r="R20" s="3">
        <v>613.0</v>
      </c>
      <c r="S20" s="3">
        <v>95.343925</v>
      </c>
      <c r="T20" s="3">
        <v>2.279907</v>
      </c>
      <c r="U20" s="3" t="s">
        <v>2376</v>
      </c>
      <c r="V20" s="3">
        <v>0.058896</v>
      </c>
      <c r="W20" s="3">
        <v>1718.0</v>
      </c>
      <c r="X20" s="3">
        <v>5103.0</v>
      </c>
      <c r="Y20" s="3">
        <v>38.0</v>
      </c>
      <c r="Z20" s="3">
        <v>152.0</v>
      </c>
      <c r="AA20" s="3">
        <v>239.0</v>
      </c>
      <c r="AB20" s="3">
        <v>641.0</v>
      </c>
      <c r="AC20" s="3">
        <v>1.0</v>
      </c>
    </row>
    <row r="21">
      <c r="A21" s="3">
        <v>19.0</v>
      </c>
      <c r="B21" s="3" t="s">
        <v>2373</v>
      </c>
      <c r="C21" s="3">
        <v>282.0</v>
      </c>
      <c r="D21" s="78" t="s">
        <v>2065</v>
      </c>
      <c r="E21" s="3">
        <v>17.4</v>
      </c>
      <c r="F21" s="3">
        <v>-88.066667</v>
      </c>
      <c r="G21" s="3">
        <v>2.0</v>
      </c>
      <c r="H21" s="3">
        <v>0.0</v>
      </c>
      <c r="I21" s="3" t="s">
        <v>187</v>
      </c>
      <c r="J21" s="3">
        <v>431.0</v>
      </c>
      <c r="K21" s="3">
        <v>436.0</v>
      </c>
      <c r="L21" s="3" t="s">
        <v>658</v>
      </c>
      <c r="M21" s="3">
        <v>14.0</v>
      </c>
      <c r="N21" s="3" t="s">
        <v>659</v>
      </c>
      <c r="O21" s="3" t="s">
        <v>2374</v>
      </c>
      <c r="P21" s="3" t="s">
        <v>2377</v>
      </c>
      <c r="Q21" s="3">
        <v>1.0</v>
      </c>
      <c r="R21" s="3">
        <v>613.0</v>
      </c>
      <c r="S21" s="3">
        <v>95.343925</v>
      </c>
      <c r="T21" s="3">
        <v>2.279907</v>
      </c>
      <c r="U21" s="3" t="s">
        <v>2376</v>
      </c>
      <c r="V21" s="3">
        <v>0.058896</v>
      </c>
      <c r="W21" s="3">
        <v>1718.0</v>
      </c>
      <c r="X21" s="3">
        <v>5103.0</v>
      </c>
      <c r="Y21" s="3">
        <v>38.0</v>
      </c>
      <c r="Z21" s="3">
        <v>152.0</v>
      </c>
      <c r="AA21" s="3">
        <v>239.0</v>
      </c>
      <c r="AB21" s="3">
        <v>641.0</v>
      </c>
      <c r="AC21" s="3">
        <v>1.0</v>
      </c>
    </row>
    <row r="22">
      <c r="A22" s="3">
        <v>20.0</v>
      </c>
      <c r="B22" s="3" t="s">
        <v>2373</v>
      </c>
      <c r="C22" s="3">
        <v>283.0</v>
      </c>
      <c r="D22" s="3" t="s">
        <v>2068</v>
      </c>
      <c r="E22" s="3">
        <v>17.4</v>
      </c>
      <c r="F22" s="3">
        <v>-88.066667</v>
      </c>
      <c r="G22" s="3">
        <v>2.0</v>
      </c>
      <c r="H22" s="3">
        <v>0.0</v>
      </c>
      <c r="I22" s="3" t="s">
        <v>187</v>
      </c>
      <c r="J22" s="3">
        <v>431.0</v>
      </c>
      <c r="K22" s="3">
        <v>436.0</v>
      </c>
      <c r="L22" s="3" t="s">
        <v>658</v>
      </c>
      <c r="M22" s="3">
        <v>14.0</v>
      </c>
      <c r="N22" s="3" t="s">
        <v>659</v>
      </c>
      <c r="O22" s="3" t="s">
        <v>2374</v>
      </c>
      <c r="P22" s="3" t="s">
        <v>2377</v>
      </c>
      <c r="Q22" s="3">
        <v>1.0</v>
      </c>
      <c r="R22" s="3">
        <v>613.0</v>
      </c>
      <c r="S22" s="3">
        <v>95.343925</v>
      </c>
      <c r="T22" s="3">
        <v>2.279907</v>
      </c>
      <c r="U22" s="3" t="s">
        <v>2376</v>
      </c>
      <c r="V22" s="3">
        <v>0.058896</v>
      </c>
      <c r="W22" s="3">
        <v>1718.0</v>
      </c>
      <c r="X22" s="3">
        <v>5103.0</v>
      </c>
      <c r="Y22" s="3">
        <v>38.0</v>
      </c>
      <c r="Z22" s="3">
        <v>152.0</v>
      </c>
      <c r="AA22" s="3">
        <v>239.0</v>
      </c>
      <c r="AB22" s="3">
        <v>641.0</v>
      </c>
      <c r="AC22" s="3">
        <v>1.0</v>
      </c>
    </row>
    <row r="23">
      <c r="A23" s="3">
        <v>21.0</v>
      </c>
      <c r="B23" s="3" t="s">
        <v>2373</v>
      </c>
      <c r="C23" s="3">
        <v>340.0</v>
      </c>
      <c r="D23" s="3" t="s">
        <v>2110</v>
      </c>
      <c r="E23" s="3">
        <v>17.472047</v>
      </c>
      <c r="F23" s="3">
        <v>-88.260859</v>
      </c>
      <c r="G23" s="3">
        <v>2.0</v>
      </c>
      <c r="H23" s="3">
        <v>0.0</v>
      </c>
      <c r="I23" s="3" t="s">
        <v>187</v>
      </c>
      <c r="J23" s="3">
        <v>431.0</v>
      </c>
      <c r="K23" s="3">
        <v>436.0</v>
      </c>
      <c r="L23" s="3" t="s">
        <v>658</v>
      </c>
      <c r="M23" s="3">
        <v>14.0</v>
      </c>
      <c r="N23" s="3" t="s">
        <v>659</v>
      </c>
      <c r="O23" s="3" t="s">
        <v>2374</v>
      </c>
      <c r="P23" s="3" t="s">
        <v>2377</v>
      </c>
      <c r="Q23" s="3">
        <v>1.0</v>
      </c>
      <c r="R23" s="3">
        <v>613.0</v>
      </c>
      <c r="S23" s="3">
        <v>95.343925</v>
      </c>
      <c r="T23" s="3">
        <v>2.279907</v>
      </c>
      <c r="U23" s="3" t="s">
        <v>2376</v>
      </c>
      <c r="V23" s="3">
        <v>0.0</v>
      </c>
      <c r="W23" s="3">
        <v>1875.0</v>
      </c>
      <c r="X23" s="3">
        <v>5008.0</v>
      </c>
      <c r="Y23" s="3">
        <v>48.0</v>
      </c>
      <c r="Z23" s="3">
        <v>161.0</v>
      </c>
      <c r="AA23" s="3">
        <v>251.0</v>
      </c>
      <c r="AB23" s="3">
        <v>687.0</v>
      </c>
      <c r="AC23" s="3">
        <v>4.0</v>
      </c>
    </row>
    <row r="24">
      <c r="A24" s="3">
        <v>22.0</v>
      </c>
      <c r="B24" s="3" t="s">
        <v>2373</v>
      </c>
      <c r="C24" s="3">
        <v>341.0</v>
      </c>
      <c r="D24" s="3" t="s">
        <v>2114</v>
      </c>
      <c r="E24" s="3">
        <v>17.472047</v>
      </c>
      <c r="F24" s="3">
        <v>-88.260859</v>
      </c>
      <c r="G24" s="3">
        <v>2.0</v>
      </c>
      <c r="H24" s="3">
        <v>0.0</v>
      </c>
      <c r="I24" s="3" t="s">
        <v>187</v>
      </c>
      <c r="J24" s="3">
        <v>431.0</v>
      </c>
      <c r="K24" s="3">
        <v>436.0</v>
      </c>
      <c r="L24" s="3" t="s">
        <v>658</v>
      </c>
      <c r="M24" s="3">
        <v>14.0</v>
      </c>
      <c r="N24" s="3" t="s">
        <v>659</v>
      </c>
      <c r="O24" s="3" t="s">
        <v>2374</v>
      </c>
      <c r="P24" s="3" t="s">
        <v>2377</v>
      </c>
      <c r="Q24" s="3">
        <v>1.0</v>
      </c>
      <c r="R24" s="3">
        <v>613.0</v>
      </c>
      <c r="S24" s="3">
        <v>95.343925</v>
      </c>
      <c r="T24" s="3">
        <v>2.279907</v>
      </c>
      <c r="U24" s="3" t="s">
        <v>2376</v>
      </c>
      <c r="V24" s="3">
        <v>0.0</v>
      </c>
      <c r="W24" s="3">
        <v>1875.0</v>
      </c>
      <c r="X24" s="3">
        <v>5008.0</v>
      </c>
      <c r="Y24" s="3">
        <v>48.0</v>
      </c>
      <c r="Z24" s="3">
        <v>161.0</v>
      </c>
      <c r="AA24" s="3">
        <v>251.0</v>
      </c>
      <c r="AB24" s="3">
        <v>687.0</v>
      </c>
      <c r="AC24" s="3">
        <v>4.0</v>
      </c>
    </row>
    <row r="25">
      <c r="A25" s="3">
        <v>23.0</v>
      </c>
      <c r="B25" s="3" t="s">
        <v>2373</v>
      </c>
      <c r="C25" s="3">
        <v>342.0</v>
      </c>
      <c r="D25" s="3" t="s">
        <v>2115</v>
      </c>
      <c r="E25" s="3">
        <v>17.472047</v>
      </c>
      <c r="F25" s="3">
        <v>-88.260859</v>
      </c>
      <c r="G25" s="3">
        <v>2.0</v>
      </c>
      <c r="H25" s="3">
        <v>0.0</v>
      </c>
      <c r="I25" s="3" t="s">
        <v>187</v>
      </c>
      <c r="J25" s="3">
        <v>431.0</v>
      </c>
      <c r="K25" s="3">
        <v>436.0</v>
      </c>
      <c r="L25" s="3" t="s">
        <v>658</v>
      </c>
      <c r="M25" s="3">
        <v>14.0</v>
      </c>
      <c r="N25" s="3" t="s">
        <v>659</v>
      </c>
      <c r="O25" s="3" t="s">
        <v>2374</v>
      </c>
      <c r="P25" s="3" t="s">
        <v>2377</v>
      </c>
      <c r="Q25" s="3">
        <v>1.0</v>
      </c>
      <c r="R25" s="3">
        <v>613.0</v>
      </c>
      <c r="S25" s="3">
        <v>95.343925</v>
      </c>
      <c r="T25" s="3">
        <v>2.279907</v>
      </c>
      <c r="U25" s="3" t="s">
        <v>2376</v>
      </c>
      <c r="V25" s="3">
        <v>0.0</v>
      </c>
      <c r="W25" s="3">
        <v>1875.0</v>
      </c>
      <c r="X25" s="3">
        <v>5008.0</v>
      </c>
      <c r="Y25" s="3">
        <v>48.0</v>
      </c>
      <c r="Z25" s="3">
        <v>161.0</v>
      </c>
      <c r="AA25" s="3">
        <v>251.0</v>
      </c>
      <c r="AB25" s="3">
        <v>687.0</v>
      </c>
      <c r="AC25" s="3">
        <v>4.0</v>
      </c>
    </row>
    <row r="26">
      <c r="A26" s="3">
        <v>24.0</v>
      </c>
      <c r="B26" s="3" t="s">
        <v>2373</v>
      </c>
      <c r="C26" s="3">
        <v>343.0</v>
      </c>
      <c r="D26" s="3" t="s">
        <v>2116</v>
      </c>
      <c r="E26" s="3">
        <v>17.472047</v>
      </c>
      <c r="F26" s="3">
        <v>-88.260859</v>
      </c>
      <c r="G26" s="3">
        <v>2.0</v>
      </c>
      <c r="H26" s="3">
        <v>0.0</v>
      </c>
      <c r="I26" s="3" t="s">
        <v>187</v>
      </c>
      <c r="J26" s="3">
        <v>431.0</v>
      </c>
      <c r="K26" s="3">
        <v>436.0</v>
      </c>
      <c r="L26" s="3" t="s">
        <v>658</v>
      </c>
      <c r="M26" s="3">
        <v>14.0</v>
      </c>
      <c r="N26" s="3" t="s">
        <v>659</v>
      </c>
      <c r="O26" s="3" t="s">
        <v>2374</v>
      </c>
      <c r="P26" s="3" t="s">
        <v>2377</v>
      </c>
      <c r="Q26" s="3">
        <v>1.0</v>
      </c>
      <c r="R26" s="3">
        <v>613.0</v>
      </c>
      <c r="S26" s="3">
        <v>95.343925</v>
      </c>
      <c r="T26" s="3">
        <v>2.279907</v>
      </c>
      <c r="U26" s="3" t="s">
        <v>2376</v>
      </c>
      <c r="V26" s="3">
        <v>0.0</v>
      </c>
      <c r="W26" s="3">
        <v>1875.0</v>
      </c>
      <c r="X26" s="3">
        <v>5008.0</v>
      </c>
      <c r="Y26" s="3">
        <v>48.0</v>
      </c>
      <c r="Z26" s="3">
        <v>161.0</v>
      </c>
      <c r="AA26" s="3">
        <v>251.0</v>
      </c>
      <c r="AB26" s="3">
        <v>687.0</v>
      </c>
      <c r="AC26" s="3">
        <v>4.0</v>
      </c>
    </row>
    <row r="27">
      <c r="A27" s="3">
        <v>25.0</v>
      </c>
      <c r="B27" s="3" t="s">
        <v>2373</v>
      </c>
      <c r="C27" s="3">
        <v>344.0</v>
      </c>
      <c r="D27" s="3" t="s">
        <v>2117</v>
      </c>
      <c r="E27" s="3">
        <v>17.472047</v>
      </c>
      <c r="F27" s="3">
        <v>-88.260859</v>
      </c>
      <c r="G27" s="3">
        <v>2.0</v>
      </c>
      <c r="H27" s="3">
        <v>0.0</v>
      </c>
      <c r="I27" s="3" t="s">
        <v>187</v>
      </c>
      <c r="J27" s="3">
        <v>431.0</v>
      </c>
      <c r="K27" s="3">
        <v>436.0</v>
      </c>
      <c r="L27" s="3" t="s">
        <v>658</v>
      </c>
      <c r="M27" s="3">
        <v>14.0</v>
      </c>
      <c r="N27" s="3" t="s">
        <v>659</v>
      </c>
      <c r="O27" s="3" t="s">
        <v>2374</v>
      </c>
      <c r="P27" s="3" t="s">
        <v>2377</v>
      </c>
      <c r="Q27" s="3">
        <v>1.0</v>
      </c>
      <c r="R27" s="3">
        <v>613.0</v>
      </c>
      <c r="S27" s="3">
        <v>95.343925</v>
      </c>
      <c r="T27" s="3">
        <v>2.279907</v>
      </c>
      <c r="U27" s="3" t="s">
        <v>2376</v>
      </c>
      <c r="V27" s="3">
        <v>0.0</v>
      </c>
      <c r="W27" s="3">
        <v>1875.0</v>
      </c>
      <c r="X27" s="3">
        <v>5008.0</v>
      </c>
      <c r="Y27" s="3">
        <v>48.0</v>
      </c>
      <c r="Z27" s="3">
        <v>161.0</v>
      </c>
      <c r="AA27" s="3">
        <v>251.0</v>
      </c>
      <c r="AB27" s="3">
        <v>687.0</v>
      </c>
      <c r="AC27" s="3">
        <v>4.0</v>
      </c>
    </row>
    <row r="28">
      <c r="A28" s="3">
        <v>26.0</v>
      </c>
      <c r="B28" s="3" t="s">
        <v>2373</v>
      </c>
      <c r="C28" s="3">
        <v>345.0</v>
      </c>
      <c r="D28" s="78" t="s">
        <v>2118</v>
      </c>
      <c r="E28" s="3">
        <v>17.472047</v>
      </c>
      <c r="F28" s="3">
        <v>-88.260859</v>
      </c>
      <c r="G28" s="3">
        <v>2.0</v>
      </c>
      <c r="H28" s="3">
        <v>0.0</v>
      </c>
      <c r="I28" s="3" t="s">
        <v>187</v>
      </c>
      <c r="J28" s="3">
        <v>431.0</v>
      </c>
      <c r="K28" s="3">
        <v>436.0</v>
      </c>
      <c r="L28" s="3" t="s">
        <v>658</v>
      </c>
      <c r="M28" s="3">
        <v>14.0</v>
      </c>
      <c r="N28" s="3" t="s">
        <v>659</v>
      </c>
      <c r="O28" s="3" t="s">
        <v>2374</v>
      </c>
      <c r="P28" s="3" t="s">
        <v>2377</v>
      </c>
      <c r="Q28" s="3">
        <v>1.0</v>
      </c>
      <c r="R28" s="3">
        <v>613.0</v>
      </c>
      <c r="S28" s="3">
        <v>95.343925</v>
      </c>
      <c r="T28" s="3">
        <v>2.279907</v>
      </c>
      <c r="U28" s="3" t="s">
        <v>2376</v>
      </c>
      <c r="V28" s="3">
        <v>0.0</v>
      </c>
      <c r="W28" s="3">
        <v>1875.0</v>
      </c>
      <c r="X28" s="3">
        <v>5008.0</v>
      </c>
      <c r="Y28" s="3">
        <v>48.0</v>
      </c>
      <c r="Z28" s="3">
        <v>161.0</v>
      </c>
      <c r="AA28" s="3">
        <v>251.0</v>
      </c>
      <c r="AB28" s="3">
        <v>687.0</v>
      </c>
      <c r="AC28" s="3">
        <v>4.0</v>
      </c>
    </row>
    <row r="29">
      <c r="A29" s="3">
        <v>27.0</v>
      </c>
      <c r="B29" s="3" t="s">
        <v>2373</v>
      </c>
      <c r="C29" s="3">
        <v>476.0</v>
      </c>
      <c r="D29" s="3" t="s">
        <v>654</v>
      </c>
      <c r="E29" s="3">
        <v>17.230639</v>
      </c>
      <c r="F29" s="3">
        <v>-88.30375</v>
      </c>
      <c r="G29" s="3">
        <v>2.0</v>
      </c>
      <c r="H29" s="3">
        <v>0.0</v>
      </c>
      <c r="I29" s="3" t="s">
        <v>187</v>
      </c>
      <c r="J29" s="3">
        <v>431.0</v>
      </c>
      <c r="K29" s="3">
        <v>436.0</v>
      </c>
      <c r="L29" s="3" t="s">
        <v>658</v>
      </c>
      <c r="M29" s="3">
        <v>14.0</v>
      </c>
      <c r="N29" s="3" t="s">
        <v>659</v>
      </c>
      <c r="O29" s="3" t="s">
        <v>2374</v>
      </c>
      <c r="P29" s="3" t="s">
        <v>2377</v>
      </c>
      <c r="Q29" s="3">
        <v>1.0</v>
      </c>
      <c r="R29" s="3">
        <v>613.0</v>
      </c>
      <c r="S29" s="3">
        <v>95.343925</v>
      </c>
      <c r="T29" s="3">
        <v>2.279907</v>
      </c>
      <c r="U29" s="3" t="s">
        <v>2376</v>
      </c>
      <c r="V29" s="3">
        <v>0.0</v>
      </c>
      <c r="W29" s="3">
        <v>2032.0</v>
      </c>
      <c r="X29" s="3">
        <v>5281.0</v>
      </c>
      <c r="Y29" s="3">
        <v>50.0</v>
      </c>
      <c r="Z29" s="3">
        <v>169.0</v>
      </c>
      <c r="AA29" s="3">
        <v>291.0</v>
      </c>
      <c r="AB29" s="3">
        <v>787.0</v>
      </c>
      <c r="AC29" s="3">
        <v>1.0</v>
      </c>
    </row>
    <row r="30">
      <c r="A30" s="3">
        <v>28.0</v>
      </c>
      <c r="B30" s="3" t="s">
        <v>2373</v>
      </c>
      <c r="C30" s="3">
        <v>477.0</v>
      </c>
      <c r="D30" s="3" t="s">
        <v>660</v>
      </c>
      <c r="E30" s="3">
        <v>17.211611</v>
      </c>
      <c r="F30" s="3">
        <v>-88.314806</v>
      </c>
      <c r="G30" s="3">
        <v>2.0</v>
      </c>
      <c r="H30" s="3">
        <v>0.0</v>
      </c>
      <c r="I30" s="3" t="s">
        <v>187</v>
      </c>
      <c r="J30" s="3">
        <v>431.0</v>
      </c>
      <c r="K30" s="3">
        <v>436.0</v>
      </c>
      <c r="L30" s="3" t="s">
        <v>658</v>
      </c>
      <c r="M30" s="3">
        <v>14.0</v>
      </c>
      <c r="N30" s="3" t="s">
        <v>659</v>
      </c>
      <c r="O30" s="3" t="s">
        <v>2374</v>
      </c>
      <c r="P30" s="3" t="s">
        <v>2377</v>
      </c>
      <c r="Q30" s="3">
        <v>1.0</v>
      </c>
      <c r="R30" s="3">
        <v>613.0</v>
      </c>
      <c r="S30" s="3">
        <v>95.343925</v>
      </c>
      <c r="T30" s="3">
        <v>2.279907</v>
      </c>
      <c r="U30" s="3" t="s">
        <v>2376</v>
      </c>
      <c r="V30" s="3">
        <v>0.0</v>
      </c>
      <c r="W30" s="3">
        <v>2047.0</v>
      </c>
      <c r="X30" s="3">
        <v>5295.0</v>
      </c>
      <c r="Y30" s="3">
        <v>51.0</v>
      </c>
      <c r="Z30" s="3">
        <v>171.0</v>
      </c>
      <c r="AA30" s="3">
        <v>292.0</v>
      </c>
      <c r="AB30" s="3">
        <v>795.0</v>
      </c>
      <c r="AC30" s="3">
        <v>2.0</v>
      </c>
    </row>
    <row r="31">
      <c r="A31" s="3">
        <v>29.0</v>
      </c>
      <c r="B31" s="3" t="s">
        <v>2373</v>
      </c>
      <c r="C31" s="3">
        <v>478.0</v>
      </c>
      <c r="D31" s="3" t="s">
        <v>661</v>
      </c>
      <c r="E31" s="3">
        <v>17.211528</v>
      </c>
      <c r="F31" s="3">
        <v>-88.312833</v>
      </c>
      <c r="G31" s="3">
        <v>2.0</v>
      </c>
      <c r="H31" s="3">
        <v>0.0</v>
      </c>
      <c r="I31" s="3" t="s">
        <v>187</v>
      </c>
      <c r="J31" s="3">
        <v>431.0</v>
      </c>
      <c r="K31" s="3">
        <v>436.0</v>
      </c>
      <c r="L31" s="3" t="s">
        <v>658</v>
      </c>
      <c r="M31" s="3">
        <v>14.0</v>
      </c>
      <c r="N31" s="3" t="s">
        <v>659</v>
      </c>
      <c r="O31" s="3" t="s">
        <v>2374</v>
      </c>
      <c r="P31" s="3" t="s">
        <v>2377</v>
      </c>
      <c r="Q31" s="3">
        <v>1.0</v>
      </c>
      <c r="R31" s="3">
        <v>613.0</v>
      </c>
      <c r="S31" s="3">
        <v>95.343925</v>
      </c>
      <c r="T31" s="3">
        <v>2.279907</v>
      </c>
      <c r="U31" s="3" t="s">
        <v>2376</v>
      </c>
      <c r="V31" s="3">
        <v>0.0</v>
      </c>
      <c r="W31" s="3">
        <v>2047.0</v>
      </c>
      <c r="X31" s="3">
        <v>5295.0</v>
      </c>
      <c r="Y31" s="3">
        <v>51.0</v>
      </c>
      <c r="Z31" s="3">
        <v>171.0</v>
      </c>
      <c r="AA31" s="3">
        <v>292.0</v>
      </c>
      <c r="AB31" s="3">
        <v>795.0</v>
      </c>
      <c r="AC31" s="3">
        <v>2.0</v>
      </c>
    </row>
    <row r="32">
      <c r="A32" s="3">
        <v>30.0</v>
      </c>
      <c r="B32" s="3" t="s">
        <v>2373</v>
      </c>
      <c r="C32" s="3">
        <v>479.0</v>
      </c>
      <c r="D32" s="3" t="s">
        <v>662</v>
      </c>
      <c r="E32" s="3">
        <v>17.211389</v>
      </c>
      <c r="F32" s="3">
        <v>-88.317556</v>
      </c>
      <c r="G32" s="3">
        <v>2.0</v>
      </c>
      <c r="H32" s="3">
        <v>0.0</v>
      </c>
      <c r="I32" s="3" t="s">
        <v>187</v>
      </c>
      <c r="J32" s="3">
        <v>431.0</v>
      </c>
      <c r="K32" s="3">
        <v>436.0</v>
      </c>
      <c r="L32" s="3" t="s">
        <v>658</v>
      </c>
      <c r="M32" s="3">
        <v>14.0</v>
      </c>
      <c r="N32" s="3" t="s">
        <v>659</v>
      </c>
      <c r="O32" s="3" t="s">
        <v>2374</v>
      </c>
      <c r="P32" s="3" t="s">
        <v>2377</v>
      </c>
      <c r="Q32" s="3">
        <v>1.0</v>
      </c>
      <c r="R32" s="3">
        <v>613.0</v>
      </c>
      <c r="S32" s="3">
        <v>95.343925</v>
      </c>
      <c r="T32" s="3">
        <v>2.279907</v>
      </c>
      <c r="U32" s="3" t="s">
        <v>2376</v>
      </c>
      <c r="V32" s="3">
        <v>0.0</v>
      </c>
      <c r="W32" s="3">
        <v>2055.0</v>
      </c>
      <c r="X32" s="3">
        <v>5286.0</v>
      </c>
      <c r="Y32" s="3">
        <v>51.0</v>
      </c>
      <c r="Z32" s="3">
        <v>172.0</v>
      </c>
      <c r="AA32" s="3">
        <v>294.0</v>
      </c>
      <c r="AB32" s="3">
        <v>797.0</v>
      </c>
      <c r="AC32" s="3">
        <v>2.0</v>
      </c>
    </row>
    <row r="33">
      <c r="A33" s="3">
        <v>31.0</v>
      </c>
      <c r="B33" s="3" t="s">
        <v>2373</v>
      </c>
      <c r="C33" s="3">
        <v>480.0</v>
      </c>
      <c r="D33" s="3" t="s">
        <v>664</v>
      </c>
      <c r="E33" s="3">
        <v>17.211056</v>
      </c>
      <c r="F33" s="3">
        <v>-88.303833</v>
      </c>
      <c r="G33" s="3">
        <v>2.0</v>
      </c>
      <c r="H33" s="3">
        <v>0.0</v>
      </c>
      <c r="I33" s="3" t="s">
        <v>187</v>
      </c>
      <c r="J33" s="3">
        <v>431.0</v>
      </c>
      <c r="K33" s="3">
        <v>436.0</v>
      </c>
      <c r="L33" s="3" t="s">
        <v>658</v>
      </c>
      <c r="M33" s="3">
        <v>14.0</v>
      </c>
      <c r="N33" s="3" t="s">
        <v>659</v>
      </c>
      <c r="O33" s="3" t="s">
        <v>2374</v>
      </c>
      <c r="P33" s="3" t="s">
        <v>2377</v>
      </c>
      <c r="Q33" s="3">
        <v>1.0</v>
      </c>
      <c r="R33" s="3">
        <v>613.0</v>
      </c>
      <c r="S33" s="3">
        <v>95.343925</v>
      </c>
      <c r="T33" s="3">
        <v>2.279907</v>
      </c>
      <c r="U33" s="3" t="s">
        <v>2376</v>
      </c>
      <c r="V33" s="3">
        <v>0.0</v>
      </c>
      <c r="W33" s="3">
        <v>2046.0</v>
      </c>
      <c r="X33" s="3">
        <v>5270.0</v>
      </c>
      <c r="Y33" s="3">
        <v>51.0</v>
      </c>
      <c r="Z33" s="3">
        <v>171.0</v>
      </c>
      <c r="AA33" s="3">
        <v>291.0</v>
      </c>
      <c r="AB33" s="3">
        <v>792.0</v>
      </c>
      <c r="AC33" s="3">
        <v>1.0</v>
      </c>
    </row>
    <row r="34">
      <c r="A34" s="3">
        <v>32.0</v>
      </c>
      <c r="B34" s="3" t="s">
        <v>2373</v>
      </c>
      <c r="C34" s="3">
        <v>485.0</v>
      </c>
      <c r="D34" s="3" t="s">
        <v>679</v>
      </c>
      <c r="E34" s="3">
        <v>17.060444</v>
      </c>
      <c r="F34" s="3">
        <v>-88.253278</v>
      </c>
      <c r="G34" s="3">
        <v>2.0</v>
      </c>
      <c r="H34" s="3">
        <v>0.0</v>
      </c>
      <c r="I34" s="3" t="s">
        <v>187</v>
      </c>
      <c r="J34" s="3">
        <v>431.0</v>
      </c>
      <c r="K34" s="3">
        <v>436.0</v>
      </c>
      <c r="L34" s="3" t="s">
        <v>658</v>
      </c>
      <c r="M34" s="3">
        <v>14.0</v>
      </c>
      <c r="N34" s="3" t="s">
        <v>659</v>
      </c>
      <c r="O34" s="3" t="s">
        <v>2374</v>
      </c>
      <c r="P34" s="3" t="s">
        <v>2377</v>
      </c>
      <c r="Q34" s="3">
        <v>1.0</v>
      </c>
      <c r="R34" s="3">
        <v>613.0</v>
      </c>
      <c r="S34" s="3">
        <v>95.343925</v>
      </c>
      <c r="T34" s="3">
        <v>2.279907</v>
      </c>
      <c r="U34" s="3" t="s">
        <v>2376</v>
      </c>
      <c r="V34" s="3">
        <v>0.0</v>
      </c>
      <c r="W34" s="3">
        <v>2197.0</v>
      </c>
      <c r="X34" s="3">
        <v>5170.0</v>
      </c>
      <c r="Y34" s="3">
        <v>55.0</v>
      </c>
      <c r="Z34" s="3">
        <v>182.0</v>
      </c>
      <c r="AA34" s="3">
        <v>299.0</v>
      </c>
      <c r="AB34" s="3">
        <v>842.0</v>
      </c>
      <c r="AC34" s="3">
        <v>3.0</v>
      </c>
    </row>
    <row r="35">
      <c r="A35" s="3">
        <v>33.0</v>
      </c>
      <c r="B35" s="3" t="s">
        <v>2373</v>
      </c>
      <c r="C35" s="3">
        <v>487.0</v>
      </c>
      <c r="D35" s="3" t="s">
        <v>690</v>
      </c>
      <c r="E35" s="3">
        <v>17.057139</v>
      </c>
      <c r="F35" s="3">
        <v>-88.256167</v>
      </c>
      <c r="G35" s="3">
        <v>2.0</v>
      </c>
      <c r="H35" s="3">
        <v>0.0</v>
      </c>
      <c r="I35" s="3" t="s">
        <v>187</v>
      </c>
      <c r="J35" s="3">
        <v>431.0</v>
      </c>
      <c r="K35" s="3">
        <v>436.0</v>
      </c>
      <c r="L35" s="3" t="s">
        <v>658</v>
      </c>
      <c r="M35" s="3">
        <v>14.0</v>
      </c>
      <c r="N35" s="3" t="s">
        <v>659</v>
      </c>
      <c r="O35" s="3" t="s">
        <v>2374</v>
      </c>
      <c r="P35" s="3" t="s">
        <v>2377</v>
      </c>
      <c r="Q35" s="3">
        <v>1.0</v>
      </c>
      <c r="R35" s="3">
        <v>613.0</v>
      </c>
      <c r="S35" s="3">
        <v>95.343925</v>
      </c>
      <c r="T35" s="3">
        <v>2.279907</v>
      </c>
      <c r="U35" s="3" t="s">
        <v>2376</v>
      </c>
      <c r="V35" s="3">
        <v>0.0</v>
      </c>
      <c r="W35" s="3">
        <v>2205.0</v>
      </c>
      <c r="X35" s="3">
        <v>5151.0</v>
      </c>
      <c r="Y35" s="3">
        <v>56.0</v>
      </c>
      <c r="Z35" s="3">
        <v>184.0</v>
      </c>
      <c r="AA35" s="3">
        <v>300.0</v>
      </c>
      <c r="AB35" s="3">
        <v>846.0</v>
      </c>
      <c r="AC35" s="3">
        <v>2.0</v>
      </c>
    </row>
    <row r="36">
      <c r="A36" s="3">
        <v>34.0</v>
      </c>
      <c r="B36" s="3" t="s">
        <v>2373</v>
      </c>
      <c r="C36" s="3">
        <v>488.0</v>
      </c>
      <c r="D36" s="3" t="s">
        <v>691</v>
      </c>
      <c r="E36" s="3">
        <v>17.05425</v>
      </c>
      <c r="F36" s="3">
        <v>-88.243861</v>
      </c>
      <c r="G36" s="3">
        <v>2.0</v>
      </c>
      <c r="H36" s="3">
        <v>0.0</v>
      </c>
      <c r="I36" s="3" t="s">
        <v>187</v>
      </c>
      <c r="J36" s="3">
        <v>431.0</v>
      </c>
      <c r="K36" s="3">
        <v>436.0</v>
      </c>
      <c r="L36" s="3" t="s">
        <v>658</v>
      </c>
      <c r="M36" s="3">
        <v>14.0</v>
      </c>
      <c r="N36" s="3" t="s">
        <v>659</v>
      </c>
      <c r="O36" s="3" t="s">
        <v>2374</v>
      </c>
      <c r="P36" s="3" t="s">
        <v>2377</v>
      </c>
      <c r="Q36" s="3">
        <v>1.0</v>
      </c>
      <c r="R36" s="3">
        <v>613.0</v>
      </c>
      <c r="S36" s="3">
        <v>95.343925</v>
      </c>
      <c r="T36" s="3">
        <v>2.279907</v>
      </c>
      <c r="U36" s="3" t="s">
        <v>2376</v>
      </c>
      <c r="V36" s="3">
        <v>0.0</v>
      </c>
      <c r="W36" s="3">
        <v>2193.0</v>
      </c>
      <c r="X36" s="3">
        <v>5158.0</v>
      </c>
      <c r="Y36" s="3">
        <v>55.0</v>
      </c>
      <c r="Z36" s="3">
        <v>182.0</v>
      </c>
      <c r="AA36" s="3">
        <v>298.0</v>
      </c>
      <c r="AB36" s="3">
        <v>842.0</v>
      </c>
      <c r="AC36" s="3">
        <v>2.0</v>
      </c>
    </row>
    <row r="37">
      <c r="A37" s="3">
        <v>35.0</v>
      </c>
      <c r="B37" s="3" t="s">
        <v>2373</v>
      </c>
      <c r="C37" s="3">
        <v>491.0</v>
      </c>
      <c r="D37" s="3" t="s">
        <v>695</v>
      </c>
      <c r="E37" s="3">
        <v>16.902278</v>
      </c>
      <c r="F37" s="3">
        <v>-88.288056</v>
      </c>
      <c r="G37" s="3">
        <v>2.0</v>
      </c>
      <c r="H37" s="3">
        <v>0.0</v>
      </c>
      <c r="I37" s="3" t="s">
        <v>187</v>
      </c>
      <c r="J37" s="3">
        <v>431.0</v>
      </c>
      <c r="K37" s="3">
        <v>436.0</v>
      </c>
      <c r="L37" s="3" t="s">
        <v>658</v>
      </c>
      <c r="M37" s="3">
        <v>14.0</v>
      </c>
      <c r="N37" s="3" t="s">
        <v>659</v>
      </c>
      <c r="O37" s="3" t="s">
        <v>2374</v>
      </c>
      <c r="P37" s="3" t="s">
        <v>2377</v>
      </c>
      <c r="Q37" s="3">
        <v>1.0</v>
      </c>
      <c r="R37" s="3">
        <v>613.0</v>
      </c>
      <c r="S37" s="3">
        <v>95.343925</v>
      </c>
      <c r="T37" s="3">
        <v>2.279907</v>
      </c>
      <c r="U37" s="3" t="s">
        <v>2376</v>
      </c>
      <c r="V37" s="3">
        <v>0.0</v>
      </c>
      <c r="W37" s="3">
        <v>2221.0</v>
      </c>
      <c r="X37" s="3">
        <v>5250.0</v>
      </c>
      <c r="Y37" s="3">
        <v>58.0</v>
      </c>
      <c r="Z37" s="3">
        <v>182.0</v>
      </c>
      <c r="AA37" s="3">
        <v>309.0</v>
      </c>
      <c r="AB37" s="3">
        <v>870.0</v>
      </c>
      <c r="AC37" s="3">
        <v>1.0</v>
      </c>
    </row>
    <row r="38">
      <c r="A38" s="3">
        <v>36.0</v>
      </c>
      <c r="B38" s="3" t="s">
        <v>2373</v>
      </c>
      <c r="C38" s="3">
        <v>492.0</v>
      </c>
      <c r="D38" s="3" t="s">
        <v>697</v>
      </c>
      <c r="E38" s="3">
        <v>16.90125</v>
      </c>
      <c r="F38" s="3">
        <v>-88.282194</v>
      </c>
      <c r="G38" s="3">
        <v>2.0</v>
      </c>
      <c r="H38" s="3">
        <v>0.0</v>
      </c>
      <c r="I38" s="3" t="s">
        <v>187</v>
      </c>
      <c r="J38" s="3">
        <v>431.0</v>
      </c>
      <c r="K38" s="3">
        <v>436.0</v>
      </c>
      <c r="L38" s="3" t="s">
        <v>658</v>
      </c>
      <c r="M38" s="3">
        <v>14.0</v>
      </c>
      <c r="N38" s="3" t="s">
        <v>659</v>
      </c>
      <c r="O38" s="3" t="s">
        <v>2374</v>
      </c>
      <c r="P38" s="3" t="s">
        <v>2377</v>
      </c>
      <c r="Q38" s="3">
        <v>1.0</v>
      </c>
      <c r="R38" s="3">
        <v>613.0</v>
      </c>
      <c r="S38" s="3">
        <v>95.343925</v>
      </c>
      <c r="T38" s="3">
        <v>2.279907</v>
      </c>
      <c r="U38" s="3" t="s">
        <v>2376</v>
      </c>
      <c r="V38" s="3">
        <v>0.0</v>
      </c>
      <c r="W38" s="3">
        <v>2221.0</v>
      </c>
      <c r="X38" s="3">
        <v>5250.0</v>
      </c>
      <c r="Y38" s="3">
        <v>58.0</v>
      </c>
      <c r="Z38" s="3">
        <v>182.0</v>
      </c>
      <c r="AA38" s="3">
        <v>309.0</v>
      </c>
      <c r="AB38" s="3">
        <v>870.0</v>
      </c>
      <c r="AC38" s="3">
        <v>1.0</v>
      </c>
    </row>
    <row r="39">
      <c r="A39" s="3">
        <v>37.0</v>
      </c>
      <c r="B39" s="3" t="s">
        <v>2373</v>
      </c>
      <c r="C39" s="3">
        <v>493.0</v>
      </c>
      <c r="D39" s="3" t="s">
        <v>699</v>
      </c>
      <c r="E39" s="3">
        <v>16.898694</v>
      </c>
      <c r="F39" s="3">
        <v>-88.295056</v>
      </c>
      <c r="G39" s="3">
        <v>2.0</v>
      </c>
      <c r="H39" s="3">
        <v>0.0</v>
      </c>
      <c r="I39" s="3" t="s">
        <v>187</v>
      </c>
      <c r="J39" s="3">
        <v>431.0</v>
      </c>
      <c r="K39" s="3">
        <v>436.0</v>
      </c>
      <c r="L39" s="3" t="s">
        <v>658</v>
      </c>
      <c r="M39" s="3">
        <v>14.0</v>
      </c>
      <c r="N39" s="3" t="s">
        <v>659</v>
      </c>
      <c r="O39" s="3" t="s">
        <v>2374</v>
      </c>
      <c r="P39" s="3" t="s">
        <v>2377</v>
      </c>
      <c r="Q39" s="3">
        <v>1.0</v>
      </c>
      <c r="R39" s="3">
        <v>613.0</v>
      </c>
      <c r="S39" s="3">
        <v>95.343925</v>
      </c>
      <c r="T39" s="3">
        <v>2.279907</v>
      </c>
      <c r="U39" s="3" t="s">
        <v>2376</v>
      </c>
      <c r="V39" s="3">
        <v>0.0</v>
      </c>
      <c r="W39" s="3">
        <v>2211.0</v>
      </c>
      <c r="X39" s="3">
        <v>5283.0</v>
      </c>
      <c r="Y39" s="3">
        <v>58.0</v>
      </c>
      <c r="Z39" s="3">
        <v>181.0</v>
      </c>
      <c r="AA39" s="3">
        <v>308.0</v>
      </c>
      <c r="AB39" s="3">
        <v>869.0</v>
      </c>
      <c r="AC39" s="3">
        <v>2.0</v>
      </c>
    </row>
    <row r="40">
      <c r="A40" s="3">
        <v>38.0</v>
      </c>
      <c r="B40" s="3" t="s">
        <v>2373</v>
      </c>
      <c r="C40" s="3">
        <v>494.0</v>
      </c>
      <c r="D40" s="3" t="s">
        <v>700</v>
      </c>
      <c r="E40" s="3">
        <v>16.8885</v>
      </c>
      <c r="F40" s="3">
        <v>-88.289639</v>
      </c>
      <c r="G40" s="3">
        <v>2.0</v>
      </c>
      <c r="H40" s="3">
        <v>0.0</v>
      </c>
      <c r="I40" s="3" t="s">
        <v>187</v>
      </c>
      <c r="J40" s="3">
        <v>431.0</v>
      </c>
      <c r="K40" s="3">
        <v>436.0</v>
      </c>
      <c r="L40" s="3" t="s">
        <v>658</v>
      </c>
      <c r="M40" s="3">
        <v>14.0</v>
      </c>
      <c r="N40" s="3" t="s">
        <v>659</v>
      </c>
      <c r="O40" s="3" t="s">
        <v>2374</v>
      </c>
      <c r="P40" s="3" t="s">
        <v>2377</v>
      </c>
      <c r="Q40" s="3">
        <v>1.0</v>
      </c>
      <c r="R40" s="3">
        <v>613.0</v>
      </c>
      <c r="S40" s="3">
        <v>95.343925</v>
      </c>
      <c r="T40" s="3">
        <v>2.279907</v>
      </c>
      <c r="U40" s="3" t="s">
        <v>2376</v>
      </c>
      <c r="V40" s="3">
        <v>0.0</v>
      </c>
      <c r="W40" s="3">
        <v>2201.0</v>
      </c>
      <c r="X40" s="3">
        <v>5304.0</v>
      </c>
      <c r="Y40" s="3">
        <v>58.0</v>
      </c>
      <c r="Z40" s="3">
        <v>180.0</v>
      </c>
      <c r="AA40" s="3">
        <v>309.0</v>
      </c>
      <c r="AB40" s="3">
        <v>868.0</v>
      </c>
      <c r="AC40" s="3">
        <v>1.0</v>
      </c>
    </row>
    <row r="41">
      <c r="A41" s="3">
        <v>39.0</v>
      </c>
      <c r="B41" s="3" t="s">
        <v>2373</v>
      </c>
      <c r="C41" s="3">
        <v>495.0</v>
      </c>
      <c r="D41" s="3" t="s">
        <v>701</v>
      </c>
      <c r="E41" s="3">
        <v>16.888361</v>
      </c>
      <c r="F41" s="3">
        <v>-88.289333</v>
      </c>
      <c r="G41" s="3">
        <v>2.0</v>
      </c>
      <c r="H41" s="3">
        <v>0.0</v>
      </c>
      <c r="I41" s="3" t="s">
        <v>187</v>
      </c>
      <c r="J41" s="3">
        <v>431.0</v>
      </c>
      <c r="K41" s="3">
        <v>436.0</v>
      </c>
      <c r="L41" s="3" t="s">
        <v>658</v>
      </c>
      <c r="M41" s="3">
        <v>14.0</v>
      </c>
      <c r="N41" s="3" t="s">
        <v>659</v>
      </c>
      <c r="O41" s="3" t="s">
        <v>2374</v>
      </c>
      <c r="P41" s="3" t="s">
        <v>2377</v>
      </c>
      <c r="Q41" s="3">
        <v>1.0</v>
      </c>
      <c r="R41" s="3">
        <v>613.0</v>
      </c>
      <c r="S41" s="3">
        <v>95.343925</v>
      </c>
      <c r="T41" s="3">
        <v>2.279907</v>
      </c>
      <c r="U41" s="3" t="s">
        <v>2376</v>
      </c>
      <c r="V41" s="3">
        <v>0.0</v>
      </c>
      <c r="W41" s="3">
        <v>2201.0</v>
      </c>
      <c r="X41" s="3">
        <v>5304.0</v>
      </c>
      <c r="Y41" s="3">
        <v>58.0</v>
      </c>
      <c r="Z41" s="3">
        <v>180.0</v>
      </c>
      <c r="AA41" s="3">
        <v>309.0</v>
      </c>
      <c r="AB41" s="3">
        <v>868.0</v>
      </c>
      <c r="AC41" s="3">
        <v>1.0</v>
      </c>
    </row>
    <row r="42">
      <c r="A42" s="3">
        <v>40.0</v>
      </c>
      <c r="B42" s="3" t="s">
        <v>2373</v>
      </c>
      <c r="C42" s="3">
        <v>496.0</v>
      </c>
      <c r="D42" s="3" t="s">
        <v>703</v>
      </c>
      <c r="E42" s="3">
        <v>16.775111</v>
      </c>
      <c r="F42" s="3">
        <v>-88.318278</v>
      </c>
      <c r="G42" s="3">
        <v>2.0</v>
      </c>
      <c r="H42" s="3">
        <v>0.0</v>
      </c>
      <c r="I42" s="3" t="s">
        <v>187</v>
      </c>
      <c r="J42" s="3">
        <v>431.0</v>
      </c>
      <c r="K42" s="3">
        <v>436.0</v>
      </c>
      <c r="L42" s="3" t="s">
        <v>658</v>
      </c>
      <c r="M42" s="3">
        <v>14.0</v>
      </c>
      <c r="N42" s="3" t="s">
        <v>659</v>
      </c>
      <c r="O42" s="3" t="s">
        <v>2374</v>
      </c>
      <c r="P42" s="3" t="s">
        <v>2377</v>
      </c>
      <c r="Q42" s="3">
        <v>1.0</v>
      </c>
      <c r="R42" s="3">
        <v>613.0</v>
      </c>
      <c r="S42" s="3">
        <v>95.343925</v>
      </c>
      <c r="T42" s="3">
        <v>2.279907</v>
      </c>
      <c r="U42" s="3" t="s">
        <v>2376</v>
      </c>
      <c r="V42" s="3">
        <v>0.0</v>
      </c>
      <c r="W42" s="3">
        <v>2150.0</v>
      </c>
      <c r="X42" s="3">
        <v>5413.0</v>
      </c>
      <c r="Y42" s="3">
        <v>56.0</v>
      </c>
      <c r="Z42" s="3">
        <v>176.0</v>
      </c>
      <c r="AA42" s="3">
        <v>307.0</v>
      </c>
      <c r="AB42" s="3">
        <v>857.0</v>
      </c>
      <c r="AC42" s="3">
        <v>6.0</v>
      </c>
    </row>
    <row r="43">
      <c r="A43" s="3">
        <v>41.0</v>
      </c>
      <c r="B43" s="3" t="s">
        <v>2373</v>
      </c>
      <c r="C43" s="3">
        <v>497.0</v>
      </c>
      <c r="D43" s="3" t="s">
        <v>705</v>
      </c>
      <c r="E43" s="3">
        <v>16.764583</v>
      </c>
      <c r="F43" s="3">
        <v>-88.316194</v>
      </c>
      <c r="G43" s="3">
        <v>2.0</v>
      </c>
      <c r="H43" s="3">
        <v>0.0</v>
      </c>
      <c r="I43" s="3" t="s">
        <v>187</v>
      </c>
      <c r="J43" s="3">
        <v>431.0</v>
      </c>
      <c r="K43" s="3">
        <v>436.0</v>
      </c>
      <c r="L43" s="3" t="s">
        <v>658</v>
      </c>
      <c r="M43" s="3">
        <v>14.0</v>
      </c>
      <c r="N43" s="3" t="s">
        <v>659</v>
      </c>
      <c r="O43" s="3" t="s">
        <v>2374</v>
      </c>
      <c r="P43" s="3" t="s">
        <v>2377</v>
      </c>
      <c r="Q43" s="3">
        <v>1.0</v>
      </c>
      <c r="R43" s="3">
        <v>613.0</v>
      </c>
      <c r="S43" s="3">
        <v>95.343925</v>
      </c>
      <c r="T43" s="3">
        <v>2.279907</v>
      </c>
      <c r="U43" s="3" t="s">
        <v>2376</v>
      </c>
      <c r="V43" s="3">
        <v>0.0</v>
      </c>
      <c r="W43" s="3">
        <v>2142.0</v>
      </c>
      <c r="X43" s="3">
        <v>5451.0</v>
      </c>
      <c r="Y43" s="3">
        <v>57.0</v>
      </c>
      <c r="Z43" s="3">
        <v>176.0</v>
      </c>
      <c r="AA43" s="3">
        <v>309.0</v>
      </c>
      <c r="AB43" s="3">
        <v>859.0</v>
      </c>
      <c r="AC43" s="3">
        <v>1.0</v>
      </c>
    </row>
    <row r="44">
      <c r="A44" s="3">
        <v>42.0</v>
      </c>
      <c r="B44" s="3" t="s">
        <v>2373</v>
      </c>
      <c r="C44" s="3">
        <v>498.0</v>
      </c>
      <c r="D44" s="3" t="s">
        <v>707</v>
      </c>
      <c r="E44" s="3">
        <v>16.764556</v>
      </c>
      <c r="F44" s="3">
        <v>-88.31325</v>
      </c>
      <c r="G44" s="3">
        <v>2.0</v>
      </c>
      <c r="H44" s="3">
        <v>0.0</v>
      </c>
      <c r="I44" s="3" t="s">
        <v>187</v>
      </c>
      <c r="J44" s="3">
        <v>431.0</v>
      </c>
      <c r="K44" s="3">
        <v>436.0</v>
      </c>
      <c r="L44" s="3" t="s">
        <v>658</v>
      </c>
      <c r="M44" s="3">
        <v>14.0</v>
      </c>
      <c r="N44" s="3" t="s">
        <v>659</v>
      </c>
      <c r="O44" s="3" t="s">
        <v>2374</v>
      </c>
      <c r="P44" s="3" t="s">
        <v>2377</v>
      </c>
      <c r="Q44" s="3">
        <v>1.0</v>
      </c>
      <c r="R44" s="3">
        <v>613.0</v>
      </c>
      <c r="S44" s="3">
        <v>95.343925</v>
      </c>
      <c r="T44" s="3">
        <v>2.279907</v>
      </c>
      <c r="U44" s="3" t="s">
        <v>2376</v>
      </c>
      <c r="V44" s="3">
        <v>0.0</v>
      </c>
      <c r="W44" s="3">
        <v>2142.0</v>
      </c>
      <c r="X44" s="3">
        <v>5451.0</v>
      </c>
      <c r="Y44" s="3">
        <v>57.0</v>
      </c>
      <c r="Z44" s="3">
        <v>176.0</v>
      </c>
      <c r="AA44" s="3">
        <v>309.0</v>
      </c>
      <c r="AB44" s="3">
        <v>859.0</v>
      </c>
      <c r="AC44" s="3">
        <v>1.0</v>
      </c>
    </row>
    <row r="45">
      <c r="A45" s="3">
        <v>43.0</v>
      </c>
      <c r="B45" s="3" t="s">
        <v>2373</v>
      </c>
      <c r="C45" s="3">
        <v>499.0</v>
      </c>
      <c r="D45" s="3" t="s">
        <v>709</v>
      </c>
      <c r="E45" s="3">
        <v>16.764111</v>
      </c>
      <c r="F45" s="3">
        <v>-88.318889</v>
      </c>
      <c r="G45" s="3">
        <v>2.0</v>
      </c>
      <c r="H45" s="3">
        <v>0.0</v>
      </c>
      <c r="I45" s="3" t="s">
        <v>187</v>
      </c>
      <c r="J45" s="3">
        <v>431.0</v>
      </c>
      <c r="K45" s="3">
        <v>436.0</v>
      </c>
      <c r="L45" s="3" t="s">
        <v>658</v>
      </c>
      <c r="M45" s="3">
        <v>14.0</v>
      </c>
      <c r="N45" s="3" t="s">
        <v>659</v>
      </c>
      <c r="O45" s="3" t="s">
        <v>2374</v>
      </c>
      <c r="P45" s="3" t="s">
        <v>2377</v>
      </c>
      <c r="Q45" s="3">
        <v>1.0</v>
      </c>
      <c r="R45" s="3">
        <v>613.0</v>
      </c>
      <c r="S45" s="3">
        <v>95.343925</v>
      </c>
      <c r="T45" s="3">
        <v>2.279907</v>
      </c>
      <c r="U45" s="3" t="s">
        <v>2376</v>
      </c>
      <c r="V45" s="3">
        <v>0.0</v>
      </c>
      <c r="W45" s="3">
        <v>2153.0</v>
      </c>
      <c r="X45" s="3">
        <v>5417.0</v>
      </c>
      <c r="Y45" s="3">
        <v>56.0</v>
      </c>
      <c r="Z45" s="3">
        <v>176.0</v>
      </c>
      <c r="AA45" s="3">
        <v>308.0</v>
      </c>
      <c r="AB45" s="3">
        <v>860.0</v>
      </c>
      <c r="AC45" s="3">
        <v>1.0</v>
      </c>
    </row>
    <row r="46">
      <c r="A46" s="3">
        <v>44.0</v>
      </c>
      <c r="B46" s="3" t="s">
        <v>2373</v>
      </c>
      <c r="C46" s="3">
        <v>500.0</v>
      </c>
      <c r="D46" s="3" t="s">
        <v>710</v>
      </c>
      <c r="E46" s="3">
        <v>16.763444</v>
      </c>
      <c r="F46" s="3">
        <v>-88.312139</v>
      </c>
      <c r="G46" s="3">
        <v>2.0</v>
      </c>
      <c r="H46" s="3">
        <v>0.0</v>
      </c>
      <c r="I46" s="3" t="s">
        <v>187</v>
      </c>
      <c r="J46" s="3">
        <v>431.0</v>
      </c>
      <c r="K46" s="3">
        <v>436.0</v>
      </c>
      <c r="L46" s="3" t="s">
        <v>658</v>
      </c>
      <c r="M46" s="3">
        <v>14.0</v>
      </c>
      <c r="N46" s="3" t="s">
        <v>659</v>
      </c>
      <c r="O46" s="3" t="s">
        <v>2374</v>
      </c>
      <c r="P46" s="3" t="s">
        <v>2377</v>
      </c>
      <c r="Q46" s="3">
        <v>1.0</v>
      </c>
      <c r="R46" s="3">
        <v>613.0</v>
      </c>
      <c r="S46" s="3">
        <v>95.343925</v>
      </c>
      <c r="T46" s="3">
        <v>2.279907</v>
      </c>
      <c r="U46" s="3" t="s">
        <v>2376</v>
      </c>
      <c r="V46" s="3">
        <v>0.0</v>
      </c>
      <c r="W46" s="3">
        <v>2142.0</v>
      </c>
      <c r="X46" s="3">
        <v>5451.0</v>
      </c>
      <c r="Y46" s="3">
        <v>57.0</v>
      </c>
      <c r="Z46" s="3">
        <v>176.0</v>
      </c>
      <c r="AA46" s="3">
        <v>309.0</v>
      </c>
      <c r="AB46" s="3">
        <v>859.0</v>
      </c>
      <c r="AC46" s="3">
        <v>1.0</v>
      </c>
    </row>
    <row r="47">
      <c r="A47" s="3">
        <v>45.0</v>
      </c>
      <c r="B47" s="3" t="s">
        <v>2373</v>
      </c>
      <c r="C47" s="3">
        <v>501.0</v>
      </c>
      <c r="D47" s="3" t="s">
        <v>711</v>
      </c>
      <c r="E47" s="3">
        <v>16.756111</v>
      </c>
      <c r="F47" s="3">
        <v>-88.318278</v>
      </c>
      <c r="G47" s="3">
        <v>2.0</v>
      </c>
      <c r="H47" s="3">
        <v>0.0</v>
      </c>
      <c r="I47" s="3" t="s">
        <v>187</v>
      </c>
      <c r="J47" s="3">
        <v>431.0</v>
      </c>
      <c r="K47" s="3">
        <v>436.0</v>
      </c>
      <c r="L47" s="3" t="s">
        <v>658</v>
      </c>
      <c r="M47" s="3">
        <v>14.0</v>
      </c>
      <c r="N47" s="3" t="s">
        <v>659</v>
      </c>
      <c r="O47" s="3" t="s">
        <v>2374</v>
      </c>
      <c r="P47" s="3" t="s">
        <v>2377</v>
      </c>
      <c r="Q47" s="3">
        <v>1.0</v>
      </c>
      <c r="R47" s="3">
        <v>613.0</v>
      </c>
      <c r="S47" s="3">
        <v>95.343925</v>
      </c>
      <c r="T47" s="3">
        <v>2.279907</v>
      </c>
      <c r="U47" s="3" t="s">
        <v>2376</v>
      </c>
      <c r="V47" s="3">
        <v>0.0</v>
      </c>
      <c r="W47" s="3">
        <v>2145.0</v>
      </c>
      <c r="X47" s="3">
        <v>5444.0</v>
      </c>
      <c r="Y47" s="3">
        <v>57.0</v>
      </c>
      <c r="Z47" s="3">
        <v>176.0</v>
      </c>
      <c r="AA47" s="3">
        <v>308.0</v>
      </c>
      <c r="AB47" s="3">
        <v>860.0</v>
      </c>
      <c r="AC47" s="3">
        <v>1.0</v>
      </c>
    </row>
    <row r="48">
      <c r="A48" s="3">
        <v>46.0</v>
      </c>
      <c r="B48" s="3" t="s">
        <v>2373</v>
      </c>
      <c r="C48" s="3">
        <v>41.0</v>
      </c>
      <c r="D48" s="3" t="s">
        <v>1532</v>
      </c>
      <c r="E48" s="3">
        <v>17.937719</v>
      </c>
      <c r="F48" s="3">
        <v>-88.366374</v>
      </c>
      <c r="G48" s="3">
        <v>3.0</v>
      </c>
      <c r="H48" s="3">
        <v>0.0</v>
      </c>
      <c r="I48" s="3" t="s">
        <v>187</v>
      </c>
      <c r="J48" s="3">
        <v>564.0</v>
      </c>
      <c r="K48" s="3">
        <v>569.0</v>
      </c>
      <c r="L48" s="3" t="s">
        <v>133</v>
      </c>
      <c r="M48" s="3">
        <v>1.0</v>
      </c>
      <c r="N48" s="3" t="s">
        <v>121</v>
      </c>
      <c r="O48" s="3" t="s">
        <v>2374</v>
      </c>
      <c r="P48" s="3" t="s">
        <v>2378</v>
      </c>
      <c r="Q48" s="3">
        <v>2.0</v>
      </c>
      <c r="R48" s="3">
        <v>494.0</v>
      </c>
      <c r="S48" s="3">
        <v>57.480003</v>
      </c>
      <c r="T48" s="3">
        <v>12.625324</v>
      </c>
      <c r="U48" s="3" t="s">
        <v>2376</v>
      </c>
      <c r="V48" s="3">
        <v>0.0</v>
      </c>
      <c r="W48" s="3">
        <v>1641.0</v>
      </c>
      <c r="X48" s="3">
        <v>5337.0</v>
      </c>
      <c r="Y48" s="3">
        <v>42.0</v>
      </c>
      <c r="Z48" s="3">
        <v>136.0</v>
      </c>
      <c r="AA48" s="3">
        <v>253.0</v>
      </c>
      <c r="AB48" s="3">
        <v>627.0</v>
      </c>
      <c r="AC48" s="3">
        <v>15.0</v>
      </c>
    </row>
    <row r="49">
      <c r="A49" s="3">
        <v>47.0</v>
      </c>
      <c r="B49" s="3" t="s">
        <v>2373</v>
      </c>
      <c r="C49" s="3">
        <v>42.0</v>
      </c>
      <c r="D49" s="3" t="s">
        <v>1535</v>
      </c>
      <c r="E49" s="3">
        <v>17.937719</v>
      </c>
      <c r="F49" s="3">
        <v>-88.366374</v>
      </c>
      <c r="G49" s="3">
        <v>3.0</v>
      </c>
      <c r="H49" s="3">
        <v>0.0</v>
      </c>
      <c r="I49" s="3" t="s">
        <v>187</v>
      </c>
      <c r="J49" s="3">
        <v>564.0</v>
      </c>
      <c r="K49" s="3">
        <v>569.0</v>
      </c>
      <c r="L49" s="3" t="s">
        <v>133</v>
      </c>
      <c r="M49" s="3">
        <v>1.0</v>
      </c>
      <c r="N49" s="3" t="s">
        <v>121</v>
      </c>
      <c r="O49" s="3" t="s">
        <v>2374</v>
      </c>
      <c r="P49" s="3" t="s">
        <v>2378</v>
      </c>
      <c r="Q49" s="3">
        <v>2.0</v>
      </c>
      <c r="R49" s="3">
        <v>494.0</v>
      </c>
      <c r="S49" s="3">
        <v>57.480003</v>
      </c>
      <c r="T49" s="3">
        <v>12.625324</v>
      </c>
      <c r="U49" s="3" t="s">
        <v>2376</v>
      </c>
      <c r="V49" s="3">
        <v>0.0</v>
      </c>
      <c r="W49" s="3">
        <v>1641.0</v>
      </c>
      <c r="X49" s="3">
        <v>5337.0</v>
      </c>
      <c r="Y49" s="3">
        <v>42.0</v>
      </c>
      <c r="Z49" s="3">
        <v>136.0</v>
      </c>
      <c r="AA49" s="3">
        <v>253.0</v>
      </c>
      <c r="AB49" s="3">
        <v>627.0</v>
      </c>
      <c r="AC49" s="3">
        <v>15.0</v>
      </c>
    </row>
    <row r="50">
      <c r="A50" s="3">
        <v>48.0</v>
      </c>
      <c r="B50" s="3" t="s">
        <v>2373</v>
      </c>
      <c r="C50" s="3">
        <v>43.0</v>
      </c>
      <c r="D50" s="3" t="s">
        <v>1536</v>
      </c>
      <c r="E50" s="3">
        <v>17.937719</v>
      </c>
      <c r="F50" s="3">
        <v>-88.366374</v>
      </c>
      <c r="G50" s="3">
        <v>3.0</v>
      </c>
      <c r="H50" s="3">
        <v>0.0</v>
      </c>
      <c r="I50" s="3" t="s">
        <v>187</v>
      </c>
      <c r="J50" s="3">
        <v>564.0</v>
      </c>
      <c r="K50" s="3">
        <v>569.0</v>
      </c>
      <c r="L50" s="3" t="s">
        <v>133</v>
      </c>
      <c r="M50" s="3">
        <v>1.0</v>
      </c>
      <c r="N50" s="3" t="s">
        <v>121</v>
      </c>
      <c r="O50" s="3" t="s">
        <v>2374</v>
      </c>
      <c r="P50" s="3" t="s">
        <v>2378</v>
      </c>
      <c r="Q50" s="3">
        <v>2.0</v>
      </c>
      <c r="R50" s="3">
        <v>494.0</v>
      </c>
      <c r="S50" s="3">
        <v>57.480003</v>
      </c>
      <c r="T50" s="3">
        <v>12.625324</v>
      </c>
      <c r="U50" s="3" t="s">
        <v>2376</v>
      </c>
      <c r="V50" s="3">
        <v>0.0</v>
      </c>
      <c r="W50" s="3">
        <v>1641.0</v>
      </c>
      <c r="X50" s="3">
        <v>5337.0</v>
      </c>
      <c r="Y50" s="3">
        <v>42.0</v>
      </c>
      <c r="Z50" s="3">
        <v>136.0</v>
      </c>
      <c r="AA50" s="3">
        <v>253.0</v>
      </c>
      <c r="AB50" s="3">
        <v>627.0</v>
      </c>
      <c r="AC50" s="3">
        <v>15.0</v>
      </c>
    </row>
    <row r="51">
      <c r="A51" s="3">
        <v>49.0</v>
      </c>
      <c r="B51" s="3" t="s">
        <v>2373</v>
      </c>
      <c r="C51" s="3">
        <v>44.0</v>
      </c>
      <c r="D51" s="3" t="s">
        <v>1537</v>
      </c>
      <c r="E51" s="3">
        <v>17.937719</v>
      </c>
      <c r="F51" s="3">
        <v>-88.366374</v>
      </c>
      <c r="G51" s="3">
        <v>3.0</v>
      </c>
      <c r="H51" s="3">
        <v>0.0</v>
      </c>
      <c r="I51" s="3" t="s">
        <v>187</v>
      </c>
      <c r="J51" s="3">
        <v>564.0</v>
      </c>
      <c r="K51" s="3">
        <v>569.0</v>
      </c>
      <c r="L51" s="3" t="s">
        <v>133</v>
      </c>
      <c r="M51" s="3">
        <v>1.0</v>
      </c>
      <c r="N51" s="3" t="s">
        <v>121</v>
      </c>
      <c r="O51" s="3" t="s">
        <v>2374</v>
      </c>
      <c r="P51" s="3" t="s">
        <v>2378</v>
      </c>
      <c r="Q51" s="3">
        <v>2.0</v>
      </c>
      <c r="R51" s="3">
        <v>494.0</v>
      </c>
      <c r="S51" s="3">
        <v>57.480003</v>
      </c>
      <c r="T51" s="3">
        <v>12.625324</v>
      </c>
      <c r="U51" s="3" t="s">
        <v>2376</v>
      </c>
      <c r="V51" s="3">
        <v>0.0</v>
      </c>
      <c r="W51" s="3">
        <v>1641.0</v>
      </c>
      <c r="X51" s="3">
        <v>5337.0</v>
      </c>
      <c r="Y51" s="3">
        <v>42.0</v>
      </c>
      <c r="Z51" s="3">
        <v>136.0</v>
      </c>
      <c r="AA51" s="3">
        <v>253.0</v>
      </c>
      <c r="AB51" s="3">
        <v>627.0</v>
      </c>
      <c r="AC51" s="3">
        <v>15.0</v>
      </c>
    </row>
    <row r="52">
      <c r="A52" s="3">
        <v>50.0</v>
      </c>
      <c r="B52" s="3" t="s">
        <v>2373</v>
      </c>
      <c r="C52" s="3">
        <v>48.0</v>
      </c>
      <c r="D52" s="3" t="s">
        <v>1354</v>
      </c>
      <c r="E52" s="3">
        <v>17.937719</v>
      </c>
      <c r="F52" s="3">
        <v>-88.366374</v>
      </c>
      <c r="G52" s="3">
        <v>3.0</v>
      </c>
      <c r="H52" s="3">
        <v>0.0</v>
      </c>
      <c r="I52" s="3" t="s">
        <v>187</v>
      </c>
      <c r="J52" s="3">
        <v>564.0</v>
      </c>
      <c r="K52" s="3">
        <v>569.0</v>
      </c>
      <c r="L52" s="3" t="s">
        <v>133</v>
      </c>
      <c r="M52" s="3">
        <v>1.0</v>
      </c>
      <c r="N52" s="3" t="s">
        <v>121</v>
      </c>
      <c r="O52" s="3" t="s">
        <v>2374</v>
      </c>
      <c r="P52" s="3" t="s">
        <v>2378</v>
      </c>
      <c r="Q52" s="3">
        <v>2.0</v>
      </c>
      <c r="R52" s="3">
        <v>494.0</v>
      </c>
      <c r="S52" s="3">
        <v>57.480003</v>
      </c>
      <c r="T52" s="3">
        <v>12.625324</v>
      </c>
      <c r="U52" s="3" t="s">
        <v>2376</v>
      </c>
      <c r="V52" s="3">
        <v>0.0</v>
      </c>
      <c r="W52" s="3">
        <v>1641.0</v>
      </c>
      <c r="X52" s="3">
        <v>5337.0</v>
      </c>
      <c r="Y52" s="3">
        <v>42.0</v>
      </c>
      <c r="Z52" s="3">
        <v>136.0</v>
      </c>
      <c r="AA52" s="3">
        <v>253.0</v>
      </c>
      <c r="AB52" s="3">
        <v>627.0</v>
      </c>
      <c r="AC52" s="3">
        <v>15.0</v>
      </c>
    </row>
    <row r="53">
      <c r="A53" s="3">
        <v>51.0</v>
      </c>
      <c r="B53" s="3" t="s">
        <v>2373</v>
      </c>
      <c r="C53" s="3">
        <v>53.0</v>
      </c>
      <c r="D53" s="3" t="s">
        <v>743</v>
      </c>
      <c r="E53" s="3">
        <v>17.937719</v>
      </c>
      <c r="F53" s="3">
        <v>-88.366374</v>
      </c>
      <c r="G53" s="3">
        <v>3.0</v>
      </c>
      <c r="H53" s="3">
        <v>0.0</v>
      </c>
      <c r="I53" s="3" t="s">
        <v>187</v>
      </c>
      <c r="J53" s="3">
        <v>564.0</v>
      </c>
      <c r="K53" s="3">
        <v>569.0</v>
      </c>
      <c r="L53" s="3" t="s">
        <v>133</v>
      </c>
      <c r="M53" s="3">
        <v>1.0</v>
      </c>
      <c r="N53" s="3" t="s">
        <v>121</v>
      </c>
      <c r="O53" s="3" t="s">
        <v>2374</v>
      </c>
      <c r="P53" s="3" t="s">
        <v>2378</v>
      </c>
      <c r="Q53" s="3">
        <v>2.0</v>
      </c>
      <c r="R53" s="3">
        <v>494.0</v>
      </c>
      <c r="S53" s="3">
        <v>57.480003</v>
      </c>
      <c r="T53" s="3">
        <v>12.625324</v>
      </c>
      <c r="U53" s="3" t="s">
        <v>2376</v>
      </c>
      <c r="V53" s="3">
        <v>0.0</v>
      </c>
      <c r="W53" s="3">
        <v>1641.0</v>
      </c>
      <c r="X53" s="3">
        <v>5337.0</v>
      </c>
      <c r="Y53" s="3">
        <v>42.0</v>
      </c>
      <c r="Z53" s="3">
        <v>136.0</v>
      </c>
      <c r="AA53" s="3">
        <v>253.0</v>
      </c>
      <c r="AB53" s="3">
        <v>627.0</v>
      </c>
      <c r="AC53" s="3">
        <v>15.0</v>
      </c>
    </row>
    <row r="54">
      <c r="A54" s="3">
        <v>52.0</v>
      </c>
      <c r="B54" s="3" t="s">
        <v>2373</v>
      </c>
      <c r="C54" s="3">
        <v>62.0</v>
      </c>
      <c r="D54" s="3" t="s">
        <v>186</v>
      </c>
      <c r="E54" s="3">
        <v>17.937719</v>
      </c>
      <c r="F54" s="3">
        <v>-88.366374</v>
      </c>
      <c r="G54" s="3">
        <v>3.0</v>
      </c>
      <c r="H54" s="3">
        <v>0.0</v>
      </c>
      <c r="I54" s="3" t="s">
        <v>187</v>
      </c>
      <c r="J54" s="3">
        <v>564.0</v>
      </c>
      <c r="K54" s="3">
        <v>569.0</v>
      </c>
      <c r="L54" s="3" t="s">
        <v>133</v>
      </c>
      <c r="M54" s="3">
        <v>1.0</v>
      </c>
      <c r="N54" s="3" t="s">
        <v>121</v>
      </c>
      <c r="O54" s="3" t="s">
        <v>2374</v>
      </c>
      <c r="P54" s="3" t="s">
        <v>2378</v>
      </c>
      <c r="Q54" s="3">
        <v>2.0</v>
      </c>
      <c r="R54" s="3">
        <v>494.0</v>
      </c>
      <c r="S54" s="3">
        <v>57.480003</v>
      </c>
      <c r="T54" s="3">
        <v>12.625324</v>
      </c>
      <c r="U54" s="3" t="s">
        <v>2376</v>
      </c>
      <c r="V54" s="3">
        <v>0.0</v>
      </c>
      <c r="W54" s="3">
        <v>1641.0</v>
      </c>
      <c r="X54" s="3">
        <v>5337.0</v>
      </c>
      <c r="Y54" s="3">
        <v>42.0</v>
      </c>
      <c r="Z54" s="3">
        <v>136.0</v>
      </c>
      <c r="AA54" s="3">
        <v>253.0</v>
      </c>
      <c r="AB54" s="3">
        <v>627.0</v>
      </c>
      <c r="AC54" s="3">
        <v>15.0</v>
      </c>
    </row>
    <row r="55">
      <c r="A55" s="3">
        <v>53.0</v>
      </c>
      <c r="B55" s="3" t="s">
        <v>2373</v>
      </c>
      <c r="C55" s="3">
        <v>63.0</v>
      </c>
      <c r="D55" s="3" t="s">
        <v>193</v>
      </c>
      <c r="E55" s="3">
        <v>17.937719</v>
      </c>
      <c r="F55" s="3">
        <v>-88.366374</v>
      </c>
      <c r="G55" s="3">
        <v>3.0</v>
      </c>
      <c r="H55" s="3">
        <v>0.0</v>
      </c>
      <c r="I55" s="3" t="s">
        <v>187</v>
      </c>
      <c r="J55" s="3">
        <v>564.0</v>
      </c>
      <c r="K55" s="3">
        <v>569.0</v>
      </c>
      <c r="L55" s="3" t="s">
        <v>133</v>
      </c>
      <c r="M55" s="3">
        <v>1.0</v>
      </c>
      <c r="N55" s="3" t="s">
        <v>121</v>
      </c>
      <c r="O55" s="3" t="s">
        <v>2374</v>
      </c>
      <c r="P55" s="3" t="s">
        <v>2378</v>
      </c>
      <c r="Q55" s="3">
        <v>2.0</v>
      </c>
      <c r="R55" s="3">
        <v>494.0</v>
      </c>
      <c r="S55" s="3">
        <v>57.480003</v>
      </c>
      <c r="T55" s="3">
        <v>12.625324</v>
      </c>
      <c r="U55" s="3" t="s">
        <v>2376</v>
      </c>
      <c r="V55" s="3">
        <v>0.0</v>
      </c>
      <c r="W55" s="3">
        <v>1641.0</v>
      </c>
      <c r="X55" s="3">
        <v>5337.0</v>
      </c>
      <c r="Y55" s="3">
        <v>42.0</v>
      </c>
      <c r="Z55" s="3">
        <v>136.0</v>
      </c>
      <c r="AA55" s="3">
        <v>253.0</v>
      </c>
      <c r="AB55" s="3">
        <v>627.0</v>
      </c>
      <c r="AC55" s="3">
        <v>15.0</v>
      </c>
    </row>
    <row r="56">
      <c r="A56" s="3">
        <v>54.0</v>
      </c>
      <c r="B56" s="3" t="s">
        <v>2373</v>
      </c>
      <c r="C56" s="3">
        <v>73.0</v>
      </c>
      <c r="D56" s="3" t="s">
        <v>1138</v>
      </c>
      <c r="E56" s="3">
        <v>18.419475</v>
      </c>
      <c r="F56" s="3">
        <v>-88.516108</v>
      </c>
      <c r="G56" s="3">
        <v>3.0</v>
      </c>
      <c r="H56" s="3">
        <v>0.0</v>
      </c>
      <c r="I56" s="3" t="s">
        <v>187</v>
      </c>
      <c r="J56" s="3">
        <v>564.0</v>
      </c>
      <c r="K56" s="3">
        <v>569.0</v>
      </c>
      <c r="L56" s="3" t="s">
        <v>133</v>
      </c>
      <c r="M56" s="3">
        <v>1.0</v>
      </c>
      <c r="N56" s="3" t="s">
        <v>121</v>
      </c>
      <c r="O56" s="3" t="s">
        <v>2374</v>
      </c>
      <c r="P56" s="3" t="s">
        <v>2378</v>
      </c>
      <c r="Q56" s="3">
        <v>2.0</v>
      </c>
      <c r="R56" s="3">
        <v>494.0</v>
      </c>
      <c r="S56" s="3">
        <v>57.480003</v>
      </c>
      <c r="T56" s="3">
        <v>12.625324</v>
      </c>
      <c r="U56" s="3" t="s">
        <v>2376</v>
      </c>
      <c r="V56" s="3">
        <v>0.0</v>
      </c>
      <c r="W56" s="3">
        <v>1225.0</v>
      </c>
      <c r="X56" s="3">
        <v>6237.0</v>
      </c>
      <c r="Y56" s="3">
        <v>24.0</v>
      </c>
      <c r="Z56" s="3">
        <v>85.0</v>
      </c>
      <c r="AA56" s="3">
        <v>197.0</v>
      </c>
      <c r="AB56" s="3">
        <v>506.0</v>
      </c>
      <c r="AC56" s="3">
        <v>11.0</v>
      </c>
    </row>
    <row r="57">
      <c r="A57" s="3">
        <v>55.0</v>
      </c>
      <c r="B57" s="3" t="s">
        <v>2373</v>
      </c>
      <c r="C57" s="3">
        <v>74.0</v>
      </c>
      <c r="D57" s="3" t="s">
        <v>1139</v>
      </c>
      <c r="E57" s="3">
        <v>17.937719</v>
      </c>
      <c r="F57" s="3">
        <v>-88.366374</v>
      </c>
      <c r="G57" s="3">
        <v>3.0</v>
      </c>
      <c r="H57" s="3">
        <v>0.0</v>
      </c>
      <c r="I57" s="3" t="s">
        <v>187</v>
      </c>
      <c r="J57" s="3">
        <v>564.0</v>
      </c>
      <c r="K57" s="3">
        <v>569.0</v>
      </c>
      <c r="L57" s="3" t="s">
        <v>133</v>
      </c>
      <c r="M57" s="3">
        <v>1.0</v>
      </c>
      <c r="N57" s="3" t="s">
        <v>121</v>
      </c>
      <c r="O57" s="3" t="s">
        <v>2374</v>
      </c>
      <c r="P57" s="3" t="s">
        <v>2378</v>
      </c>
      <c r="Q57" s="3">
        <v>2.0</v>
      </c>
      <c r="R57" s="3">
        <v>494.0</v>
      </c>
      <c r="S57" s="3">
        <v>57.480003</v>
      </c>
      <c r="T57" s="3">
        <v>12.625324</v>
      </c>
      <c r="U57" s="3" t="s">
        <v>2376</v>
      </c>
      <c r="V57" s="3">
        <v>0.0</v>
      </c>
      <c r="W57" s="3">
        <v>1641.0</v>
      </c>
      <c r="X57" s="3">
        <v>5337.0</v>
      </c>
      <c r="Y57" s="3">
        <v>42.0</v>
      </c>
      <c r="Z57" s="3">
        <v>136.0</v>
      </c>
      <c r="AA57" s="3">
        <v>253.0</v>
      </c>
      <c r="AB57" s="3">
        <v>627.0</v>
      </c>
      <c r="AC57" s="3">
        <v>15.0</v>
      </c>
    </row>
    <row r="58">
      <c r="A58" s="3">
        <v>56.0</v>
      </c>
      <c r="B58" s="3" t="s">
        <v>2373</v>
      </c>
      <c r="C58" s="3">
        <v>119.0</v>
      </c>
      <c r="D58" s="3" t="s">
        <v>665</v>
      </c>
      <c r="E58" s="3">
        <v>18.441426</v>
      </c>
      <c r="F58" s="3">
        <v>-88.476495</v>
      </c>
      <c r="G58" s="3">
        <v>3.0</v>
      </c>
      <c r="H58" s="3">
        <v>0.0</v>
      </c>
      <c r="I58" s="3" t="s">
        <v>187</v>
      </c>
      <c r="J58" s="3">
        <v>564.0</v>
      </c>
      <c r="K58" s="3">
        <v>569.0</v>
      </c>
      <c r="L58" s="3" t="s">
        <v>133</v>
      </c>
      <c r="M58" s="3">
        <v>1.0</v>
      </c>
      <c r="N58" s="3" t="s">
        <v>121</v>
      </c>
      <c r="O58" s="3" t="s">
        <v>2374</v>
      </c>
      <c r="P58" s="3" t="s">
        <v>2378</v>
      </c>
      <c r="Q58" s="3">
        <v>2.0</v>
      </c>
      <c r="R58" s="3">
        <v>494.0</v>
      </c>
      <c r="S58" s="3">
        <v>57.480003</v>
      </c>
      <c r="T58" s="3">
        <v>12.625324</v>
      </c>
      <c r="U58" s="3" t="s">
        <v>2376</v>
      </c>
      <c r="V58" s="3">
        <v>0.0</v>
      </c>
      <c r="W58" s="3">
        <v>1213.0</v>
      </c>
      <c r="X58" s="3">
        <v>6265.0</v>
      </c>
      <c r="Y58" s="3">
        <v>23.0</v>
      </c>
      <c r="Z58" s="3">
        <v>86.0</v>
      </c>
      <c r="AA58" s="3">
        <v>195.0</v>
      </c>
      <c r="AB58" s="3">
        <v>500.0</v>
      </c>
      <c r="AC58" s="3">
        <v>3.0</v>
      </c>
    </row>
    <row r="59">
      <c r="A59" s="3">
        <v>57.0</v>
      </c>
      <c r="B59" s="3" t="s">
        <v>2373</v>
      </c>
      <c r="C59" s="3">
        <v>120.0</v>
      </c>
      <c r="D59" s="3" t="s">
        <v>667</v>
      </c>
      <c r="E59" s="3">
        <v>18.385586</v>
      </c>
      <c r="F59" s="3">
        <v>-88.470017</v>
      </c>
      <c r="G59" s="3">
        <v>3.0</v>
      </c>
      <c r="H59" s="3">
        <v>0.0</v>
      </c>
      <c r="I59" s="3" t="s">
        <v>187</v>
      </c>
      <c r="J59" s="3">
        <v>564.0</v>
      </c>
      <c r="K59" s="3">
        <v>569.0</v>
      </c>
      <c r="L59" s="3" t="s">
        <v>133</v>
      </c>
      <c r="M59" s="3">
        <v>1.0</v>
      </c>
      <c r="N59" s="3" t="s">
        <v>121</v>
      </c>
      <c r="O59" s="3" t="s">
        <v>2374</v>
      </c>
      <c r="P59" s="3" t="s">
        <v>2378</v>
      </c>
      <c r="Q59" s="3">
        <v>2.0</v>
      </c>
      <c r="R59" s="3">
        <v>494.0</v>
      </c>
      <c r="S59" s="3">
        <v>57.480003</v>
      </c>
      <c r="T59" s="3">
        <v>12.625324</v>
      </c>
      <c r="U59" s="3" t="s">
        <v>2376</v>
      </c>
      <c r="V59" s="3">
        <v>0.0</v>
      </c>
      <c r="W59" s="3">
        <v>1249.0</v>
      </c>
      <c r="X59" s="3">
        <v>6353.0</v>
      </c>
      <c r="Y59" s="3">
        <v>23.0</v>
      </c>
      <c r="Z59" s="3">
        <v>86.0</v>
      </c>
      <c r="AA59" s="3">
        <v>204.0</v>
      </c>
      <c r="AB59" s="3">
        <v>516.0</v>
      </c>
      <c r="AC59" s="3">
        <v>14.0</v>
      </c>
    </row>
    <row r="60">
      <c r="A60" s="3">
        <v>58.0</v>
      </c>
      <c r="B60" s="3" t="s">
        <v>2373</v>
      </c>
      <c r="C60" s="3">
        <v>121.0</v>
      </c>
      <c r="D60" s="3" t="s">
        <v>668</v>
      </c>
      <c r="E60" s="3">
        <v>18.0866</v>
      </c>
      <c r="F60" s="3">
        <v>-88.448328</v>
      </c>
      <c r="G60" s="3">
        <v>3.0</v>
      </c>
      <c r="H60" s="3">
        <v>0.0</v>
      </c>
      <c r="I60" s="3" t="s">
        <v>187</v>
      </c>
      <c r="J60" s="3">
        <v>564.0</v>
      </c>
      <c r="K60" s="3">
        <v>569.0</v>
      </c>
      <c r="L60" s="3" t="s">
        <v>133</v>
      </c>
      <c r="M60" s="3">
        <v>1.0</v>
      </c>
      <c r="N60" s="3" t="s">
        <v>121</v>
      </c>
      <c r="O60" s="3" t="s">
        <v>2374</v>
      </c>
      <c r="P60" s="3" t="s">
        <v>2378</v>
      </c>
      <c r="Q60" s="3">
        <v>2.0</v>
      </c>
      <c r="R60" s="3">
        <v>494.0</v>
      </c>
      <c r="S60" s="3">
        <v>57.480003</v>
      </c>
      <c r="T60" s="3">
        <v>12.625324</v>
      </c>
      <c r="U60" s="3" t="s">
        <v>2376</v>
      </c>
      <c r="V60" s="3">
        <v>0.0</v>
      </c>
      <c r="W60" s="3">
        <v>1484.0</v>
      </c>
      <c r="X60" s="3">
        <v>5756.0</v>
      </c>
      <c r="Y60" s="3">
        <v>33.0</v>
      </c>
      <c r="Z60" s="3">
        <v>113.0</v>
      </c>
      <c r="AA60" s="3">
        <v>235.0</v>
      </c>
      <c r="AB60" s="3">
        <v>582.0</v>
      </c>
      <c r="AC60" s="3">
        <v>10.0</v>
      </c>
    </row>
    <row r="61">
      <c r="A61" s="3">
        <v>59.0</v>
      </c>
      <c r="B61" s="3" t="s">
        <v>2373</v>
      </c>
      <c r="C61" s="3">
        <v>122.0</v>
      </c>
      <c r="D61" s="3" t="s">
        <v>669</v>
      </c>
      <c r="E61" s="3">
        <v>17.98935</v>
      </c>
      <c r="F61" s="3">
        <v>-88.466374</v>
      </c>
      <c r="G61" s="3">
        <v>3.0</v>
      </c>
      <c r="H61" s="3">
        <v>0.0</v>
      </c>
      <c r="I61" s="3" t="s">
        <v>187</v>
      </c>
      <c r="J61" s="3">
        <v>564.0</v>
      </c>
      <c r="K61" s="3">
        <v>569.0</v>
      </c>
      <c r="L61" s="3" t="s">
        <v>133</v>
      </c>
      <c r="M61" s="3">
        <v>1.0</v>
      </c>
      <c r="N61" s="3" t="s">
        <v>121</v>
      </c>
      <c r="O61" s="3" t="s">
        <v>2374</v>
      </c>
      <c r="P61" s="3" t="s">
        <v>2378</v>
      </c>
      <c r="Q61" s="3">
        <v>2.0</v>
      </c>
      <c r="R61" s="3">
        <v>494.0</v>
      </c>
      <c r="S61" s="3">
        <v>57.480003</v>
      </c>
      <c r="T61" s="3">
        <v>12.625324</v>
      </c>
      <c r="U61" s="3" t="s">
        <v>2376</v>
      </c>
      <c r="V61" s="3">
        <v>0.0</v>
      </c>
      <c r="W61" s="3">
        <v>1563.0</v>
      </c>
      <c r="X61" s="3">
        <v>5565.0</v>
      </c>
      <c r="Y61" s="3">
        <v>40.0</v>
      </c>
      <c r="Z61" s="3">
        <v>126.0</v>
      </c>
      <c r="AA61" s="3">
        <v>242.0</v>
      </c>
      <c r="AB61" s="3">
        <v>606.0</v>
      </c>
      <c r="AC61" s="3">
        <v>20.0</v>
      </c>
    </row>
    <row r="62">
      <c r="A62" s="3">
        <v>60.0</v>
      </c>
      <c r="B62" s="3" t="s">
        <v>2373</v>
      </c>
      <c r="C62" s="3">
        <v>123.0</v>
      </c>
      <c r="D62" s="3" t="s">
        <v>670</v>
      </c>
      <c r="E62" s="3">
        <v>17.988299</v>
      </c>
      <c r="F62" s="3">
        <v>-88.511265</v>
      </c>
      <c r="G62" s="3">
        <v>3.0</v>
      </c>
      <c r="H62" s="3">
        <v>0.0</v>
      </c>
      <c r="I62" s="3" t="s">
        <v>187</v>
      </c>
      <c r="J62" s="3">
        <v>564.0</v>
      </c>
      <c r="K62" s="3">
        <v>569.0</v>
      </c>
      <c r="L62" s="3" t="s">
        <v>133</v>
      </c>
      <c r="M62" s="3">
        <v>1.0</v>
      </c>
      <c r="N62" s="3" t="s">
        <v>121</v>
      </c>
      <c r="O62" s="3" t="s">
        <v>2374</v>
      </c>
      <c r="P62" s="3" t="s">
        <v>2378</v>
      </c>
      <c r="Q62" s="3">
        <v>2.0</v>
      </c>
      <c r="R62" s="3">
        <v>494.0</v>
      </c>
      <c r="S62" s="3">
        <v>57.480003</v>
      </c>
      <c r="T62" s="3">
        <v>12.625324</v>
      </c>
      <c r="U62" s="3" t="s">
        <v>2376</v>
      </c>
      <c r="V62" s="3">
        <v>0.0</v>
      </c>
      <c r="W62" s="3">
        <v>1550.0</v>
      </c>
      <c r="X62" s="3">
        <v>5599.0</v>
      </c>
      <c r="Y62" s="3">
        <v>38.0</v>
      </c>
      <c r="Z62" s="3">
        <v>124.0</v>
      </c>
      <c r="AA62" s="3">
        <v>238.0</v>
      </c>
      <c r="AB62" s="3">
        <v>608.0</v>
      </c>
      <c r="AC62" s="3">
        <v>41.0</v>
      </c>
    </row>
    <row r="63">
      <c r="A63" s="3">
        <v>61.0</v>
      </c>
      <c r="B63" s="3" t="s">
        <v>2373</v>
      </c>
      <c r="C63" s="3">
        <v>124.0</v>
      </c>
      <c r="D63" s="78" t="s">
        <v>671</v>
      </c>
      <c r="E63" s="3">
        <v>17.986626</v>
      </c>
      <c r="F63" s="3">
        <v>-88.417657</v>
      </c>
      <c r="G63" s="3">
        <v>3.0</v>
      </c>
      <c r="H63" s="3">
        <v>0.0</v>
      </c>
      <c r="I63" s="3" t="s">
        <v>187</v>
      </c>
      <c r="J63" s="3">
        <v>564.0</v>
      </c>
      <c r="K63" s="3">
        <v>569.0</v>
      </c>
      <c r="L63" s="3" t="s">
        <v>133</v>
      </c>
      <c r="M63" s="3">
        <v>1.0</v>
      </c>
      <c r="N63" s="3" t="s">
        <v>121</v>
      </c>
      <c r="O63" s="3" t="s">
        <v>2374</v>
      </c>
      <c r="P63" s="3" t="s">
        <v>2378</v>
      </c>
      <c r="Q63" s="3">
        <v>2.0</v>
      </c>
      <c r="R63" s="3">
        <v>494.0</v>
      </c>
      <c r="S63" s="3">
        <v>57.480003</v>
      </c>
      <c r="T63" s="3">
        <v>12.625324</v>
      </c>
      <c r="U63" s="3" t="s">
        <v>2376</v>
      </c>
      <c r="V63" s="3">
        <v>0.0</v>
      </c>
      <c r="W63" s="3">
        <v>1575.0</v>
      </c>
      <c r="X63" s="3">
        <v>5511.0</v>
      </c>
      <c r="Y63" s="3">
        <v>40.0</v>
      </c>
      <c r="Z63" s="3">
        <v>126.0</v>
      </c>
      <c r="AA63" s="3">
        <v>244.0</v>
      </c>
      <c r="AB63" s="3">
        <v>608.0</v>
      </c>
      <c r="AC63" s="3">
        <v>18.0</v>
      </c>
    </row>
    <row r="64">
      <c r="A64" s="3">
        <v>62.0</v>
      </c>
      <c r="B64" s="3" t="s">
        <v>2373</v>
      </c>
      <c r="C64" s="3">
        <v>125.0</v>
      </c>
      <c r="D64" s="3" t="s">
        <v>202</v>
      </c>
      <c r="E64" s="3">
        <v>18.441426</v>
      </c>
      <c r="F64" s="3">
        <v>-88.476495</v>
      </c>
      <c r="G64" s="3">
        <v>3.0</v>
      </c>
      <c r="H64" s="3">
        <v>0.0</v>
      </c>
      <c r="I64" s="3" t="s">
        <v>187</v>
      </c>
      <c r="J64" s="3">
        <v>564.0</v>
      </c>
      <c r="K64" s="3">
        <v>569.0</v>
      </c>
      <c r="L64" s="3" t="s">
        <v>133</v>
      </c>
      <c r="M64" s="3">
        <v>1.0</v>
      </c>
      <c r="N64" s="3" t="s">
        <v>121</v>
      </c>
      <c r="O64" s="3" t="s">
        <v>2374</v>
      </c>
      <c r="P64" s="3" t="s">
        <v>2378</v>
      </c>
      <c r="Q64" s="3">
        <v>2.0</v>
      </c>
      <c r="R64" s="3">
        <v>494.0</v>
      </c>
      <c r="S64" s="3">
        <v>57.480003</v>
      </c>
      <c r="T64" s="3">
        <v>12.625324</v>
      </c>
      <c r="U64" s="3" t="s">
        <v>2376</v>
      </c>
      <c r="V64" s="3">
        <v>0.0</v>
      </c>
      <c r="W64" s="3">
        <v>1213.0</v>
      </c>
      <c r="X64" s="3">
        <v>6265.0</v>
      </c>
      <c r="Y64" s="3">
        <v>23.0</v>
      </c>
      <c r="Z64" s="3">
        <v>86.0</v>
      </c>
      <c r="AA64" s="3">
        <v>195.0</v>
      </c>
      <c r="AB64" s="3">
        <v>500.0</v>
      </c>
      <c r="AC64" s="3">
        <v>3.0</v>
      </c>
    </row>
    <row r="65">
      <c r="A65" s="3">
        <v>63.0</v>
      </c>
      <c r="B65" s="3" t="s">
        <v>2373</v>
      </c>
      <c r="C65" s="3">
        <v>126.0</v>
      </c>
      <c r="D65" s="3" t="s">
        <v>207</v>
      </c>
      <c r="E65" s="3">
        <v>18.385586</v>
      </c>
      <c r="F65" s="3">
        <v>-88.470017</v>
      </c>
      <c r="G65" s="3">
        <v>3.0</v>
      </c>
      <c r="H65" s="3">
        <v>0.0</v>
      </c>
      <c r="I65" s="3" t="s">
        <v>187</v>
      </c>
      <c r="J65" s="3">
        <v>564.0</v>
      </c>
      <c r="K65" s="3">
        <v>569.0</v>
      </c>
      <c r="L65" s="3" t="s">
        <v>133</v>
      </c>
      <c r="M65" s="3">
        <v>1.0</v>
      </c>
      <c r="N65" s="3" t="s">
        <v>121</v>
      </c>
      <c r="O65" s="3" t="s">
        <v>2374</v>
      </c>
      <c r="P65" s="3" t="s">
        <v>2378</v>
      </c>
      <c r="Q65" s="3">
        <v>2.0</v>
      </c>
      <c r="R65" s="3">
        <v>494.0</v>
      </c>
      <c r="S65" s="3">
        <v>57.480003</v>
      </c>
      <c r="T65" s="3">
        <v>12.625324</v>
      </c>
      <c r="U65" s="3" t="s">
        <v>2376</v>
      </c>
      <c r="V65" s="3">
        <v>0.0</v>
      </c>
      <c r="W65" s="3">
        <v>1249.0</v>
      </c>
      <c r="X65" s="3">
        <v>6353.0</v>
      </c>
      <c r="Y65" s="3">
        <v>23.0</v>
      </c>
      <c r="Z65" s="3">
        <v>86.0</v>
      </c>
      <c r="AA65" s="3">
        <v>204.0</v>
      </c>
      <c r="AB65" s="3">
        <v>516.0</v>
      </c>
      <c r="AC65" s="3">
        <v>14.0</v>
      </c>
    </row>
    <row r="66">
      <c r="A66" s="3">
        <v>64.0</v>
      </c>
      <c r="B66" s="3" t="s">
        <v>2373</v>
      </c>
      <c r="C66" s="3">
        <v>127.0</v>
      </c>
      <c r="D66" s="3" t="s">
        <v>209</v>
      </c>
      <c r="E66" s="3">
        <v>18.0866</v>
      </c>
      <c r="F66" s="3">
        <v>-88.448328</v>
      </c>
      <c r="G66" s="3">
        <v>3.0</v>
      </c>
      <c r="H66" s="3">
        <v>0.0</v>
      </c>
      <c r="I66" s="3" t="s">
        <v>187</v>
      </c>
      <c r="J66" s="3">
        <v>564.0</v>
      </c>
      <c r="K66" s="3">
        <v>569.0</v>
      </c>
      <c r="L66" s="3" t="s">
        <v>133</v>
      </c>
      <c r="M66" s="3">
        <v>1.0</v>
      </c>
      <c r="N66" s="3" t="s">
        <v>121</v>
      </c>
      <c r="O66" s="3" t="s">
        <v>2374</v>
      </c>
      <c r="P66" s="3" t="s">
        <v>2378</v>
      </c>
      <c r="Q66" s="3">
        <v>2.0</v>
      </c>
      <c r="R66" s="3">
        <v>494.0</v>
      </c>
      <c r="S66" s="3">
        <v>57.480003</v>
      </c>
      <c r="T66" s="3">
        <v>12.625324</v>
      </c>
      <c r="U66" s="3" t="s">
        <v>2376</v>
      </c>
      <c r="V66" s="3">
        <v>0.0</v>
      </c>
      <c r="W66" s="3">
        <v>1484.0</v>
      </c>
      <c r="X66" s="3">
        <v>5756.0</v>
      </c>
      <c r="Y66" s="3">
        <v>33.0</v>
      </c>
      <c r="Z66" s="3">
        <v>113.0</v>
      </c>
      <c r="AA66" s="3">
        <v>235.0</v>
      </c>
      <c r="AB66" s="3">
        <v>582.0</v>
      </c>
      <c r="AC66" s="3">
        <v>10.0</v>
      </c>
    </row>
    <row r="67">
      <c r="A67" s="3">
        <v>65.0</v>
      </c>
      <c r="B67" s="3" t="s">
        <v>2373</v>
      </c>
      <c r="C67" s="3">
        <v>128.0</v>
      </c>
      <c r="D67" s="3" t="s">
        <v>211</v>
      </c>
      <c r="E67" s="3">
        <v>17.98935</v>
      </c>
      <c r="F67" s="3">
        <v>-88.466374</v>
      </c>
      <c r="G67" s="3">
        <v>3.0</v>
      </c>
      <c r="H67" s="3">
        <v>0.0</v>
      </c>
      <c r="I67" s="3" t="s">
        <v>187</v>
      </c>
      <c r="J67" s="3">
        <v>564.0</v>
      </c>
      <c r="K67" s="3">
        <v>569.0</v>
      </c>
      <c r="L67" s="3" t="s">
        <v>133</v>
      </c>
      <c r="M67" s="3">
        <v>1.0</v>
      </c>
      <c r="N67" s="3" t="s">
        <v>121</v>
      </c>
      <c r="O67" s="3" t="s">
        <v>2374</v>
      </c>
      <c r="P67" s="3" t="s">
        <v>2378</v>
      </c>
      <c r="Q67" s="3">
        <v>2.0</v>
      </c>
      <c r="R67" s="3">
        <v>494.0</v>
      </c>
      <c r="S67" s="3">
        <v>57.480003</v>
      </c>
      <c r="T67" s="3">
        <v>12.625324</v>
      </c>
      <c r="U67" s="3" t="s">
        <v>2376</v>
      </c>
      <c r="V67" s="3">
        <v>0.0</v>
      </c>
      <c r="W67" s="3">
        <v>1563.0</v>
      </c>
      <c r="X67" s="3">
        <v>5565.0</v>
      </c>
      <c r="Y67" s="3">
        <v>40.0</v>
      </c>
      <c r="Z67" s="3">
        <v>126.0</v>
      </c>
      <c r="AA67" s="3">
        <v>242.0</v>
      </c>
      <c r="AB67" s="3">
        <v>606.0</v>
      </c>
      <c r="AC67" s="3">
        <v>20.0</v>
      </c>
    </row>
    <row r="68">
      <c r="A68" s="3">
        <v>66.0</v>
      </c>
      <c r="B68" s="3" t="s">
        <v>2373</v>
      </c>
      <c r="C68" s="3">
        <v>129.0</v>
      </c>
      <c r="D68" s="3" t="s">
        <v>213</v>
      </c>
      <c r="E68" s="3">
        <v>17.988299</v>
      </c>
      <c r="F68" s="3">
        <v>-88.511265</v>
      </c>
      <c r="G68" s="3">
        <v>3.0</v>
      </c>
      <c r="H68" s="3">
        <v>0.0</v>
      </c>
      <c r="I68" s="3" t="s">
        <v>187</v>
      </c>
      <c r="J68" s="3">
        <v>564.0</v>
      </c>
      <c r="K68" s="3">
        <v>569.0</v>
      </c>
      <c r="L68" s="3" t="s">
        <v>133</v>
      </c>
      <c r="M68" s="3">
        <v>1.0</v>
      </c>
      <c r="N68" s="3" t="s">
        <v>121</v>
      </c>
      <c r="O68" s="3" t="s">
        <v>2374</v>
      </c>
      <c r="P68" s="3" t="s">
        <v>2378</v>
      </c>
      <c r="Q68" s="3">
        <v>2.0</v>
      </c>
      <c r="R68" s="3">
        <v>494.0</v>
      </c>
      <c r="S68" s="3">
        <v>57.480003</v>
      </c>
      <c r="T68" s="3">
        <v>12.625324</v>
      </c>
      <c r="U68" s="3" t="s">
        <v>2376</v>
      </c>
      <c r="V68" s="3">
        <v>0.0</v>
      </c>
      <c r="W68" s="3">
        <v>1550.0</v>
      </c>
      <c r="X68" s="3">
        <v>5599.0</v>
      </c>
      <c r="Y68" s="3">
        <v>38.0</v>
      </c>
      <c r="Z68" s="3">
        <v>124.0</v>
      </c>
      <c r="AA68" s="3">
        <v>238.0</v>
      </c>
      <c r="AB68" s="3">
        <v>608.0</v>
      </c>
      <c r="AC68" s="3">
        <v>41.0</v>
      </c>
    </row>
    <row r="69">
      <c r="A69" s="3">
        <v>67.0</v>
      </c>
      <c r="B69" s="3" t="s">
        <v>2373</v>
      </c>
      <c r="C69" s="3">
        <v>130.0</v>
      </c>
      <c r="D69" s="3" t="s">
        <v>215</v>
      </c>
      <c r="E69" s="3">
        <v>17.986626</v>
      </c>
      <c r="F69" s="3">
        <v>-88.417657</v>
      </c>
      <c r="G69" s="3">
        <v>3.0</v>
      </c>
      <c r="H69" s="3">
        <v>0.0</v>
      </c>
      <c r="I69" s="3" t="s">
        <v>187</v>
      </c>
      <c r="J69" s="3">
        <v>564.0</v>
      </c>
      <c r="K69" s="3">
        <v>569.0</v>
      </c>
      <c r="L69" s="3" t="s">
        <v>133</v>
      </c>
      <c r="M69" s="3">
        <v>1.0</v>
      </c>
      <c r="N69" s="3" t="s">
        <v>121</v>
      </c>
      <c r="O69" s="3" t="s">
        <v>2374</v>
      </c>
      <c r="P69" s="3" t="s">
        <v>2378</v>
      </c>
      <c r="Q69" s="3">
        <v>2.0</v>
      </c>
      <c r="R69" s="3">
        <v>494.0</v>
      </c>
      <c r="S69" s="3">
        <v>57.480003</v>
      </c>
      <c r="T69" s="3">
        <v>12.625324</v>
      </c>
      <c r="U69" s="3" t="s">
        <v>2376</v>
      </c>
      <c r="V69" s="3">
        <v>0.0</v>
      </c>
      <c r="W69" s="3">
        <v>1575.0</v>
      </c>
      <c r="X69" s="3">
        <v>5511.0</v>
      </c>
      <c r="Y69" s="3">
        <v>40.0</v>
      </c>
      <c r="Z69" s="3">
        <v>126.0</v>
      </c>
      <c r="AA69" s="3">
        <v>244.0</v>
      </c>
      <c r="AB69" s="3">
        <v>608.0</v>
      </c>
      <c r="AC69" s="3">
        <v>18.0</v>
      </c>
    </row>
    <row r="70">
      <c r="A70" s="3">
        <v>68.0</v>
      </c>
      <c r="B70" s="3" t="s">
        <v>2373</v>
      </c>
      <c r="C70" s="3">
        <v>131.0</v>
      </c>
      <c r="D70" s="3" t="s">
        <v>682</v>
      </c>
      <c r="E70" s="3">
        <v>18.441426</v>
      </c>
      <c r="F70" s="3">
        <v>-88.476495</v>
      </c>
      <c r="G70" s="3">
        <v>3.0</v>
      </c>
      <c r="H70" s="3">
        <v>0.0</v>
      </c>
      <c r="I70" s="3" t="s">
        <v>187</v>
      </c>
      <c r="J70" s="3">
        <v>564.0</v>
      </c>
      <c r="K70" s="3">
        <v>569.0</v>
      </c>
      <c r="L70" s="3" t="s">
        <v>133</v>
      </c>
      <c r="M70" s="3">
        <v>1.0</v>
      </c>
      <c r="N70" s="3" t="s">
        <v>121</v>
      </c>
      <c r="O70" s="3" t="s">
        <v>2374</v>
      </c>
      <c r="P70" s="3" t="s">
        <v>2378</v>
      </c>
      <c r="Q70" s="3">
        <v>2.0</v>
      </c>
      <c r="R70" s="3">
        <v>494.0</v>
      </c>
      <c r="S70" s="3">
        <v>57.480003</v>
      </c>
      <c r="T70" s="3">
        <v>12.625324</v>
      </c>
      <c r="U70" s="3" t="s">
        <v>2376</v>
      </c>
      <c r="V70" s="3">
        <v>0.0</v>
      </c>
      <c r="W70" s="3">
        <v>1213.0</v>
      </c>
      <c r="X70" s="3">
        <v>6265.0</v>
      </c>
      <c r="Y70" s="3">
        <v>23.0</v>
      </c>
      <c r="Z70" s="3">
        <v>86.0</v>
      </c>
      <c r="AA70" s="3">
        <v>195.0</v>
      </c>
      <c r="AB70" s="3">
        <v>500.0</v>
      </c>
      <c r="AC70" s="3">
        <v>3.0</v>
      </c>
    </row>
    <row r="71">
      <c r="A71" s="3">
        <v>69.0</v>
      </c>
      <c r="B71" s="3" t="s">
        <v>2373</v>
      </c>
      <c r="C71" s="3">
        <v>132.0</v>
      </c>
      <c r="D71" s="3" t="s">
        <v>685</v>
      </c>
      <c r="E71" s="3">
        <v>18.385586</v>
      </c>
      <c r="F71" s="3">
        <v>-88.470017</v>
      </c>
      <c r="G71" s="3">
        <v>3.0</v>
      </c>
      <c r="H71" s="3">
        <v>0.0</v>
      </c>
      <c r="I71" s="3" t="s">
        <v>187</v>
      </c>
      <c r="J71" s="3">
        <v>564.0</v>
      </c>
      <c r="K71" s="3">
        <v>569.0</v>
      </c>
      <c r="L71" s="3" t="s">
        <v>133</v>
      </c>
      <c r="M71" s="3">
        <v>1.0</v>
      </c>
      <c r="N71" s="3" t="s">
        <v>121</v>
      </c>
      <c r="O71" s="3" t="s">
        <v>2374</v>
      </c>
      <c r="P71" s="3" t="s">
        <v>2378</v>
      </c>
      <c r="Q71" s="3">
        <v>2.0</v>
      </c>
      <c r="R71" s="3">
        <v>494.0</v>
      </c>
      <c r="S71" s="3">
        <v>57.480003</v>
      </c>
      <c r="T71" s="3">
        <v>12.625324</v>
      </c>
      <c r="U71" s="3" t="s">
        <v>2376</v>
      </c>
      <c r="V71" s="3">
        <v>0.0</v>
      </c>
      <c r="W71" s="3">
        <v>1249.0</v>
      </c>
      <c r="X71" s="3">
        <v>6353.0</v>
      </c>
      <c r="Y71" s="3">
        <v>23.0</v>
      </c>
      <c r="Z71" s="3">
        <v>86.0</v>
      </c>
      <c r="AA71" s="3">
        <v>204.0</v>
      </c>
      <c r="AB71" s="3">
        <v>516.0</v>
      </c>
      <c r="AC71" s="3">
        <v>14.0</v>
      </c>
    </row>
    <row r="72">
      <c r="A72" s="3">
        <v>70.0</v>
      </c>
      <c r="B72" s="3" t="s">
        <v>2373</v>
      </c>
      <c r="C72" s="3">
        <v>133.0</v>
      </c>
      <c r="D72" s="3" t="s">
        <v>686</v>
      </c>
      <c r="E72" s="3">
        <v>18.0866</v>
      </c>
      <c r="F72" s="3">
        <v>-88.448328</v>
      </c>
      <c r="G72" s="3">
        <v>3.0</v>
      </c>
      <c r="H72" s="3">
        <v>0.0</v>
      </c>
      <c r="I72" s="3" t="s">
        <v>187</v>
      </c>
      <c r="J72" s="3">
        <v>564.0</v>
      </c>
      <c r="K72" s="3">
        <v>569.0</v>
      </c>
      <c r="L72" s="3" t="s">
        <v>133</v>
      </c>
      <c r="M72" s="3">
        <v>1.0</v>
      </c>
      <c r="N72" s="3" t="s">
        <v>121</v>
      </c>
      <c r="O72" s="3" t="s">
        <v>2374</v>
      </c>
      <c r="P72" s="3" t="s">
        <v>2378</v>
      </c>
      <c r="Q72" s="3">
        <v>2.0</v>
      </c>
      <c r="R72" s="3">
        <v>494.0</v>
      </c>
      <c r="S72" s="3">
        <v>57.480003</v>
      </c>
      <c r="T72" s="3">
        <v>12.625324</v>
      </c>
      <c r="U72" s="3" t="s">
        <v>2376</v>
      </c>
      <c r="V72" s="3">
        <v>0.0</v>
      </c>
      <c r="W72" s="3">
        <v>1484.0</v>
      </c>
      <c r="X72" s="3">
        <v>5756.0</v>
      </c>
      <c r="Y72" s="3">
        <v>33.0</v>
      </c>
      <c r="Z72" s="3">
        <v>113.0</v>
      </c>
      <c r="AA72" s="3">
        <v>235.0</v>
      </c>
      <c r="AB72" s="3">
        <v>582.0</v>
      </c>
      <c r="AC72" s="3">
        <v>10.0</v>
      </c>
    </row>
    <row r="73">
      <c r="A73" s="3">
        <v>71.0</v>
      </c>
      <c r="B73" s="3" t="s">
        <v>2373</v>
      </c>
      <c r="C73" s="3">
        <v>134.0</v>
      </c>
      <c r="D73" s="3" t="s">
        <v>687</v>
      </c>
      <c r="E73" s="3">
        <v>17.98935</v>
      </c>
      <c r="F73" s="3">
        <v>-88.466374</v>
      </c>
      <c r="G73" s="3">
        <v>3.0</v>
      </c>
      <c r="H73" s="3">
        <v>0.0</v>
      </c>
      <c r="I73" s="3" t="s">
        <v>187</v>
      </c>
      <c r="J73" s="3">
        <v>564.0</v>
      </c>
      <c r="K73" s="3">
        <v>569.0</v>
      </c>
      <c r="L73" s="3" t="s">
        <v>133</v>
      </c>
      <c r="M73" s="3">
        <v>1.0</v>
      </c>
      <c r="N73" s="3" t="s">
        <v>121</v>
      </c>
      <c r="O73" s="3" t="s">
        <v>2374</v>
      </c>
      <c r="P73" s="3" t="s">
        <v>2378</v>
      </c>
      <c r="Q73" s="3">
        <v>2.0</v>
      </c>
      <c r="R73" s="3">
        <v>494.0</v>
      </c>
      <c r="S73" s="3">
        <v>57.480003</v>
      </c>
      <c r="T73" s="3">
        <v>12.625324</v>
      </c>
      <c r="U73" s="3" t="s">
        <v>2376</v>
      </c>
      <c r="V73" s="3">
        <v>0.0</v>
      </c>
      <c r="W73" s="3">
        <v>1563.0</v>
      </c>
      <c r="X73" s="3">
        <v>5565.0</v>
      </c>
      <c r="Y73" s="3">
        <v>40.0</v>
      </c>
      <c r="Z73" s="3">
        <v>126.0</v>
      </c>
      <c r="AA73" s="3">
        <v>242.0</v>
      </c>
      <c r="AB73" s="3">
        <v>606.0</v>
      </c>
      <c r="AC73" s="3">
        <v>20.0</v>
      </c>
    </row>
    <row r="74">
      <c r="A74" s="3">
        <v>72.0</v>
      </c>
      <c r="B74" s="3" t="s">
        <v>2373</v>
      </c>
      <c r="C74" s="3">
        <v>135.0</v>
      </c>
      <c r="D74" s="3" t="s">
        <v>688</v>
      </c>
      <c r="E74" s="3">
        <v>17.988299</v>
      </c>
      <c r="F74" s="3">
        <v>-88.511265</v>
      </c>
      <c r="G74" s="3">
        <v>3.0</v>
      </c>
      <c r="H74" s="3">
        <v>0.0</v>
      </c>
      <c r="I74" s="3" t="s">
        <v>187</v>
      </c>
      <c r="J74" s="3">
        <v>564.0</v>
      </c>
      <c r="K74" s="3">
        <v>569.0</v>
      </c>
      <c r="L74" s="3" t="s">
        <v>133</v>
      </c>
      <c r="M74" s="3">
        <v>1.0</v>
      </c>
      <c r="N74" s="3" t="s">
        <v>121</v>
      </c>
      <c r="O74" s="3" t="s">
        <v>2374</v>
      </c>
      <c r="P74" s="3" t="s">
        <v>2378</v>
      </c>
      <c r="Q74" s="3">
        <v>2.0</v>
      </c>
      <c r="R74" s="3">
        <v>494.0</v>
      </c>
      <c r="S74" s="3">
        <v>57.480003</v>
      </c>
      <c r="T74" s="3">
        <v>12.625324</v>
      </c>
      <c r="U74" s="3" t="s">
        <v>2376</v>
      </c>
      <c r="V74" s="3">
        <v>0.0</v>
      </c>
      <c r="W74" s="3">
        <v>1550.0</v>
      </c>
      <c r="X74" s="3">
        <v>5599.0</v>
      </c>
      <c r="Y74" s="3">
        <v>38.0</v>
      </c>
      <c r="Z74" s="3">
        <v>124.0</v>
      </c>
      <c r="AA74" s="3">
        <v>238.0</v>
      </c>
      <c r="AB74" s="3">
        <v>608.0</v>
      </c>
      <c r="AC74" s="3">
        <v>41.0</v>
      </c>
    </row>
    <row r="75">
      <c r="A75" s="3">
        <v>73.0</v>
      </c>
      <c r="B75" s="3" t="s">
        <v>2373</v>
      </c>
      <c r="C75" s="3">
        <v>136.0</v>
      </c>
      <c r="D75" s="3" t="s">
        <v>689</v>
      </c>
      <c r="E75" s="3">
        <v>17.986626</v>
      </c>
      <c r="F75" s="3">
        <v>-88.417657</v>
      </c>
      <c r="G75" s="3">
        <v>3.0</v>
      </c>
      <c r="H75" s="3">
        <v>0.0</v>
      </c>
      <c r="I75" s="3" t="s">
        <v>187</v>
      </c>
      <c r="J75" s="3">
        <v>564.0</v>
      </c>
      <c r="K75" s="3">
        <v>569.0</v>
      </c>
      <c r="L75" s="3" t="s">
        <v>133</v>
      </c>
      <c r="M75" s="3">
        <v>1.0</v>
      </c>
      <c r="N75" s="3" t="s">
        <v>121</v>
      </c>
      <c r="O75" s="3" t="s">
        <v>2374</v>
      </c>
      <c r="P75" s="3" t="s">
        <v>2378</v>
      </c>
      <c r="Q75" s="3">
        <v>2.0</v>
      </c>
      <c r="R75" s="3">
        <v>494.0</v>
      </c>
      <c r="S75" s="3">
        <v>57.480003</v>
      </c>
      <c r="T75" s="3">
        <v>12.625324</v>
      </c>
      <c r="U75" s="3" t="s">
        <v>2376</v>
      </c>
      <c r="V75" s="3">
        <v>0.0</v>
      </c>
      <c r="W75" s="3">
        <v>1575.0</v>
      </c>
      <c r="X75" s="3">
        <v>5511.0</v>
      </c>
      <c r="Y75" s="3">
        <v>40.0</v>
      </c>
      <c r="Z75" s="3">
        <v>126.0</v>
      </c>
      <c r="AA75" s="3">
        <v>244.0</v>
      </c>
      <c r="AB75" s="3">
        <v>608.0</v>
      </c>
      <c r="AC75" s="3">
        <v>18.0</v>
      </c>
    </row>
    <row r="76">
      <c r="A76" s="3">
        <v>74.0</v>
      </c>
      <c r="B76" s="3" t="s">
        <v>2373</v>
      </c>
      <c r="C76" s="3">
        <v>230.0</v>
      </c>
      <c r="D76" s="3" t="s">
        <v>1574</v>
      </c>
      <c r="E76" s="3">
        <v>16.89</v>
      </c>
      <c r="F76" s="3">
        <v>-89.118889</v>
      </c>
      <c r="G76" s="3">
        <v>3.0</v>
      </c>
      <c r="H76" s="3">
        <v>0.0</v>
      </c>
      <c r="I76" s="3" t="s">
        <v>187</v>
      </c>
      <c r="J76" s="3">
        <v>564.0</v>
      </c>
      <c r="K76" s="3">
        <v>569.0</v>
      </c>
      <c r="L76" s="3" t="s">
        <v>133</v>
      </c>
      <c r="M76" s="3">
        <v>1.0</v>
      </c>
      <c r="N76" s="3" t="s">
        <v>121</v>
      </c>
      <c r="O76" s="3" t="s">
        <v>2374</v>
      </c>
      <c r="P76" s="3" t="s">
        <v>2378</v>
      </c>
      <c r="Q76" s="3">
        <v>2.0</v>
      </c>
      <c r="R76" s="3">
        <v>494.0</v>
      </c>
      <c r="S76" s="3">
        <v>57.480003</v>
      </c>
      <c r="T76" s="3">
        <v>12.625324</v>
      </c>
      <c r="U76" s="3" t="s">
        <v>2376</v>
      </c>
      <c r="V76" s="3">
        <v>0.0</v>
      </c>
      <c r="W76" s="3">
        <v>2136.0</v>
      </c>
      <c r="X76" s="3">
        <v>5491.0</v>
      </c>
      <c r="Y76" s="3">
        <v>51.0</v>
      </c>
      <c r="Z76" s="3">
        <v>183.0</v>
      </c>
      <c r="AA76" s="3">
        <v>333.0</v>
      </c>
      <c r="AB76" s="3">
        <v>878.0</v>
      </c>
      <c r="AC76" s="3">
        <v>481.0</v>
      </c>
    </row>
    <row r="77">
      <c r="A77" s="3">
        <v>75.0</v>
      </c>
      <c r="B77" s="3" t="s">
        <v>2373</v>
      </c>
      <c r="C77" s="3">
        <v>239.0</v>
      </c>
      <c r="D77" s="3" t="s">
        <v>2015</v>
      </c>
      <c r="E77" s="3">
        <v>16.883</v>
      </c>
      <c r="F77" s="3">
        <v>-89.108</v>
      </c>
      <c r="G77" s="3">
        <v>3.0</v>
      </c>
      <c r="H77" s="3">
        <v>0.0</v>
      </c>
      <c r="I77" s="3" t="s">
        <v>187</v>
      </c>
      <c r="J77" s="3">
        <v>564.0</v>
      </c>
      <c r="K77" s="3">
        <v>569.0</v>
      </c>
      <c r="L77" s="3" t="s">
        <v>133</v>
      </c>
      <c r="M77" s="3">
        <v>1.0</v>
      </c>
      <c r="N77" s="3" t="s">
        <v>121</v>
      </c>
      <c r="O77" s="3" t="s">
        <v>2374</v>
      </c>
      <c r="P77" s="3" t="s">
        <v>2378</v>
      </c>
      <c r="Q77" s="3">
        <v>2.0</v>
      </c>
      <c r="R77" s="3">
        <v>494.0</v>
      </c>
      <c r="S77" s="3">
        <v>57.480003</v>
      </c>
      <c r="T77" s="3">
        <v>12.625324</v>
      </c>
      <c r="U77" s="3" t="s">
        <v>2376</v>
      </c>
      <c r="V77" s="3">
        <v>0.0</v>
      </c>
      <c r="W77" s="3">
        <v>2142.0</v>
      </c>
      <c r="X77" s="3">
        <v>5497.0</v>
      </c>
      <c r="Y77" s="3">
        <v>52.0</v>
      </c>
      <c r="Z77" s="3">
        <v>184.0</v>
      </c>
      <c r="AA77" s="3">
        <v>333.0</v>
      </c>
      <c r="AB77" s="3">
        <v>878.0</v>
      </c>
      <c r="AC77" s="3">
        <v>500.0</v>
      </c>
    </row>
    <row r="78">
      <c r="A78" s="3">
        <v>76.0</v>
      </c>
      <c r="B78" s="3" t="s">
        <v>2373</v>
      </c>
      <c r="C78" s="3">
        <v>240.0</v>
      </c>
      <c r="D78" s="3" t="s">
        <v>2017</v>
      </c>
      <c r="E78" s="3">
        <v>16.883</v>
      </c>
      <c r="F78" s="3">
        <v>-89.108</v>
      </c>
      <c r="G78" s="3">
        <v>3.0</v>
      </c>
      <c r="H78" s="3">
        <v>0.0</v>
      </c>
      <c r="I78" s="3" t="s">
        <v>187</v>
      </c>
      <c r="J78" s="3">
        <v>564.0</v>
      </c>
      <c r="K78" s="3">
        <v>569.0</v>
      </c>
      <c r="L78" s="3" t="s">
        <v>133</v>
      </c>
      <c r="M78" s="3">
        <v>1.0</v>
      </c>
      <c r="N78" s="3" t="s">
        <v>121</v>
      </c>
      <c r="O78" s="3" t="s">
        <v>2374</v>
      </c>
      <c r="P78" s="3" t="s">
        <v>2378</v>
      </c>
      <c r="Q78" s="3">
        <v>2.0</v>
      </c>
      <c r="R78" s="3">
        <v>494.0</v>
      </c>
      <c r="S78" s="3">
        <v>57.480003</v>
      </c>
      <c r="T78" s="3">
        <v>12.625324</v>
      </c>
      <c r="U78" s="3" t="s">
        <v>2376</v>
      </c>
      <c r="V78" s="3">
        <v>0.0</v>
      </c>
      <c r="W78" s="3">
        <v>2142.0</v>
      </c>
      <c r="X78" s="3">
        <v>5497.0</v>
      </c>
      <c r="Y78" s="3">
        <v>52.0</v>
      </c>
      <c r="Z78" s="3">
        <v>184.0</v>
      </c>
      <c r="AA78" s="3">
        <v>333.0</v>
      </c>
      <c r="AB78" s="3">
        <v>878.0</v>
      </c>
      <c r="AC78" s="3">
        <v>500.0</v>
      </c>
    </row>
    <row r="79">
      <c r="A79" s="3">
        <v>77.0</v>
      </c>
      <c r="B79" s="3" t="s">
        <v>2373</v>
      </c>
      <c r="C79" s="3">
        <v>260.0</v>
      </c>
      <c r="D79" s="3" t="s">
        <v>2023</v>
      </c>
      <c r="E79" s="3">
        <v>17.599365</v>
      </c>
      <c r="F79" s="3">
        <v>-88.69915</v>
      </c>
      <c r="G79" s="3">
        <v>3.0</v>
      </c>
      <c r="H79" s="3">
        <v>0.0</v>
      </c>
      <c r="I79" s="3" t="s">
        <v>187</v>
      </c>
      <c r="J79" s="3">
        <v>564.0</v>
      </c>
      <c r="K79" s="3">
        <v>569.0</v>
      </c>
      <c r="L79" s="3" t="s">
        <v>133</v>
      </c>
      <c r="M79" s="3">
        <v>1.0</v>
      </c>
      <c r="N79" s="3" t="s">
        <v>121</v>
      </c>
      <c r="O79" s="3" t="s">
        <v>2374</v>
      </c>
      <c r="P79" s="3" t="s">
        <v>2378</v>
      </c>
      <c r="Q79" s="3">
        <v>2.0</v>
      </c>
      <c r="R79" s="3">
        <v>494.0</v>
      </c>
      <c r="S79" s="3">
        <v>57.480003</v>
      </c>
      <c r="T79" s="3">
        <v>12.625324</v>
      </c>
      <c r="U79" s="3" t="s">
        <v>2376</v>
      </c>
      <c r="V79" s="3">
        <v>0.0</v>
      </c>
      <c r="W79" s="3">
        <v>1778.0</v>
      </c>
      <c r="X79" s="3">
        <v>5215.0</v>
      </c>
      <c r="Y79" s="3">
        <v>45.0</v>
      </c>
      <c r="Z79" s="3">
        <v>158.0</v>
      </c>
      <c r="AA79" s="3">
        <v>253.0</v>
      </c>
      <c r="AB79" s="3">
        <v>697.0</v>
      </c>
      <c r="AC79" s="3">
        <v>41.0</v>
      </c>
    </row>
    <row r="80">
      <c r="A80" s="3">
        <v>78.0</v>
      </c>
      <c r="B80" s="3" t="s">
        <v>2373</v>
      </c>
      <c r="C80" s="3">
        <v>261.0</v>
      </c>
      <c r="D80" s="3" t="s">
        <v>2025</v>
      </c>
      <c r="E80" s="3">
        <v>17.599365</v>
      </c>
      <c r="F80" s="3">
        <v>-88.69915</v>
      </c>
      <c r="G80" s="3">
        <v>3.0</v>
      </c>
      <c r="H80" s="3">
        <v>0.0</v>
      </c>
      <c r="I80" s="3" t="s">
        <v>187</v>
      </c>
      <c r="J80" s="3">
        <v>564.0</v>
      </c>
      <c r="K80" s="3">
        <v>569.0</v>
      </c>
      <c r="L80" s="3" t="s">
        <v>133</v>
      </c>
      <c r="M80" s="3">
        <v>1.0</v>
      </c>
      <c r="N80" s="3" t="s">
        <v>121</v>
      </c>
      <c r="O80" s="3" t="s">
        <v>2374</v>
      </c>
      <c r="P80" s="3" t="s">
        <v>2378</v>
      </c>
      <c r="Q80" s="3">
        <v>2.0</v>
      </c>
      <c r="R80" s="3">
        <v>494.0</v>
      </c>
      <c r="S80" s="3">
        <v>57.480003</v>
      </c>
      <c r="T80" s="3">
        <v>12.625324</v>
      </c>
      <c r="U80" s="3" t="s">
        <v>2376</v>
      </c>
      <c r="V80" s="3">
        <v>0.0</v>
      </c>
      <c r="W80" s="3">
        <v>1778.0</v>
      </c>
      <c r="X80" s="3">
        <v>5215.0</v>
      </c>
      <c r="Y80" s="3">
        <v>45.0</v>
      </c>
      <c r="Z80" s="3">
        <v>158.0</v>
      </c>
      <c r="AA80" s="3">
        <v>253.0</v>
      </c>
      <c r="AB80" s="3">
        <v>697.0</v>
      </c>
      <c r="AC80" s="3">
        <v>41.0</v>
      </c>
    </row>
    <row r="81">
      <c r="A81" s="3">
        <v>79.0</v>
      </c>
      <c r="B81" s="3" t="s">
        <v>2373</v>
      </c>
      <c r="C81" s="3">
        <v>262.0</v>
      </c>
      <c r="D81" s="3" t="s">
        <v>2028</v>
      </c>
      <c r="E81" s="3">
        <v>17.599365</v>
      </c>
      <c r="F81" s="3">
        <v>-88.69915</v>
      </c>
      <c r="G81" s="3">
        <v>3.0</v>
      </c>
      <c r="H81" s="3">
        <v>0.0</v>
      </c>
      <c r="I81" s="3" t="s">
        <v>187</v>
      </c>
      <c r="J81" s="3">
        <v>564.0</v>
      </c>
      <c r="K81" s="3">
        <v>569.0</v>
      </c>
      <c r="L81" s="3" t="s">
        <v>133</v>
      </c>
      <c r="M81" s="3">
        <v>1.0</v>
      </c>
      <c r="N81" s="3" t="s">
        <v>121</v>
      </c>
      <c r="O81" s="3" t="s">
        <v>2374</v>
      </c>
      <c r="P81" s="3" t="s">
        <v>2378</v>
      </c>
      <c r="Q81" s="3">
        <v>2.0</v>
      </c>
      <c r="R81" s="3">
        <v>494.0</v>
      </c>
      <c r="S81" s="3">
        <v>57.480003</v>
      </c>
      <c r="T81" s="3">
        <v>12.625324</v>
      </c>
      <c r="U81" s="3" t="s">
        <v>2376</v>
      </c>
      <c r="V81" s="3">
        <v>0.0</v>
      </c>
      <c r="W81" s="3">
        <v>1778.0</v>
      </c>
      <c r="X81" s="3">
        <v>5215.0</v>
      </c>
      <c r="Y81" s="3">
        <v>45.0</v>
      </c>
      <c r="Z81" s="3">
        <v>158.0</v>
      </c>
      <c r="AA81" s="3">
        <v>253.0</v>
      </c>
      <c r="AB81" s="3">
        <v>697.0</v>
      </c>
      <c r="AC81" s="3">
        <v>41.0</v>
      </c>
    </row>
    <row r="82">
      <c r="A82" s="3">
        <v>80.0</v>
      </c>
      <c r="B82" s="3" t="s">
        <v>2373</v>
      </c>
      <c r="C82" s="3">
        <v>263.0</v>
      </c>
      <c r="D82" s="3" t="s">
        <v>2030</v>
      </c>
      <c r="E82" s="3">
        <v>17.599365</v>
      </c>
      <c r="F82" s="3">
        <v>-88.69915</v>
      </c>
      <c r="G82" s="3">
        <v>3.0</v>
      </c>
      <c r="H82" s="3">
        <v>0.0</v>
      </c>
      <c r="I82" s="3" t="s">
        <v>187</v>
      </c>
      <c r="J82" s="3">
        <v>564.0</v>
      </c>
      <c r="K82" s="3">
        <v>569.0</v>
      </c>
      <c r="L82" s="3" t="s">
        <v>133</v>
      </c>
      <c r="M82" s="3">
        <v>1.0</v>
      </c>
      <c r="N82" s="3" t="s">
        <v>121</v>
      </c>
      <c r="O82" s="3" t="s">
        <v>2374</v>
      </c>
      <c r="P82" s="3" t="s">
        <v>2378</v>
      </c>
      <c r="Q82" s="3">
        <v>2.0</v>
      </c>
      <c r="R82" s="3">
        <v>494.0</v>
      </c>
      <c r="S82" s="3">
        <v>57.480003</v>
      </c>
      <c r="T82" s="3">
        <v>12.625324</v>
      </c>
      <c r="U82" s="3" t="s">
        <v>2376</v>
      </c>
      <c r="V82" s="3">
        <v>0.0</v>
      </c>
      <c r="W82" s="3">
        <v>1778.0</v>
      </c>
      <c r="X82" s="3">
        <v>5215.0</v>
      </c>
      <c r="Y82" s="3">
        <v>45.0</v>
      </c>
      <c r="Z82" s="3">
        <v>158.0</v>
      </c>
      <c r="AA82" s="3">
        <v>253.0</v>
      </c>
      <c r="AB82" s="3">
        <v>697.0</v>
      </c>
      <c r="AC82" s="3">
        <v>41.0</v>
      </c>
    </row>
    <row r="83">
      <c r="A83" s="3">
        <v>81.0</v>
      </c>
      <c r="B83" s="3" t="s">
        <v>2373</v>
      </c>
      <c r="C83" s="3">
        <v>265.0</v>
      </c>
      <c r="D83" s="78" t="s">
        <v>2035</v>
      </c>
      <c r="E83" s="3">
        <v>17.599365</v>
      </c>
      <c r="F83" s="3">
        <v>-88.69915</v>
      </c>
      <c r="G83" s="3">
        <v>3.0</v>
      </c>
      <c r="H83" s="3">
        <v>0.0</v>
      </c>
      <c r="I83" s="3" t="s">
        <v>187</v>
      </c>
      <c r="J83" s="3">
        <v>564.0</v>
      </c>
      <c r="K83" s="3">
        <v>569.0</v>
      </c>
      <c r="L83" s="3" t="s">
        <v>133</v>
      </c>
      <c r="M83" s="3">
        <v>1.0</v>
      </c>
      <c r="N83" s="3" t="s">
        <v>121</v>
      </c>
      <c r="O83" s="3" t="s">
        <v>2374</v>
      </c>
      <c r="P83" s="3" t="s">
        <v>2378</v>
      </c>
      <c r="Q83" s="3">
        <v>2.0</v>
      </c>
      <c r="R83" s="3">
        <v>494.0</v>
      </c>
      <c r="S83" s="3">
        <v>57.480003</v>
      </c>
      <c r="T83" s="3">
        <v>12.625324</v>
      </c>
      <c r="U83" s="3" t="s">
        <v>2376</v>
      </c>
      <c r="V83" s="3">
        <v>0.0</v>
      </c>
      <c r="W83" s="3">
        <v>1778.0</v>
      </c>
      <c r="X83" s="3">
        <v>5215.0</v>
      </c>
      <c r="Y83" s="3">
        <v>45.0</v>
      </c>
      <c r="Z83" s="3">
        <v>158.0</v>
      </c>
      <c r="AA83" s="3">
        <v>253.0</v>
      </c>
      <c r="AB83" s="3">
        <v>697.0</v>
      </c>
      <c r="AC83" s="3">
        <v>41.0</v>
      </c>
    </row>
    <row r="84">
      <c r="A84" s="3">
        <v>82.0</v>
      </c>
      <c r="B84" s="3" t="s">
        <v>2373</v>
      </c>
      <c r="C84" s="3">
        <v>266.0</v>
      </c>
      <c r="D84" s="3" t="s">
        <v>2037</v>
      </c>
      <c r="E84" s="3">
        <v>17.599365</v>
      </c>
      <c r="F84" s="3">
        <v>-88.69915</v>
      </c>
      <c r="G84" s="3">
        <v>3.0</v>
      </c>
      <c r="H84" s="3">
        <v>0.0</v>
      </c>
      <c r="I84" s="3" t="s">
        <v>187</v>
      </c>
      <c r="J84" s="3">
        <v>564.0</v>
      </c>
      <c r="K84" s="3">
        <v>569.0</v>
      </c>
      <c r="L84" s="3" t="s">
        <v>133</v>
      </c>
      <c r="M84" s="3">
        <v>1.0</v>
      </c>
      <c r="N84" s="3" t="s">
        <v>121</v>
      </c>
      <c r="O84" s="3" t="s">
        <v>2374</v>
      </c>
      <c r="P84" s="3" t="s">
        <v>2378</v>
      </c>
      <c r="Q84" s="3">
        <v>2.0</v>
      </c>
      <c r="R84" s="3">
        <v>494.0</v>
      </c>
      <c r="S84" s="3">
        <v>57.480003</v>
      </c>
      <c r="T84" s="3">
        <v>12.625324</v>
      </c>
      <c r="U84" s="3" t="s">
        <v>2376</v>
      </c>
      <c r="V84" s="3">
        <v>0.0</v>
      </c>
      <c r="W84" s="3">
        <v>1778.0</v>
      </c>
      <c r="X84" s="3">
        <v>5215.0</v>
      </c>
      <c r="Y84" s="3">
        <v>45.0</v>
      </c>
      <c r="Z84" s="3">
        <v>158.0</v>
      </c>
      <c r="AA84" s="3">
        <v>253.0</v>
      </c>
      <c r="AB84" s="3">
        <v>697.0</v>
      </c>
      <c r="AC84" s="3">
        <v>41.0</v>
      </c>
    </row>
    <row r="85">
      <c r="A85" s="3">
        <v>83.0</v>
      </c>
      <c r="B85" s="3" t="s">
        <v>2373</v>
      </c>
      <c r="C85" s="3">
        <v>272.0</v>
      </c>
      <c r="D85" s="3" t="s">
        <v>1112</v>
      </c>
      <c r="E85" s="3">
        <v>17.599365</v>
      </c>
      <c r="F85" s="3">
        <v>-88.69915</v>
      </c>
      <c r="G85" s="3">
        <v>3.0</v>
      </c>
      <c r="H85" s="3">
        <v>0.0</v>
      </c>
      <c r="I85" s="3" t="s">
        <v>187</v>
      </c>
      <c r="J85" s="3">
        <v>564.0</v>
      </c>
      <c r="K85" s="3">
        <v>569.0</v>
      </c>
      <c r="L85" s="3" t="s">
        <v>133</v>
      </c>
      <c r="M85" s="3">
        <v>1.0</v>
      </c>
      <c r="N85" s="3" t="s">
        <v>121</v>
      </c>
      <c r="O85" s="3" t="s">
        <v>2374</v>
      </c>
      <c r="P85" s="3" t="s">
        <v>2378</v>
      </c>
      <c r="Q85" s="3">
        <v>2.0</v>
      </c>
      <c r="R85" s="3">
        <v>494.0</v>
      </c>
      <c r="S85" s="3">
        <v>57.480003</v>
      </c>
      <c r="T85" s="3">
        <v>12.625324</v>
      </c>
      <c r="U85" s="3" t="s">
        <v>2376</v>
      </c>
      <c r="V85" s="3">
        <v>0.0</v>
      </c>
      <c r="W85" s="3">
        <v>1778.0</v>
      </c>
      <c r="X85" s="3">
        <v>5215.0</v>
      </c>
      <c r="Y85" s="3">
        <v>45.0</v>
      </c>
      <c r="Z85" s="3">
        <v>158.0</v>
      </c>
      <c r="AA85" s="3">
        <v>253.0</v>
      </c>
      <c r="AB85" s="3">
        <v>697.0</v>
      </c>
      <c r="AC85" s="3">
        <v>41.0</v>
      </c>
    </row>
    <row r="86">
      <c r="A86" s="3">
        <v>84.0</v>
      </c>
      <c r="B86" s="3" t="s">
        <v>2373</v>
      </c>
      <c r="C86" s="3">
        <v>364.0</v>
      </c>
      <c r="D86" s="3" t="s">
        <v>1852</v>
      </c>
      <c r="E86" s="3">
        <v>16.208333</v>
      </c>
      <c r="F86" s="3">
        <v>-89.073333</v>
      </c>
      <c r="G86" s="3">
        <v>3.0</v>
      </c>
      <c r="H86" s="3">
        <v>0.0</v>
      </c>
      <c r="I86" s="3" t="s">
        <v>187</v>
      </c>
      <c r="J86" s="3">
        <v>564.0</v>
      </c>
      <c r="K86" s="3">
        <v>569.0</v>
      </c>
      <c r="L86" s="3" t="s">
        <v>133</v>
      </c>
      <c r="M86" s="3">
        <v>1.0</v>
      </c>
      <c r="N86" s="3" t="s">
        <v>121</v>
      </c>
      <c r="O86" s="3" t="s">
        <v>2374</v>
      </c>
      <c r="P86" s="3" t="s">
        <v>2378</v>
      </c>
      <c r="Q86" s="3">
        <v>2.0</v>
      </c>
      <c r="R86" s="3">
        <v>494.0</v>
      </c>
      <c r="S86" s="3">
        <v>57.480003</v>
      </c>
      <c r="T86" s="3">
        <v>12.625324</v>
      </c>
      <c r="U86" s="3" t="s">
        <v>2376</v>
      </c>
      <c r="V86" s="3">
        <v>0.0</v>
      </c>
      <c r="W86" s="3">
        <v>3337.0</v>
      </c>
      <c r="X86" s="3">
        <v>7076.0</v>
      </c>
      <c r="Y86" s="3">
        <v>70.0</v>
      </c>
      <c r="Z86" s="3">
        <v>252.0</v>
      </c>
      <c r="AA86" s="3">
        <v>656.0</v>
      </c>
      <c r="AB86" s="3">
        <v>1668.0</v>
      </c>
      <c r="AC86" s="3">
        <v>262.0</v>
      </c>
    </row>
    <row r="87">
      <c r="A87" s="3">
        <v>85.0</v>
      </c>
      <c r="B87" s="3" t="s">
        <v>2373</v>
      </c>
      <c r="C87" s="3">
        <v>365.0</v>
      </c>
      <c r="D87" s="3" t="s">
        <v>1854</v>
      </c>
      <c r="E87" s="3">
        <v>16.208333</v>
      </c>
      <c r="F87" s="3">
        <v>-89.073333</v>
      </c>
      <c r="G87" s="3">
        <v>3.0</v>
      </c>
      <c r="H87" s="3">
        <v>0.0</v>
      </c>
      <c r="I87" s="3" t="s">
        <v>187</v>
      </c>
      <c r="J87" s="3">
        <v>564.0</v>
      </c>
      <c r="K87" s="3">
        <v>569.0</v>
      </c>
      <c r="L87" s="3" t="s">
        <v>133</v>
      </c>
      <c r="M87" s="3">
        <v>1.0</v>
      </c>
      <c r="N87" s="3" t="s">
        <v>121</v>
      </c>
      <c r="O87" s="3" t="s">
        <v>2374</v>
      </c>
      <c r="P87" s="3" t="s">
        <v>2378</v>
      </c>
      <c r="Q87" s="3">
        <v>2.0</v>
      </c>
      <c r="R87" s="3">
        <v>494.0</v>
      </c>
      <c r="S87" s="3">
        <v>57.480003</v>
      </c>
      <c r="T87" s="3">
        <v>12.625324</v>
      </c>
      <c r="U87" s="3" t="s">
        <v>2376</v>
      </c>
      <c r="V87" s="3">
        <v>0.0</v>
      </c>
      <c r="W87" s="3">
        <v>3337.0</v>
      </c>
      <c r="X87" s="3">
        <v>7076.0</v>
      </c>
      <c r="Y87" s="3">
        <v>70.0</v>
      </c>
      <c r="Z87" s="3">
        <v>252.0</v>
      </c>
      <c r="AA87" s="3">
        <v>656.0</v>
      </c>
      <c r="AB87" s="3">
        <v>1668.0</v>
      </c>
      <c r="AC87" s="3">
        <v>262.0</v>
      </c>
    </row>
    <row r="88">
      <c r="A88" s="3">
        <v>86.0</v>
      </c>
      <c r="B88" s="3" t="s">
        <v>2373</v>
      </c>
      <c r="C88" s="3">
        <v>382.0</v>
      </c>
      <c r="D88" s="3" t="s">
        <v>2124</v>
      </c>
      <c r="E88" s="3">
        <v>17.666667</v>
      </c>
      <c r="F88" s="3">
        <v>-88.666667</v>
      </c>
      <c r="G88" s="3">
        <v>3.0</v>
      </c>
      <c r="H88" s="3">
        <v>0.0</v>
      </c>
      <c r="I88" s="3" t="s">
        <v>187</v>
      </c>
      <c r="J88" s="3">
        <v>564.0</v>
      </c>
      <c r="K88" s="3">
        <v>569.0</v>
      </c>
      <c r="L88" s="3" t="s">
        <v>133</v>
      </c>
      <c r="M88" s="3">
        <v>1.0</v>
      </c>
      <c r="N88" s="3" t="s">
        <v>121</v>
      </c>
      <c r="O88" s="3" t="s">
        <v>2374</v>
      </c>
      <c r="P88" s="3" t="s">
        <v>2378</v>
      </c>
      <c r="Q88" s="3">
        <v>2.0</v>
      </c>
      <c r="R88" s="3">
        <v>494.0</v>
      </c>
      <c r="S88" s="3">
        <v>57.480003</v>
      </c>
      <c r="T88" s="3">
        <v>12.625324</v>
      </c>
      <c r="U88" s="3" t="s">
        <v>2376</v>
      </c>
      <c r="V88" s="3">
        <v>0.0</v>
      </c>
      <c r="W88" s="3">
        <v>1741.0</v>
      </c>
      <c r="X88" s="3">
        <v>5285.0</v>
      </c>
      <c r="Y88" s="3">
        <v>45.0</v>
      </c>
      <c r="Z88" s="3">
        <v>155.0</v>
      </c>
      <c r="AA88" s="3">
        <v>245.0</v>
      </c>
      <c r="AB88" s="3">
        <v>685.0</v>
      </c>
      <c r="AC88" s="3">
        <v>42.0</v>
      </c>
    </row>
    <row r="89">
      <c r="A89" s="3">
        <v>87.0</v>
      </c>
      <c r="B89" s="3" t="s">
        <v>2373</v>
      </c>
      <c r="C89" s="3">
        <v>383.0</v>
      </c>
      <c r="D89" s="3" t="s">
        <v>2127</v>
      </c>
      <c r="E89" s="3">
        <v>17.666667</v>
      </c>
      <c r="F89" s="3">
        <v>-88.666667</v>
      </c>
      <c r="G89" s="3">
        <v>3.0</v>
      </c>
      <c r="H89" s="3">
        <v>0.0</v>
      </c>
      <c r="I89" s="3" t="s">
        <v>187</v>
      </c>
      <c r="J89" s="3">
        <v>564.0</v>
      </c>
      <c r="K89" s="3">
        <v>569.0</v>
      </c>
      <c r="L89" s="3" t="s">
        <v>133</v>
      </c>
      <c r="M89" s="3">
        <v>1.0</v>
      </c>
      <c r="N89" s="3" t="s">
        <v>121</v>
      </c>
      <c r="O89" s="3" t="s">
        <v>2374</v>
      </c>
      <c r="P89" s="3" t="s">
        <v>2378</v>
      </c>
      <c r="Q89" s="3">
        <v>2.0</v>
      </c>
      <c r="R89" s="3">
        <v>494.0</v>
      </c>
      <c r="S89" s="3">
        <v>57.480003</v>
      </c>
      <c r="T89" s="3">
        <v>12.625324</v>
      </c>
      <c r="U89" s="3" t="s">
        <v>2376</v>
      </c>
      <c r="V89" s="3">
        <v>0.0</v>
      </c>
      <c r="W89" s="3">
        <v>1741.0</v>
      </c>
      <c r="X89" s="3">
        <v>5285.0</v>
      </c>
      <c r="Y89" s="3">
        <v>45.0</v>
      </c>
      <c r="Z89" s="3">
        <v>155.0</v>
      </c>
      <c r="AA89" s="3">
        <v>245.0</v>
      </c>
      <c r="AB89" s="3">
        <v>685.0</v>
      </c>
      <c r="AC89" s="3">
        <v>42.0</v>
      </c>
    </row>
    <row r="90">
      <c r="A90" s="3">
        <v>88.0</v>
      </c>
      <c r="B90" s="3" t="s">
        <v>2373</v>
      </c>
      <c r="C90" s="3">
        <v>415.0</v>
      </c>
      <c r="D90" s="3" t="s">
        <v>1624</v>
      </c>
      <c r="E90" s="3">
        <v>16.166667</v>
      </c>
      <c r="F90" s="3">
        <v>-89.0</v>
      </c>
      <c r="G90" s="3">
        <v>3.0</v>
      </c>
      <c r="H90" s="3">
        <v>0.0</v>
      </c>
      <c r="I90" s="3" t="s">
        <v>187</v>
      </c>
      <c r="J90" s="3">
        <v>564.0</v>
      </c>
      <c r="K90" s="3">
        <v>569.0</v>
      </c>
      <c r="L90" s="3" t="s">
        <v>133</v>
      </c>
      <c r="M90" s="3">
        <v>1.0</v>
      </c>
      <c r="N90" s="3" t="s">
        <v>121</v>
      </c>
      <c r="O90" s="3" t="s">
        <v>2374</v>
      </c>
      <c r="P90" s="3" t="s">
        <v>2378</v>
      </c>
      <c r="Q90" s="3">
        <v>2.0</v>
      </c>
      <c r="R90" s="3">
        <v>494.0</v>
      </c>
      <c r="S90" s="3">
        <v>57.480003</v>
      </c>
      <c r="T90" s="3">
        <v>12.625324</v>
      </c>
      <c r="U90" s="3" t="s">
        <v>2376</v>
      </c>
      <c r="V90" s="3">
        <v>0.0</v>
      </c>
      <c r="W90" s="3">
        <v>3461.0</v>
      </c>
      <c r="X90" s="3">
        <v>7260.0</v>
      </c>
      <c r="Y90" s="3">
        <v>69.0</v>
      </c>
      <c r="Z90" s="3">
        <v>251.0</v>
      </c>
      <c r="AA90" s="3">
        <v>670.0</v>
      </c>
      <c r="AB90" s="3">
        <v>1751.0</v>
      </c>
      <c r="AC90" s="3">
        <v>34.0</v>
      </c>
    </row>
    <row r="91">
      <c r="A91" s="3">
        <v>89.0</v>
      </c>
      <c r="B91" s="3" t="s">
        <v>2373</v>
      </c>
      <c r="C91" s="3">
        <v>416.0</v>
      </c>
      <c r="D91" s="3" t="s">
        <v>1634</v>
      </c>
      <c r="E91" s="3">
        <v>16.166667</v>
      </c>
      <c r="F91" s="3">
        <v>-89.0</v>
      </c>
      <c r="G91" s="3">
        <v>3.0</v>
      </c>
      <c r="H91" s="3">
        <v>0.0</v>
      </c>
      <c r="I91" s="3" t="s">
        <v>187</v>
      </c>
      <c r="J91" s="3">
        <v>564.0</v>
      </c>
      <c r="K91" s="3">
        <v>569.0</v>
      </c>
      <c r="L91" s="3" t="s">
        <v>133</v>
      </c>
      <c r="M91" s="3">
        <v>1.0</v>
      </c>
      <c r="N91" s="3" t="s">
        <v>121</v>
      </c>
      <c r="O91" s="3" t="s">
        <v>2374</v>
      </c>
      <c r="P91" s="3" t="s">
        <v>2378</v>
      </c>
      <c r="Q91" s="3">
        <v>2.0</v>
      </c>
      <c r="R91" s="3">
        <v>494.0</v>
      </c>
      <c r="S91" s="3">
        <v>57.480003</v>
      </c>
      <c r="T91" s="3">
        <v>12.625324</v>
      </c>
      <c r="U91" s="3" t="s">
        <v>2376</v>
      </c>
      <c r="V91" s="3">
        <v>0.0</v>
      </c>
      <c r="W91" s="3">
        <v>3461.0</v>
      </c>
      <c r="X91" s="3">
        <v>7260.0</v>
      </c>
      <c r="Y91" s="3">
        <v>69.0</v>
      </c>
      <c r="Z91" s="3">
        <v>251.0</v>
      </c>
      <c r="AA91" s="3">
        <v>670.0</v>
      </c>
      <c r="AB91" s="3">
        <v>1751.0</v>
      </c>
      <c r="AC91" s="3">
        <v>34.0</v>
      </c>
    </row>
    <row r="92">
      <c r="A92" s="3">
        <v>90.0</v>
      </c>
      <c r="B92" s="3" t="s">
        <v>2373</v>
      </c>
      <c r="C92" s="3">
        <v>417.0</v>
      </c>
      <c r="D92" s="3" t="s">
        <v>1614</v>
      </c>
      <c r="E92" s="3">
        <v>16.166667</v>
      </c>
      <c r="F92" s="3">
        <v>-89.0</v>
      </c>
      <c r="G92" s="3">
        <v>3.0</v>
      </c>
      <c r="H92" s="3">
        <v>0.0</v>
      </c>
      <c r="I92" s="3" t="s">
        <v>187</v>
      </c>
      <c r="J92" s="3">
        <v>564.0</v>
      </c>
      <c r="K92" s="3">
        <v>569.0</v>
      </c>
      <c r="L92" s="3" t="s">
        <v>133</v>
      </c>
      <c r="M92" s="3">
        <v>1.0</v>
      </c>
      <c r="N92" s="3" t="s">
        <v>121</v>
      </c>
      <c r="O92" s="3" t="s">
        <v>2374</v>
      </c>
      <c r="P92" s="3" t="s">
        <v>2378</v>
      </c>
      <c r="Q92" s="3">
        <v>2.0</v>
      </c>
      <c r="R92" s="3">
        <v>494.0</v>
      </c>
      <c r="S92" s="3">
        <v>57.480003</v>
      </c>
      <c r="T92" s="3">
        <v>12.625324</v>
      </c>
      <c r="U92" s="3" t="s">
        <v>2376</v>
      </c>
      <c r="V92" s="3">
        <v>0.0</v>
      </c>
      <c r="W92" s="3">
        <v>3461.0</v>
      </c>
      <c r="X92" s="3">
        <v>7260.0</v>
      </c>
      <c r="Y92" s="3">
        <v>69.0</v>
      </c>
      <c r="Z92" s="3">
        <v>251.0</v>
      </c>
      <c r="AA92" s="3">
        <v>670.0</v>
      </c>
      <c r="AB92" s="3">
        <v>1751.0</v>
      </c>
      <c r="AC92" s="3">
        <v>34.0</v>
      </c>
    </row>
    <row r="93">
      <c r="A93" s="3">
        <v>91.0</v>
      </c>
      <c r="B93" s="3" t="s">
        <v>2373</v>
      </c>
      <c r="C93" s="3">
        <v>418.0</v>
      </c>
      <c r="D93" s="3" t="s">
        <v>1635</v>
      </c>
      <c r="E93" s="3">
        <v>16.166667</v>
      </c>
      <c r="F93" s="3">
        <v>-89.0</v>
      </c>
      <c r="G93" s="3">
        <v>3.0</v>
      </c>
      <c r="H93" s="3">
        <v>0.0</v>
      </c>
      <c r="I93" s="3" t="s">
        <v>187</v>
      </c>
      <c r="J93" s="3">
        <v>564.0</v>
      </c>
      <c r="K93" s="3">
        <v>569.0</v>
      </c>
      <c r="L93" s="3" t="s">
        <v>133</v>
      </c>
      <c r="M93" s="3">
        <v>1.0</v>
      </c>
      <c r="N93" s="3" t="s">
        <v>121</v>
      </c>
      <c r="O93" s="3" t="s">
        <v>2374</v>
      </c>
      <c r="P93" s="3" t="s">
        <v>2378</v>
      </c>
      <c r="Q93" s="3">
        <v>2.0</v>
      </c>
      <c r="R93" s="3">
        <v>494.0</v>
      </c>
      <c r="S93" s="3">
        <v>57.480003</v>
      </c>
      <c r="T93" s="3">
        <v>12.625324</v>
      </c>
      <c r="U93" s="3" t="s">
        <v>2376</v>
      </c>
      <c r="V93" s="3">
        <v>0.0</v>
      </c>
      <c r="W93" s="3">
        <v>3461.0</v>
      </c>
      <c r="X93" s="3">
        <v>7260.0</v>
      </c>
      <c r="Y93" s="3">
        <v>69.0</v>
      </c>
      <c r="Z93" s="3">
        <v>251.0</v>
      </c>
      <c r="AA93" s="3">
        <v>670.0</v>
      </c>
      <c r="AB93" s="3">
        <v>1751.0</v>
      </c>
      <c r="AC93" s="3">
        <v>34.0</v>
      </c>
    </row>
    <row r="94">
      <c r="A94" s="3">
        <v>92.0</v>
      </c>
      <c r="B94" s="3" t="s">
        <v>2373</v>
      </c>
      <c r="C94" s="3">
        <v>419.0</v>
      </c>
      <c r="D94" s="3" t="s">
        <v>1618</v>
      </c>
      <c r="E94" s="3">
        <v>16.166667</v>
      </c>
      <c r="F94" s="3">
        <v>-89.0</v>
      </c>
      <c r="G94" s="3">
        <v>3.0</v>
      </c>
      <c r="H94" s="3">
        <v>0.0</v>
      </c>
      <c r="I94" s="3" t="s">
        <v>187</v>
      </c>
      <c r="J94" s="3">
        <v>564.0</v>
      </c>
      <c r="K94" s="3">
        <v>569.0</v>
      </c>
      <c r="L94" s="3" t="s">
        <v>133</v>
      </c>
      <c r="M94" s="3">
        <v>1.0</v>
      </c>
      <c r="N94" s="3" t="s">
        <v>121</v>
      </c>
      <c r="O94" s="3" t="s">
        <v>2374</v>
      </c>
      <c r="P94" s="3" t="s">
        <v>2378</v>
      </c>
      <c r="Q94" s="3">
        <v>2.0</v>
      </c>
      <c r="R94" s="3">
        <v>494.0</v>
      </c>
      <c r="S94" s="3">
        <v>57.480003</v>
      </c>
      <c r="T94" s="3">
        <v>12.625324</v>
      </c>
      <c r="U94" s="3" t="s">
        <v>2376</v>
      </c>
      <c r="V94" s="3">
        <v>0.0</v>
      </c>
      <c r="W94" s="3">
        <v>3461.0</v>
      </c>
      <c r="X94" s="3">
        <v>7260.0</v>
      </c>
      <c r="Y94" s="3">
        <v>69.0</v>
      </c>
      <c r="Z94" s="3">
        <v>251.0</v>
      </c>
      <c r="AA94" s="3">
        <v>670.0</v>
      </c>
      <c r="AB94" s="3">
        <v>1751.0</v>
      </c>
      <c r="AC94" s="3">
        <v>34.0</v>
      </c>
    </row>
    <row r="95">
      <c r="A95" s="3">
        <v>93.0</v>
      </c>
      <c r="B95" s="3" t="s">
        <v>2373</v>
      </c>
      <c r="C95" s="3">
        <v>427.0</v>
      </c>
      <c r="D95" s="3" t="s">
        <v>1244</v>
      </c>
      <c r="E95" s="3">
        <v>16.20855</v>
      </c>
      <c r="F95" s="3">
        <v>-89.07345</v>
      </c>
      <c r="G95" s="3">
        <v>3.0</v>
      </c>
      <c r="H95" s="3">
        <v>0.0</v>
      </c>
      <c r="I95" s="3" t="s">
        <v>187</v>
      </c>
      <c r="J95" s="3">
        <v>564.0</v>
      </c>
      <c r="K95" s="3">
        <v>569.0</v>
      </c>
      <c r="L95" s="3" t="s">
        <v>133</v>
      </c>
      <c r="M95" s="3">
        <v>1.0</v>
      </c>
      <c r="N95" s="3" t="s">
        <v>121</v>
      </c>
      <c r="O95" s="3" t="s">
        <v>2374</v>
      </c>
      <c r="P95" s="3" t="s">
        <v>2378</v>
      </c>
      <c r="Q95" s="3">
        <v>2.0</v>
      </c>
      <c r="R95" s="3">
        <v>494.0</v>
      </c>
      <c r="S95" s="3">
        <v>57.480003</v>
      </c>
      <c r="T95" s="3">
        <v>12.625324</v>
      </c>
      <c r="U95" s="3" t="s">
        <v>2376</v>
      </c>
      <c r="V95" s="3">
        <v>0.0</v>
      </c>
      <c r="W95" s="3">
        <v>3284.0</v>
      </c>
      <c r="X95" s="3">
        <v>6997.0</v>
      </c>
      <c r="Y95" s="3">
        <v>70.0</v>
      </c>
      <c r="Z95" s="3">
        <v>253.0</v>
      </c>
      <c r="AA95" s="3">
        <v>650.0</v>
      </c>
      <c r="AB95" s="3">
        <v>1631.0</v>
      </c>
      <c r="AC95" s="3">
        <v>319.0</v>
      </c>
    </row>
    <row r="96">
      <c r="A96" s="3">
        <v>94.0</v>
      </c>
      <c r="B96" s="3" t="s">
        <v>2373</v>
      </c>
      <c r="C96" s="3">
        <v>455.0</v>
      </c>
      <c r="D96" s="3" t="s">
        <v>1316</v>
      </c>
      <c r="E96" s="3">
        <v>16.883</v>
      </c>
      <c r="F96" s="3">
        <v>-89.108</v>
      </c>
      <c r="G96" s="3">
        <v>3.0</v>
      </c>
      <c r="H96" s="3">
        <v>0.0</v>
      </c>
      <c r="I96" s="3" t="s">
        <v>187</v>
      </c>
      <c r="J96" s="3">
        <v>564.0</v>
      </c>
      <c r="K96" s="3">
        <v>569.0</v>
      </c>
      <c r="L96" s="3" t="s">
        <v>133</v>
      </c>
      <c r="M96" s="3">
        <v>1.0</v>
      </c>
      <c r="N96" s="3" t="s">
        <v>121</v>
      </c>
      <c r="O96" s="3" t="s">
        <v>2374</v>
      </c>
      <c r="P96" s="3" t="s">
        <v>2378</v>
      </c>
      <c r="Q96" s="3">
        <v>2.0</v>
      </c>
      <c r="R96" s="3">
        <v>494.0</v>
      </c>
      <c r="S96" s="3">
        <v>57.480003</v>
      </c>
      <c r="T96" s="3">
        <v>12.625324</v>
      </c>
      <c r="U96" s="3" t="s">
        <v>2376</v>
      </c>
      <c r="V96" s="3">
        <v>0.0</v>
      </c>
      <c r="W96" s="3">
        <v>2142.0</v>
      </c>
      <c r="X96" s="3">
        <v>5497.0</v>
      </c>
      <c r="Y96" s="3">
        <v>52.0</v>
      </c>
      <c r="Z96" s="3">
        <v>184.0</v>
      </c>
      <c r="AA96" s="3">
        <v>333.0</v>
      </c>
      <c r="AB96" s="3">
        <v>878.0</v>
      </c>
      <c r="AC96" s="3">
        <v>500.0</v>
      </c>
    </row>
    <row r="97">
      <c r="A97" s="3">
        <v>95.0</v>
      </c>
      <c r="B97" s="3" t="s">
        <v>2373</v>
      </c>
      <c r="C97" s="3">
        <v>456.0</v>
      </c>
      <c r="D97" s="3" t="s">
        <v>1318</v>
      </c>
      <c r="E97" s="3">
        <v>16.883</v>
      </c>
      <c r="F97" s="3">
        <v>-89.108</v>
      </c>
      <c r="G97" s="3">
        <v>3.0</v>
      </c>
      <c r="H97" s="3">
        <v>0.0</v>
      </c>
      <c r="I97" s="3" t="s">
        <v>187</v>
      </c>
      <c r="J97" s="3">
        <v>564.0</v>
      </c>
      <c r="K97" s="3">
        <v>569.0</v>
      </c>
      <c r="L97" s="3" t="s">
        <v>133</v>
      </c>
      <c r="M97" s="3">
        <v>1.0</v>
      </c>
      <c r="N97" s="3" t="s">
        <v>121</v>
      </c>
      <c r="O97" s="3" t="s">
        <v>2374</v>
      </c>
      <c r="P97" s="3" t="s">
        <v>2378</v>
      </c>
      <c r="Q97" s="3">
        <v>2.0</v>
      </c>
      <c r="R97" s="3">
        <v>494.0</v>
      </c>
      <c r="S97" s="3">
        <v>57.480003</v>
      </c>
      <c r="T97" s="3">
        <v>12.625324</v>
      </c>
      <c r="U97" s="3" t="s">
        <v>2376</v>
      </c>
      <c r="V97" s="3">
        <v>0.0</v>
      </c>
      <c r="W97" s="3">
        <v>2142.0</v>
      </c>
      <c r="X97" s="3">
        <v>5497.0</v>
      </c>
      <c r="Y97" s="3">
        <v>52.0</v>
      </c>
      <c r="Z97" s="3">
        <v>184.0</v>
      </c>
      <c r="AA97" s="3">
        <v>333.0</v>
      </c>
      <c r="AB97" s="3">
        <v>878.0</v>
      </c>
      <c r="AC97" s="3">
        <v>500.0</v>
      </c>
    </row>
    <row r="98">
      <c r="A98" s="3">
        <v>96.0</v>
      </c>
      <c r="B98" s="3" t="s">
        <v>2373</v>
      </c>
      <c r="C98" s="3">
        <v>468.0</v>
      </c>
      <c r="D98" s="3" t="s">
        <v>1325</v>
      </c>
      <c r="E98" s="3">
        <v>17.0</v>
      </c>
      <c r="F98" s="3">
        <v>-89.0</v>
      </c>
      <c r="G98" s="3">
        <v>3.0</v>
      </c>
      <c r="H98" s="3">
        <v>0.0</v>
      </c>
      <c r="I98" s="3" t="s">
        <v>187</v>
      </c>
      <c r="J98" s="3">
        <v>564.0</v>
      </c>
      <c r="K98" s="3">
        <v>569.0</v>
      </c>
      <c r="L98" s="3" t="s">
        <v>133</v>
      </c>
      <c r="M98" s="3">
        <v>1.0</v>
      </c>
      <c r="N98" s="3" t="s">
        <v>121</v>
      </c>
      <c r="O98" s="3" t="s">
        <v>2374</v>
      </c>
      <c r="P98" s="3" t="s">
        <v>2378</v>
      </c>
      <c r="Q98" s="3">
        <v>2.0</v>
      </c>
      <c r="R98" s="3">
        <v>494.0</v>
      </c>
      <c r="S98" s="3">
        <v>57.480003</v>
      </c>
      <c r="T98" s="3">
        <v>12.625324</v>
      </c>
      <c r="U98" s="3" t="s">
        <v>2376</v>
      </c>
      <c r="V98" s="3">
        <v>0.0</v>
      </c>
      <c r="W98" s="3">
        <v>1973.0</v>
      </c>
      <c r="X98" s="3">
        <v>5254.0</v>
      </c>
      <c r="Y98" s="3">
        <v>46.0</v>
      </c>
      <c r="Z98" s="3">
        <v>170.0</v>
      </c>
      <c r="AA98" s="3">
        <v>293.0</v>
      </c>
      <c r="AB98" s="3">
        <v>780.0</v>
      </c>
      <c r="AC98" s="3">
        <v>397.0</v>
      </c>
    </row>
    <row r="99">
      <c r="A99" s="3">
        <v>97.0</v>
      </c>
      <c r="B99" s="3" t="s">
        <v>2373</v>
      </c>
      <c r="C99" s="3">
        <v>469.0</v>
      </c>
      <c r="D99" s="3" t="s">
        <v>1328</v>
      </c>
      <c r="E99" s="3">
        <v>17.0</v>
      </c>
      <c r="F99" s="3">
        <v>-89.0</v>
      </c>
      <c r="G99" s="3">
        <v>3.0</v>
      </c>
      <c r="H99" s="3">
        <v>0.0</v>
      </c>
      <c r="I99" s="3" t="s">
        <v>187</v>
      </c>
      <c r="J99" s="3">
        <v>564.0</v>
      </c>
      <c r="K99" s="3">
        <v>569.0</v>
      </c>
      <c r="L99" s="3" t="s">
        <v>133</v>
      </c>
      <c r="M99" s="3">
        <v>1.0</v>
      </c>
      <c r="N99" s="3" t="s">
        <v>121</v>
      </c>
      <c r="O99" s="3" t="s">
        <v>2374</v>
      </c>
      <c r="P99" s="3" t="s">
        <v>2378</v>
      </c>
      <c r="Q99" s="3">
        <v>2.0</v>
      </c>
      <c r="R99" s="3">
        <v>494.0</v>
      </c>
      <c r="S99" s="3">
        <v>57.480003</v>
      </c>
      <c r="T99" s="3">
        <v>12.625324</v>
      </c>
      <c r="U99" s="3" t="s">
        <v>2376</v>
      </c>
      <c r="V99" s="3">
        <v>0.0</v>
      </c>
      <c r="W99" s="3">
        <v>1973.0</v>
      </c>
      <c r="X99" s="3">
        <v>5254.0</v>
      </c>
      <c r="Y99" s="3">
        <v>46.0</v>
      </c>
      <c r="Z99" s="3">
        <v>170.0</v>
      </c>
      <c r="AA99" s="3">
        <v>293.0</v>
      </c>
      <c r="AB99" s="3">
        <v>780.0</v>
      </c>
      <c r="AC99" s="3">
        <v>397.0</v>
      </c>
    </row>
    <row r="100">
      <c r="A100" s="3">
        <v>98.0</v>
      </c>
      <c r="B100" s="3" t="s">
        <v>2373</v>
      </c>
      <c r="C100" s="3">
        <v>481.0</v>
      </c>
      <c r="D100" s="78" t="s">
        <v>672</v>
      </c>
      <c r="E100" s="3">
        <v>17.119889</v>
      </c>
      <c r="F100" s="3">
        <v>-88.300611</v>
      </c>
      <c r="G100" s="3">
        <v>3.0</v>
      </c>
      <c r="H100" s="3">
        <v>0.0</v>
      </c>
      <c r="I100" s="3" t="s">
        <v>187</v>
      </c>
      <c r="J100" s="3">
        <v>564.0</v>
      </c>
      <c r="K100" s="3">
        <v>569.0</v>
      </c>
      <c r="L100" s="3" t="s">
        <v>133</v>
      </c>
      <c r="M100" s="3">
        <v>1.0</v>
      </c>
      <c r="N100" s="3" t="s">
        <v>121</v>
      </c>
      <c r="O100" s="3" t="s">
        <v>2374</v>
      </c>
      <c r="P100" s="3" t="s">
        <v>2378</v>
      </c>
      <c r="Q100" s="3">
        <v>2.0</v>
      </c>
      <c r="R100" s="3">
        <v>494.0</v>
      </c>
      <c r="S100" s="3">
        <v>57.480003</v>
      </c>
      <c r="T100" s="3">
        <v>12.625324</v>
      </c>
      <c r="U100" s="3" t="s">
        <v>2376</v>
      </c>
      <c r="V100" s="3">
        <v>0.0</v>
      </c>
      <c r="W100" s="3">
        <v>2143.0</v>
      </c>
      <c r="X100" s="3">
        <v>5251.0</v>
      </c>
      <c r="Y100" s="3">
        <v>54.0</v>
      </c>
      <c r="Z100" s="3">
        <v>177.0</v>
      </c>
      <c r="AA100" s="3">
        <v>293.0</v>
      </c>
      <c r="AB100" s="3">
        <v>827.0</v>
      </c>
      <c r="AC100" s="3">
        <v>3.0</v>
      </c>
    </row>
    <row r="101">
      <c r="A101" s="3">
        <v>99.0</v>
      </c>
      <c r="B101" s="3" t="s">
        <v>2373</v>
      </c>
      <c r="C101" s="3">
        <v>482.0</v>
      </c>
      <c r="D101" s="3" t="s">
        <v>676</v>
      </c>
      <c r="E101" s="3">
        <v>17.119833</v>
      </c>
      <c r="F101" s="3">
        <v>-88.3</v>
      </c>
      <c r="G101" s="3">
        <v>3.0</v>
      </c>
      <c r="H101" s="3">
        <v>0.0</v>
      </c>
      <c r="I101" s="3" t="s">
        <v>187</v>
      </c>
      <c r="J101" s="3">
        <v>564.0</v>
      </c>
      <c r="K101" s="3">
        <v>569.0</v>
      </c>
      <c r="L101" s="3" t="s">
        <v>133</v>
      </c>
      <c r="M101" s="3">
        <v>1.0</v>
      </c>
      <c r="N101" s="3" t="s">
        <v>121</v>
      </c>
      <c r="O101" s="3" t="s">
        <v>2374</v>
      </c>
      <c r="P101" s="3" t="s">
        <v>2378</v>
      </c>
      <c r="Q101" s="3">
        <v>2.0</v>
      </c>
      <c r="R101" s="3">
        <v>494.0</v>
      </c>
      <c r="S101" s="3">
        <v>57.480003</v>
      </c>
      <c r="T101" s="3">
        <v>12.625324</v>
      </c>
      <c r="U101" s="3" t="s">
        <v>2376</v>
      </c>
      <c r="V101" s="3">
        <v>0.0</v>
      </c>
      <c r="W101" s="3">
        <v>2143.0</v>
      </c>
      <c r="X101" s="3">
        <v>5251.0</v>
      </c>
      <c r="Y101" s="3">
        <v>54.0</v>
      </c>
      <c r="Z101" s="3">
        <v>177.0</v>
      </c>
      <c r="AA101" s="3">
        <v>293.0</v>
      </c>
      <c r="AB101" s="3">
        <v>827.0</v>
      </c>
      <c r="AC101" s="3">
        <v>3.0</v>
      </c>
    </row>
    <row r="102">
      <c r="A102" s="3">
        <v>100.0</v>
      </c>
      <c r="B102" s="3" t="s">
        <v>2373</v>
      </c>
      <c r="C102" s="3">
        <v>483.0</v>
      </c>
      <c r="D102" s="3" t="s">
        <v>677</v>
      </c>
      <c r="E102" s="3">
        <v>17.119611</v>
      </c>
      <c r="F102" s="3">
        <v>-88.301833</v>
      </c>
      <c r="G102" s="3">
        <v>3.0</v>
      </c>
      <c r="H102" s="3">
        <v>0.0</v>
      </c>
      <c r="I102" s="3" t="s">
        <v>187</v>
      </c>
      <c r="J102" s="3">
        <v>564.0</v>
      </c>
      <c r="K102" s="3">
        <v>569.0</v>
      </c>
      <c r="L102" s="3" t="s">
        <v>133</v>
      </c>
      <c r="M102" s="3">
        <v>1.0</v>
      </c>
      <c r="N102" s="3" t="s">
        <v>121</v>
      </c>
      <c r="O102" s="3" t="s">
        <v>2374</v>
      </c>
      <c r="P102" s="3" t="s">
        <v>2378</v>
      </c>
      <c r="Q102" s="3">
        <v>2.0</v>
      </c>
      <c r="R102" s="3">
        <v>494.0</v>
      </c>
      <c r="S102" s="3">
        <v>57.480003</v>
      </c>
      <c r="T102" s="3">
        <v>12.625324</v>
      </c>
      <c r="U102" s="3" t="s">
        <v>2376</v>
      </c>
      <c r="V102" s="3">
        <v>0.0</v>
      </c>
      <c r="W102" s="3">
        <v>2143.0</v>
      </c>
      <c r="X102" s="3">
        <v>5251.0</v>
      </c>
      <c r="Y102" s="3">
        <v>54.0</v>
      </c>
      <c r="Z102" s="3">
        <v>177.0</v>
      </c>
      <c r="AA102" s="3">
        <v>293.0</v>
      </c>
      <c r="AB102" s="3">
        <v>827.0</v>
      </c>
      <c r="AC102" s="3">
        <v>3.0</v>
      </c>
    </row>
    <row r="103">
      <c r="A103" s="3">
        <v>101.0</v>
      </c>
      <c r="B103" s="3" t="s">
        <v>2373</v>
      </c>
      <c r="C103" s="3">
        <v>484.0</v>
      </c>
      <c r="D103" s="3" t="s">
        <v>678</v>
      </c>
      <c r="E103" s="3">
        <v>17.119583</v>
      </c>
      <c r="F103" s="3">
        <v>-88.301528</v>
      </c>
      <c r="G103" s="3">
        <v>3.0</v>
      </c>
      <c r="H103" s="3">
        <v>0.0</v>
      </c>
      <c r="I103" s="3" t="s">
        <v>187</v>
      </c>
      <c r="J103" s="3">
        <v>564.0</v>
      </c>
      <c r="K103" s="3">
        <v>569.0</v>
      </c>
      <c r="L103" s="3" t="s">
        <v>133</v>
      </c>
      <c r="M103" s="3">
        <v>1.0</v>
      </c>
      <c r="N103" s="3" t="s">
        <v>121</v>
      </c>
      <c r="O103" s="3" t="s">
        <v>2374</v>
      </c>
      <c r="P103" s="3" t="s">
        <v>2378</v>
      </c>
      <c r="Q103" s="3">
        <v>2.0</v>
      </c>
      <c r="R103" s="3">
        <v>494.0</v>
      </c>
      <c r="S103" s="3">
        <v>57.480003</v>
      </c>
      <c r="T103" s="3">
        <v>12.625324</v>
      </c>
      <c r="U103" s="3" t="s">
        <v>2376</v>
      </c>
      <c r="V103" s="3">
        <v>0.0</v>
      </c>
      <c r="W103" s="3">
        <v>2143.0</v>
      </c>
      <c r="X103" s="3">
        <v>5251.0</v>
      </c>
      <c r="Y103" s="3">
        <v>54.0</v>
      </c>
      <c r="Z103" s="3">
        <v>177.0</v>
      </c>
      <c r="AA103" s="3">
        <v>293.0</v>
      </c>
      <c r="AB103" s="3">
        <v>827.0</v>
      </c>
      <c r="AC103" s="3">
        <v>3.0</v>
      </c>
    </row>
    <row r="104">
      <c r="A104" s="3">
        <v>102.0</v>
      </c>
      <c r="B104" s="3" t="s">
        <v>2373</v>
      </c>
      <c r="C104" s="3">
        <v>486.0</v>
      </c>
      <c r="D104" s="3" t="s">
        <v>681</v>
      </c>
      <c r="E104" s="3">
        <v>17.057528</v>
      </c>
      <c r="F104" s="3">
        <v>-88.274111</v>
      </c>
      <c r="G104" s="3">
        <v>3.0</v>
      </c>
      <c r="H104" s="3">
        <v>0.0</v>
      </c>
      <c r="I104" s="3" t="s">
        <v>187</v>
      </c>
      <c r="J104" s="3">
        <v>564.0</v>
      </c>
      <c r="K104" s="3">
        <v>569.0</v>
      </c>
      <c r="L104" s="3" t="s">
        <v>133</v>
      </c>
      <c r="M104" s="3">
        <v>1.0</v>
      </c>
      <c r="N104" s="3" t="s">
        <v>121</v>
      </c>
      <c r="O104" s="3" t="s">
        <v>2374</v>
      </c>
      <c r="P104" s="3" t="s">
        <v>2378</v>
      </c>
      <c r="Q104" s="3">
        <v>2.0</v>
      </c>
      <c r="R104" s="3">
        <v>494.0</v>
      </c>
      <c r="S104" s="3">
        <v>57.480003</v>
      </c>
      <c r="T104" s="3">
        <v>12.625324</v>
      </c>
      <c r="U104" s="3" t="s">
        <v>2376</v>
      </c>
      <c r="V104" s="3">
        <v>0.0</v>
      </c>
      <c r="W104" s="3">
        <v>2229.0</v>
      </c>
      <c r="X104" s="3">
        <v>5127.0</v>
      </c>
      <c r="Y104" s="3">
        <v>56.0</v>
      </c>
      <c r="Z104" s="3">
        <v>185.0</v>
      </c>
      <c r="AA104" s="3">
        <v>303.0</v>
      </c>
      <c r="AB104" s="3">
        <v>851.0</v>
      </c>
      <c r="AC104" s="3">
        <v>1.0</v>
      </c>
    </row>
    <row r="105">
      <c r="A105" s="3">
        <v>103.0</v>
      </c>
      <c r="B105" s="3" t="s">
        <v>2373</v>
      </c>
      <c r="C105" s="3">
        <v>489.0</v>
      </c>
      <c r="D105" s="3" t="s">
        <v>693</v>
      </c>
      <c r="E105" s="3">
        <v>17.053583</v>
      </c>
      <c r="F105" s="3">
        <v>-88.270444</v>
      </c>
      <c r="G105" s="3">
        <v>3.0</v>
      </c>
      <c r="H105" s="3">
        <v>0.0</v>
      </c>
      <c r="I105" s="3" t="s">
        <v>187</v>
      </c>
      <c r="J105" s="3">
        <v>564.0</v>
      </c>
      <c r="K105" s="3">
        <v>569.0</v>
      </c>
      <c r="L105" s="3" t="s">
        <v>133</v>
      </c>
      <c r="M105" s="3">
        <v>1.0</v>
      </c>
      <c r="N105" s="3" t="s">
        <v>121</v>
      </c>
      <c r="O105" s="3" t="s">
        <v>2374</v>
      </c>
      <c r="P105" s="3" t="s">
        <v>2378</v>
      </c>
      <c r="Q105" s="3">
        <v>2.0</v>
      </c>
      <c r="R105" s="3">
        <v>494.0</v>
      </c>
      <c r="S105" s="3">
        <v>57.480003</v>
      </c>
      <c r="T105" s="3">
        <v>12.625324</v>
      </c>
      <c r="U105" s="3" t="s">
        <v>2376</v>
      </c>
      <c r="V105" s="3">
        <v>0.0</v>
      </c>
      <c r="W105" s="3">
        <v>2229.0</v>
      </c>
      <c r="X105" s="3">
        <v>5127.0</v>
      </c>
      <c r="Y105" s="3">
        <v>56.0</v>
      </c>
      <c r="Z105" s="3">
        <v>185.0</v>
      </c>
      <c r="AA105" s="3">
        <v>303.0</v>
      </c>
      <c r="AB105" s="3">
        <v>851.0</v>
      </c>
      <c r="AC105" s="3">
        <v>1.0</v>
      </c>
    </row>
    <row r="106">
      <c r="A106" s="3">
        <v>104.0</v>
      </c>
      <c r="B106" s="3" t="s">
        <v>2373</v>
      </c>
      <c r="C106" s="3">
        <v>490.0</v>
      </c>
      <c r="D106" s="3" t="s">
        <v>694</v>
      </c>
      <c r="E106" s="3">
        <v>17.051194</v>
      </c>
      <c r="F106" s="3">
        <v>-88.263361</v>
      </c>
      <c r="G106" s="3">
        <v>3.0</v>
      </c>
      <c r="H106" s="3">
        <v>0.0</v>
      </c>
      <c r="I106" s="3" t="s">
        <v>187</v>
      </c>
      <c r="J106" s="3">
        <v>564.0</v>
      </c>
      <c r="K106" s="3">
        <v>569.0</v>
      </c>
      <c r="L106" s="3" t="s">
        <v>133</v>
      </c>
      <c r="M106" s="3">
        <v>1.0</v>
      </c>
      <c r="N106" s="3" t="s">
        <v>121</v>
      </c>
      <c r="O106" s="3" t="s">
        <v>2374</v>
      </c>
      <c r="P106" s="3" t="s">
        <v>2378</v>
      </c>
      <c r="Q106" s="3">
        <v>2.0</v>
      </c>
      <c r="R106" s="3">
        <v>494.0</v>
      </c>
      <c r="S106" s="3">
        <v>57.480003</v>
      </c>
      <c r="T106" s="3">
        <v>12.625324</v>
      </c>
      <c r="U106" s="3" t="s">
        <v>2376</v>
      </c>
      <c r="V106" s="3">
        <v>0.0</v>
      </c>
      <c r="W106" s="3">
        <v>2212.0</v>
      </c>
      <c r="X106" s="3">
        <v>5160.0</v>
      </c>
      <c r="Y106" s="3">
        <v>56.0</v>
      </c>
      <c r="Z106" s="3">
        <v>184.0</v>
      </c>
      <c r="AA106" s="3">
        <v>301.0</v>
      </c>
      <c r="AB106" s="3">
        <v>848.0</v>
      </c>
      <c r="AC106" s="3">
        <v>1.0</v>
      </c>
    </row>
    <row r="107">
      <c r="A107" s="3">
        <v>105.0</v>
      </c>
      <c r="B107" s="3" t="s">
        <v>2373</v>
      </c>
      <c r="C107" s="3">
        <v>575.0</v>
      </c>
      <c r="D107" s="3" t="s">
        <v>533</v>
      </c>
      <c r="E107" s="3">
        <v>17.824612</v>
      </c>
      <c r="F107" s="3">
        <v>-88.889705</v>
      </c>
      <c r="G107" s="3">
        <v>3.0</v>
      </c>
      <c r="H107" s="3">
        <v>0.0</v>
      </c>
      <c r="I107" s="3" t="s">
        <v>187</v>
      </c>
      <c r="J107" s="3">
        <v>564.0</v>
      </c>
      <c r="K107" s="3">
        <v>569.0</v>
      </c>
      <c r="L107" s="3" t="s">
        <v>133</v>
      </c>
      <c r="M107" s="3">
        <v>1.0</v>
      </c>
      <c r="N107" s="3" t="s">
        <v>121</v>
      </c>
      <c r="O107" s="3" t="s">
        <v>2374</v>
      </c>
      <c r="P107" s="3" t="s">
        <v>2378</v>
      </c>
      <c r="Q107" s="3">
        <v>2.0</v>
      </c>
      <c r="R107" s="3">
        <v>494.0</v>
      </c>
      <c r="S107" s="3">
        <v>57.480003</v>
      </c>
      <c r="T107" s="3">
        <v>12.625324</v>
      </c>
      <c r="U107" s="3" t="s">
        <v>2376</v>
      </c>
      <c r="V107" s="3">
        <v>0.0</v>
      </c>
      <c r="W107" s="3">
        <v>1512.0</v>
      </c>
      <c r="X107" s="3">
        <v>5497.0</v>
      </c>
      <c r="Y107" s="3">
        <v>38.0</v>
      </c>
      <c r="Z107" s="3">
        <v>124.0</v>
      </c>
      <c r="AA107" s="3">
        <v>221.0</v>
      </c>
      <c r="AB107" s="3">
        <v>605.0</v>
      </c>
      <c r="AC107" s="3">
        <v>46.0</v>
      </c>
    </row>
    <row r="108">
      <c r="A108" s="3">
        <v>106.0</v>
      </c>
      <c r="B108" s="3" t="s">
        <v>2373</v>
      </c>
      <c r="C108" s="3">
        <v>576.0</v>
      </c>
      <c r="D108" s="3" t="s">
        <v>536</v>
      </c>
      <c r="E108" s="3">
        <v>17.824612</v>
      </c>
      <c r="F108" s="3">
        <v>-88.889705</v>
      </c>
      <c r="G108" s="3">
        <v>3.0</v>
      </c>
      <c r="H108" s="3">
        <v>0.0</v>
      </c>
      <c r="I108" s="3" t="s">
        <v>187</v>
      </c>
      <c r="J108" s="3">
        <v>564.0</v>
      </c>
      <c r="K108" s="3">
        <v>569.0</v>
      </c>
      <c r="L108" s="3" t="s">
        <v>133</v>
      </c>
      <c r="M108" s="3">
        <v>1.0</v>
      </c>
      <c r="N108" s="3" t="s">
        <v>121</v>
      </c>
      <c r="O108" s="3" t="s">
        <v>2374</v>
      </c>
      <c r="P108" s="3" t="s">
        <v>2378</v>
      </c>
      <c r="Q108" s="3">
        <v>2.0</v>
      </c>
      <c r="R108" s="3">
        <v>494.0</v>
      </c>
      <c r="S108" s="3">
        <v>57.480003</v>
      </c>
      <c r="T108" s="3">
        <v>12.625324</v>
      </c>
      <c r="U108" s="3" t="s">
        <v>2376</v>
      </c>
      <c r="V108" s="3">
        <v>0.0</v>
      </c>
      <c r="W108" s="3">
        <v>1512.0</v>
      </c>
      <c r="X108" s="3">
        <v>5497.0</v>
      </c>
      <c r="Y108" s="3">
        <v>38.0</v>
      </c>
      <c r="Z108" s="3">
        <v>124.0</v>
      </c>
      <c r="AA108" s="3">
        <v>221.0</v>
      </c>
      <c r="AB108" s="3">
        <v>605.0</v>
      </c>
      <c r="AC108" s="3">
        <v>46.0</v>
      </c>
    </row>
    <row r="109">
      <c r="A109" s="3">
        <v>107.0</v>
      </c>
      <c r="B109" s="3" t="s">
        <v>2373</v>
      </c>
      <c r="C109" s="3">
        <v>577.0</v>
      </c>
      <c r="D109" s="3" t="s">
        <v>537</v>
      </c>
      <c r="E109" s="3">
        <v>17.824612</v>
      </c>
      <c r="F109" s="3">
        <v>-88.889705</v>
      </c>
      <c r="G109" s="3">
        <v>3.0</v>
      </c>
      <c r="H109" s="3">
        <v>0.0</v>
      </c>
      <c r="I109" s="3" t="s">
        <v>187</v>
      </c>
      <c r="J109" s="3">
        <v>564.0</v>
      </c>
      <c r="K109" s="3">
        <v>569.0</v>
      </c>
      <c r="L109" s="3" t="s">
        <v>133</v>
      </c>
      <c r="M109" s="3">
        <v>1.0</v>
      </c>
      <c r="N109" s="3" t="s">
        <v>121</v>
      </c>
      <c r="O109" s="3" t="s">
        <v>2374</v>
      </c>
      <c r="P109" s="3" t="s">
        <v>2378</v>
      </c>
      <c r="Q109" s="3">
        <v>2.0</v>
      </c>
      <c r="R109" s="3">
        <v>494.0</v>
      </c>
      <c r="S109" s="3">
        <v>57.480003</v>
      </c>
      <c r="T109" s="3">
        <v>12.625324</v>
      </c>
      <c r="U109" s="3" t="s">
        <v>2376</v>
      </c>
      <c r="V109" s="3">
        <v>0.0</v>
      </c>
      <c r="W109" s="3">
        <v>1512.0</v>
      </c>
      <c r="X109" s="3">
        <v>5497.0</v>
      </c>
      <c r="Y109" s="3">
        <v>38.0</v>
      </c>
      <c r="Z109" s="3">
        <v>124.0</v>
      </c>
      <c r="AA109" s="3">
        <v>221.0</v>
      </c>
      <c r="AB109" s="3">
        <v>605.0</v>
      </c>
      <c r="AC109" s="3">
        <v>46.0</v>
      </c>
    </row>
    <row r="110">
      <c r="A110" s="3">
        <v>108.0</v>
      </c>
      <c r="B110" s="3" t="s">
        <v>2373</v>
      </c>
      <c r="C110" s="3">
        <v>578.0</v>
      </c>
      <c r="D110" s="3" t="s">
        <v>538</v>
      </c>
      <c r="E110" s="3">
        <v>17.824612</v>
      </c>
      <c r="F110" s="3">
        <v>-88.889705</v>
      </c>
      <c r="G110" s="3">
        <v>3.0</v>
      </c>
      <c r="H110" s="3">
        <v>0.0</v>
      </c>
      <c r="I110" s="3" t="s">
        <v>187</v>
      </c>
      <c r="J110" s="3">
        <v>564.0</v>
      </c>
      <c r="K110" s="3">
        <v>569.0</v>
      </c>
      <c r="L110" s="3" t="s">
        <v>133</v>
      </c>
      <c r="M110" s="3">
        <v>1.0</v>
      </c>
      <c r="N110" s="3" t="s">
        <v>121</v>
      </c>
      <c r="O110" s="3" t="s">
        <v>2374</v>
      </c>
      <c r="P110" s="3" t="s">
        <v>2378</v>
      </c>
      <c r="Q110" s="3">
        <v>2.0</v>
      </c>
      <c r="R110" s="3">
        <v>494.0</v>
      </c>
      <c r="S110" s="3">
        <v>57.480003</v>
      </c>
      <c r="T110" s="3">
        <v>12.625324</v>
      </c>
      <c r="U110" s="3" t="s">
        <v>2376</v>
      </c>
      <c r="V110" s="3">
        <v>0.0</v>
      </c>
      <c r="W110" s="3">
        <v>1512.0</v>
      </c>
      <c r="X110" s="3">
        <v>5497.0</v>
      </c>
      <c r="Y110" s="3">
        <v>38.0</v>
      </c>
      <c r="Z110" s="3">
        <v>124.0</v>
      </c>
      <c r="AA110" s="3">
        <v>221.0</v>
      </c>
      <c r="AB110" s="3">
        <v>605.0</v>
      </c>
      <c r="AC110" s="3">
        <v>46.0</v>
      </c>
    </row>
    <row r="111">
      <c r="A111" s="3">
        <v>109.0</v>
      </c>
      <c r="B111" s="3" t="s">
        <v>2373</v>
      </c>
      <c r="C111" s="3">
        <v>579.0</v>
      </c>
      <c r="D111" s="3" t="s">
        <v>539</v>
      </c>
      <c r="E111" s="3">
        <v>17.824612</v>
      </c>
      <c r="F111" s="3">
        <v>-88.889705</v>
      </c>
      <c r="G111" s="3">
        <v>3.0</v>
      </c>
      <c r="H111" s="3">
        <v>0.0</v>
      </c>
      <c r="I111" s="3" t="s">
        <v>187</v>
      </c>
      <c r="J111" s="3">
        <v>564.0</v>
      </c>
      <c r="K111" s="3">
        <v>569.0</v>
      </c>
      <c r="L111" s="3" t="s">
        <v>133</v>
      </c>
      <c r="M111" s="3">
        <v>1.0</v>
      </c>
      <c r="N111" s="3" t="s">
        <v>121</v>
      </c>
      <c r="O111" s="3" t="s">
        <v>2374</v>
      </c>
      <c r="P111" s="3" t="s">
        <v>2378</v>
      </c>
      <c r="Q111" s="3">
        <v>2.0</v>
      </c>
      <c r="R111" s="3">
        <v>494.0</v>
      </c>
      <c r="S111" s="3">
        <v>57.480003</v>
      </c>
      <c r="T111" s="3">
        <v>12.625324</v>
      </c>
      <c r="U111" s="3" t="s">
        <v>2376</v>
      </c>
      <c r="V111" s="3">
        <v>0.0</v>
      </c>
      <c r="W111" s="3">
        <v>1512.0</v>
      </c>
      <c r="X111" s="3">
        <v>5497.0</v>
      </c>
      <c r="Y111" s="3">
        <v>38.0</v>
      </c>
      <c r="Z111" s="3">
        <v>124.0</v>
      </c>
      <c r="AA111" s="3">
        <v>221.0</v>
      </c>
      <c r="AB111" s="3">
        <v>605.0</v>
      </c>
      <c r="AC111" s="3">
        <v>46.0</v>
      </c>
    </row>
    <row r="112">
      <c r="A112" s="3">
        <v>110.0</v>
      </c>
      <c r="B112" s="3" t="s">
        <v>2373</v>
      </c>
      <c r="C112" s="3">
        <v>580.0</v>
      </c>
      <c r="D112" s="78" t="s">
        <v>542</v>
      </c>
      <c r="E112" s="3">
        <v>17.824612</v>
      </c>
      <c r="F112" s="3">
        <v>-88.889705</v>
      </c>
      <c r="G112" s="3">
        <v>3.0</v>
      </c>
      <c r="H112" s="3">
        <v>0.0</v>
      </c>
      <c r="I112" s="3" t="s">
        <v>187</v>
      </c>
      <c r="J112" s="3">
        <v>564.0</v>
      </c>
      <c r="K112" s="3">
        <v>569.0</v>
      </c>
      <c r="L112" s="3" t="s">
        <v>133</v>
      </c>
      <c r="M112" s="3">
        <v>1.0</v>
      </c>
      <c r="N112" s="3" t="s">
        <v>121</v>
      </c>
      <c r="O112" s="3" t="s">
        <v>2374</v>
      </c>
      <c r="P112" s="3" t="s">
        <v>2378</v>
      </c>
      <c r="Q112" s="3">
        <v>2.0</v>
      </c>
      <c r="R112" s="3">
        <v>494.0</v>
      </c>
      <c r="S112" s="3">
        <v>57.480003</v>
      </c>
      <c r="T112" s="3">
        <v>12.625324</v>
      </c>
      <c r="U112" s="3" t="s">
        <v>2376</v>
      </c>
      <c r="V112" s="3">
        <v>0.0</v>
      </c>
      <c r="W112" s="3">
        <v>1512.0</v>
      </c>
      <c r="X112" s="3">
        <v>5497.0</v>
      </c>
      <c r="Y112" s="3">
        <v>38.0</v>
      </c>
      <c r="Z112" s="3">
        <v>124.0</v>
      </c>
      <c r="AA112" s="3">
        <v>221.0</v>
      </c>
      <c r="AB112" s="3">
        <v>605.0</v>
      </c>
      <c r="AC112" s="3">
        <v>46.0</v>
      </c>
    </row>
    <row r="113">
      <c r="A113" s="3">
        <v>111.0</v>
      </c>
      <c r="B113" s="3" t="s">
        <v>2373</v>
      </c>
      <c r="C113" s="3">
        <v>581.0</v>
      </c>
      <c r="D113" s="3" t="s">
        <v>545</v>
      </c>
      <c r="E113" s="3">
        <v>17.824612</v>
      </c>
      <c r="F113" s="3">
        <v>-88.889705</v>
      </c>
      <c r="G113" s="3">
        <v>3.0</v>
      </c>
      <c r="H113" s="3">
        <v>0.0</v>
      </c>
      <c r="I113" s="3" t="s">
        <v>187</v>
      </c>
      <c r="J113" s="3">
        <v>564.0</v>
      </c>
      <c r="K113" s="3">
        <v>569.0</v>
      </c>
      <c r="L113" s="3" t="s">
        <v>133</v>
      </c>
      <c r="M113" s="3">
        <v>1.0</v>
      </c>
      <c r="N113" s="3" t="s">
        <v>121</v>
      </c>
      <c r="O113" s="3" t="s">
        <v>2374</v>
      </c>
      <c r="P113" s="3" t="s">
        <v>2378</v>
      </c>
      <c r="Q113" s="3">
        <v>2.0</v>
      </c>
      <c r="R113" s="3">
        <v>494.0</v>
      </c>
      <c r="S113" s="3">
        <v>57.480003</v>
      </c>
      <c r="T113" s="3">
        <v>12.625324</v>
      </c>
      <c r="U113" s="3" t="s">
        <v>2376</v>
      </c>
      <c r="V113" s="3">
        <v>0.0</v>
      </c>
      <c r="W113" s="3">
        <v>1512.0</v>
      </c>
      <c r="X113" s="3">
        <v>5497.0</v>
      </c>
      <c r="Y113" s="3">
        <v>38.0</v>
      </c>
      <c r="Z113" s="3">
        <v>124.0</v>
      </c>
      <c r="AA113" s="3">
        <v>221.0</v>
      </c>
      <c r="AB113" s="3">
        <v>605.0</v>
      </c>
      <c r="AC113" s="3">
        <v>46.0</v>
      </c>
    </row>
    <row r="114">
      <c r="A114" s="3">
        <v>112.0</v>
      </c>
      <c r="B114" s="3" t="s">
        <v>2373</v>
      </c>
      <c r="C114" s="3">
        <v>582.0</v>
      </c>
      <c r="D114" s="3" t="s">
        <v>1482</v>
      </c>
      <c r="E114" s="3">
        <v>17.841587</v>
      </c>
      <c r="F114" s="3">
        <v>-89.018687</v>
      </c>
      <c r="G114" s="3">
        <v>3.0</v>
      </c>
      <c r="H114" s="3">
        <v>0.0</v>
      </c>
      <c r="I114" s="3" t="s">
        <v>187</v>
      </c>
      <c r="J114" s="3">
        <v>564.0</v>
      </c>
      <c r="K114" s="3">
        <v>569.0</v>
      </c>
      <c r="L114" s="3" t="s">
        <v>133</v>
      </c>
      <c r="M114" s="3">
        <v>1.0</v>
      </c>
      <c r="N114" s="3" t="s">
        <v>121</v>
      </c>
      <c r="O114" s="3" t="s">
        <v>2374</v>
      </c>
      <c r="P114" s="3" t="s">
        <v>2378</v>
      </c>
      <c r="Q114" s="3">
        <v>2.0</v>
      </c>
      <c r="R114" s="3">
        <v>494.0</v>
      </c>
      <c r="S114" s="3">
        <v>57.480003</v>
      </c>
      <c r="T114" s="3">
        <v>12.625324</v>
      </c>
      <c r="U114" s="3" t="s">
        <v>2376</v>
      </c>
      <c r="V114" s="3">
        <v>0.0</v>
      </c>
      <c r="W114" s="3">
        <v>1441.0</v>
      </c>
      <c r="X114" s="3">
        <v>5597.0</v>
      </c>
      <c r="Y114" s="3">
        <v>35.0</v>
      </c>
      <c r="Z114" s="3">
        <v>118.0</v>
      </c>
      <c r="AA114" s="3">
        <v>213.0</v>
      </c>
      <c r="AB114" s="3">
        <v>575.0</v>
      </c>
      <c r="AC114" s="3">
        <v>150.0</v>
      </c>
    </row>
    <row r="115">
      <c r="A115" s="3">
        <v>113.0</v>
      </c>
      <c r="B115" s="3" t="s">
        <v>2373</v>
      </c>
      <c r="C115" s="3">
        <v>583.0</v>
      </c>
      <c r="D115" s="3" t="s">
        <v>1485</v>
      </c>
      <c r="E115" s="3">
        <v>17.841587</v>
      </c>
      <c r="F115" s="3">
        <v>-89.018687</v>
      </c>
      <c r="G115" s="3">
        <v>3.0</v>
      </c>
      <c r="H115" s="3">
        <v>0.0</v>
      </c>
      <c r="I115" s="3" t="s">
        <v>187</v>
      </c>
      <c r="J115" s="3">
        <v>564.0</v>
      </c>
      <c r="K115" s="3">
        <v>569.0</v>
      </c>
      <c r="L115" s="3" t="s">
        <v>133</v>
      </c>
      <c r="M115" s="3">
        <v>1.0</v>
      </c>
      <c r="N115" s="3" t="s">
        <v>121</v>
      </c>
      <c r="O115" s="3" t="s">
        <v>2374</v>
      </c>
      <c r="P115" s="3" t="s">
        <v>2378</v>
      </c>
      <c r="Q115" s="3">
        <v>2.0</v>
      </c>
      <c r="R115" s="3">
        <v>494.0</v>
      </c>
      <c r="S115" s="3">
        <v>57.480003</v>
      </c>
      <c r="T115" s="3">
        <v>12.625324</v>
      </c>
      <c r="U115" s="3" t="s">
        <v>2376</v>
      </c>
      <c r="V115" s="3">
        <v>0.0</v>
      </c>
      <c r="W115" s="3">
        <v>1441.0</v>
      </c>
      <c r="X115" s="3">
        <v>5597.0</v>
      </c>
      <c r="Y115" s="3">
        <v>35.0</v>
      </c>
      <c r="Z115" s="3">
        <v>118.0</v>
      </c>
      <c r="AA115" s="3">
        <v>213.0</v>
      </c>
      <c r="AB115" s="3">
        <v>575.0</v>
      </c>
      <c r="AC115" s="3">
        <v>150.0</v>
      </c>
    </row>
    <row r="116">
      <c r="A116" s="3">
        <v>114.0</v>
      </c>
      <c r="B116" s="3" t="s">
        <v>2373</v>
      </c>
      <c r="C116" s="3">
        <v>584.0</v>
      </c>
      <c r="D116" s="3" t="s">
        <v>1486</v>
      </c>
      <c r="E116" s="3">
        <v>17.841587</v>
      </c>
      <c r="F116" s="3">
        <v>-89.018687</v>
      </c>
      <c r="G116" s="3">
        <v>3.0</v>
      </c>
      <c r="H116" s="3">
        <v>0.0</v>
      </c>
      <c r="I116" s="3" t="s">
        <v>187</v>
      </c>
      <c r="J116" s="3">
        <v>564.0</v>
      </c>
      <c r="K116" s="3">
        <v>569.0</v>
      </c>
      <c r="L116" s="3" t="s">
        <v>133</v>
      </c>
      <c r="M116" s="3">
        <v>1.0</v>
      </c>
      <c r="N116" s="3" t="s">
        <v>121</v>
      </c>
      <c r="O116" s="3" t="s">
        <v>2374</v>
      </c>
      <c r="P116" s="3" t="s">
        <v>2378</v>
      </c>
      <c r="Q116" s="3">
        <v>2.0</v>
      </c>
      <c r="R116" s="3">
        <v>494.0</v>
      </c>
      <c r="S116" s="3">
        <v>57.480003</v>
      </c>
      <c r="T116" s="3">
        <v>12.625324</v>
      </c>
      <c r="U116" s="3" t="s">
        <v>2376</v>
      </c>
      <c r="V116" s="3">
        <v>0.0</v>
      </c>
      <c r="W116" s="3">
        <v>1441.0</v>
      </c>
      <c r="X116" s="3">
        <v>5597.0</v>
      </c>
      <c r="Y116" s="3">
        <v>35.0</v>
      </c>
      <c r="Z116" s="3">
        <v>118.0</v>
      </c>
      <c r="AA116" s="3">
        <v>213.0</v>
      </c>
      <c r="AB116" s="3">
        <v>575.0</v>
      </c>
      <c r="AC116" s="3">
        <v>150.0</v>
      </c>
    </row>
    <row r="117">
      <c r="A117" s="3">
        <v>115.0</v>
      </c>
      <c r="B117" s="3" t="s">
        <v>2373</v>
      </c>
      <c r="C117" s="3">
        <v>585.0</v>
      </c>
      <c r="D117" s="3" t="s">
        <v>1488</v>
      </c>
      <c r="E117" s="3">
        <v>17.841587</v>
      </c>
      <c r="F117" s="3">
        <v>-89.018687</v>
      </c>
      <c r="G117" s="3">
        <v>3.0</v>
      </c>
      <c r="H117" s="3">
        <v>0.0</v>
      </c>
      <c r="I117" s="3" t="s">
        <v>187</v>
      </c>
      <c r="J117" s="3">
        <v>564.0</v>
      </c>
      <c r="K117" s="3">
        <v>569.0</v>
      </c>
      <c r="L117" s="3" t="s">
        <v>133</v>
      </c>
      <c r="M117" s="3">
        <v>1.0</v>
      </c>
      <c r="N117" s="3" t="s">
        <v>121</v>
      </c>
      <c r="O117" s="3" t="s">
        <v>2374</v>
      </c>
      <c r="P117" s="3" t="s">
        <v>2378</v>
      </c>
      <c r="Q117" s="3">
        <v>2.0</v>
      </c>
      <c r="R117" s="3">
        <v>494.0</v>
      </c>
      <c r="S117" s="3">
        <v>57.480003</v>
      </c>
      <c r="T117" s="3">
        <v>12.625324</v>
      </c>
      <c r="U117" s="3" t="s">
        <v>2376</v>
      </c>
      <c r="V117" s="3">
        <v>0.0</v>
      </c>
      <c r="W117" s="3">
        <v>1441.0</v>
      </c>
      <c r="X117" s="3">
        <v>5597.0</v>
      </c>
      <c r="Y117" s="3">
        <v>35.0</v>
      </c>
      <c r="Z117" s="3">
        <v>118.0</v>
      </c>
      <c r="AA117" s="3">
        <v>213.0</v>
      </c>
      <c r="AB117" s="3">
        <v>575.0</v>
      </c>
      <c r="AC117" s="3">
        <v>150.0</v>
      </c>
    </row>
    <row r="118">
      <c r="A118" s="3">
        <v>116.0</v>
      </c>
      <c r="B118" s="3" t="s">
        <v>2373</v>
      </c>
      <c r="C118" s="3">
        <v>586.0</v>
      </c>
      <c r="D118" s="3" t="s">
        <v>1490</v>
      </c>
      <c r="E118" s="3">
        <v>17.841587</v>
      </c>
      <c r="F118" s="3">
        <v>-89.018687</v>
      </c>
      <c r="G118" s="3">
        <v>3.0</v>
      </c>
      <c r="H118" s="3">
        <v>0.0</v>
      </c>
      <c r="I118" s="3" t="s">
        <v>187</v>
      </c>
      <c r="J118" s="3">
        <v>564.0</v>
      </c>
      <c r="K118" s="3">
        <v>569.0</v>
      </c>
      <c r="L118" s="3" t="s">
        <v>133</v>
      </c>
      <c r="M118" s="3">
        <v>1.0</v>
      </c>
      <c r="N118" s="3" t="s">
        <v>121</v>
      </c>
      <c r="O118" s="3" t="s">
        <v>2374</v>
      </c>
      <c r="P118" s="3" t="s">
        <v>2378</v>
      </c>
      <c r="Q118" s="3">
        <v>2.0</v>
      </c>
      <c r="R118" s="3">
        <v>494.0</v>
      </c>
      <c r="S118" s="3">
        <v>57.480003</v>
      </c>
      <c r="T118" s="3">
        <v>12.625324</v>
      </c>
      <c r="U118" s="3" t="s">
        <v>2376</v>
      </c>
      <c r="V118" s="3">
        <v>0.0</v>
      </c>
      <c r="W118" s="3">
        <v>1441.0</v>
      </c>
      <c r="X118" s="3">
        <v>5597.0</v>
      </c>
      <c r="Y118" s="3">
        <v>35.0</v>
      </c>
      <c r="Z118" s="3">
        <v>118.0</v>
      </c>
      <c r="AA118" s="3">
        <v>213.0</v>
      </c>
      <c r="AB118" s="3">
        <v>575.0</v>
      </c>
      <c r="AC118" s="3">
        <v>150.0</v>
      </c>
    </row>
    <row r="119">
      <c r="A119" s="3">
        <v>117.0</v>
      </c>
      <c r="B119" s="3" t="s">
        <v>2373</v>
      </c>
      <c r="C119" s="3">
        <v>587.0</v>
      </c>
      <c r="D119" s="78" t="s">
        <v>1492</v>
      </c>
      <c r="E119" s="3">
        <v>17.841587</v>
      </c>
      <c r="F119" s="3">
        <v>-89.018687</v>
      </c>
      <c r="G119" s="3">
        <v>3.0</v>
      </c>
      <c r="H119" s="3">
        <v>0.0</v>
      </c>
      <c r="I119" s="3" t="s">
        <v>187</v>
      </c>
      <c r="J119" s="3">
        <v>564.0</v>
      </c>
      <c r="K119" s="3">
        <v>569.0</v>
      </c>
      <c r="L119" s="3" t="s">
        <v>133</v>
      </c>
      <c r="M119" s="3">
        <v>1.0</v>
      </c>
      <c r="N119" s="3" t="s">
        <v>121</v>
      </c>
      <c r="O119" s="3" t="s">
        <v>2374</v>
      </c>
      <c r="P119" s="3" t="s">
        <v>2378</v>
      </c>
      <c r="Q119" s="3">
        <v>2.0</v>
      </c>
      <c r="R119" s="3">
        <v>494.0</v>
      </c>
      <c r="S119" s="3">
        <v>57.480003</v>
      </c>
      <c r="T119" s="3">
        <v>12.625324</v>
      </c>
      <c r="U119" s="3" t="s">
        <v>2376</v>
      </c>
      <c r="V119" s="3">
        <v>0.0</v>
      </c>
      <c r="W119" s="3">
        <v>1441.0</v>
      </c>
      <c r="X119" s="3">
        <v>5597.0</v>
      </c>
      <c r="Y119" s="3">
        <v>35.0</v>
      </c>
      <c r="Z119" s="3">
        <v>118.0</v>
      </c>
      <c r="AA119" s="3">
        <v>213.0</v>
      </c>
      <c r="AB119" s="3">
        <v>575.0</v>
      </c>
      <c r="AC119" s="3">
        <v>150.0</v>
      </c>
    </row>
    <row r="120">
      <c r="A120" s="3">
        <v>118.0</v>
      </c>
      <c r="B120" s="3" t="s">
        <v>2373</v>
      </c>
      <c r="C120" s="3">
        <v>588.0</v>
      </c>
      <c r="D120" s="3" t="s">
        <v>1501</v>
      </c>
      <c r="E120" s="3">
        <v>17.841587</v>
      </c>
      <c r="F120" s="3">
        <v>-89.018687</v>
      </c>
      <c r="G120" s="3">
        <v>3.0</v>
      </c>
      <c r="H120" s="3">
        <v>0.0</v>
      </c>
      <c r="I120" s="3" t="s">
        <v>187</v>
      </c>
      <c r="J120" s="3">
        <v>564.0</v>
      </c>
      <c r="K120" s="3">
        <v>569.0</v>
      </c>
      <c r="L120" s="3" t="s">
        <v>133</v>
      </c>
      <c r="M120" s="3">
        <v>1.0</v>
      </c>
      <c r="N120" s="3" t="s">
        <v>121</v>
      </c>
      <c r="O120" s="3" t="s">
        <v>2374</v>
      </c>
      <c r="P120" s="3" t="s">
        <v>2378</v>
      </c>
      <c r="Q120" s="3">
        <v>2.0</v>
      </c>
      <c r="R120" s="3">
        <v>494.0</v>
      </c>
      <c r="S120" s="3">
        <v>57.480003</v>
      </c>
      <c r="T120" s="3">
        <v>12.625324</v>
      </c>
      <c r="U120" s="3" t="s">
        <v>2376</v>
      </c>
      <c r="V120" s="3">
        <v>0.0</v>
      </c>
      <c r="W120" s="3">
        <v>1441.0</v>
      </c>
      <c r="X120" s="3">
        <v>5597.0</v>
      </c>
      <c r="Y120" s="3">
        <v>35.0</v>
      </c>
      <c r="Z120" s="3">
        <v>118.0</v>
      </c>
      <c r="AA120" s="3">
        <v>213.0</v>
      </c>
      <c r="AB120" s="3">
        <v>575.0</v>
      </c>
      <c r="AC120" s="3">
        <v>150.0</v>
      </c>
    </row>
    <row r="121">
      <c r="A121" s="3">
        <v>119.0</v>
      </c>
      <c r="B121" s="3" t="s">
        <v>2373</v>
      </c>
      <c r="C121" s="3">
        <v>589.0</v>
      </c>
      <c r="D121" s="3" t="s">
        <v>1502</v>
      </c>
      <c r="E121" s="3">
        <v>17.841587</v>
      </c>
      <c r="F121" s="3">
        <v>-89.018687</v>
      </c>
      <c r="G121" s="3">
        <v>3.0</v>
      </c>
      <c r="H121" s="3">
        <v>0.0</v>
      </c>
      <c r="I121" s="3" t="s">
        <v>187</v>
      </c>
      <c r="J121" s="3">
        <v>564.0</v>
      </c>
      <c r="K121" s="3">
        <v>569.0</v>
      </c>
      <c r="L121" s="3" t="s">
        <v>133</v>
      </c>
      <c r="M121" s="3">
        <v>1.0</v>
      </c>
      <c r="N121" s="3" t="s">
        <v>121</v>
      </c>
      <c r="O121" s="3" t="s">
        <v>2374</v>
      </c>
      <c r="P121" s="3" t="s">
        <v>2378</v>
      </c>
      <c r="Q121" s="3">
        <v>2.0</v>
      </c>
      <c r="R121" s="3">
        <v>494.0</v>
      </c>
      <c r="S121" s="3">
        <v>57.480003</v>
      </c>
      <c r="T121" s="3">
        <v>12.625324</v>
      </c>
      <c r="U121" s="3" t="s">
        <v>2376</v>
      </c>
      <c r="V121" s="3">
        <v>0.0</v>
      </c>
      <c r="W121" s="3">
        <v>1441.0</v>
      </c>
      <c r="X121" s="3">
        <v>5597.0</v>
      </c>
      <c r="Y121" s="3">
        <v>35.0</v>
      </c>
      <c r="Z121" s="3">
        <v>118.0</v>
      </c>
      <c r="AA121" s="3">
        <v>213.0</v>
      </c>
      <c r="AB121" s="3">
        <v>575.0</v>
      </c>
      <c r="AC121" s="3">
        <v>150.0</v>
      </c>
    </row>
    <row r="122">
      <c r="A122" s="3">
        <v>120.0</v>
      </c>
      <c r="B122" s="3" t="s">
        <v>2373</v>
      </c>
      <c r="C122" s="3">
        <v>590.0</v>
      </c>
      <c r="D122" s="3" t="s">
        <v>1504</v>
      </c>
      <c r="E122" s="3">
        <v>17.841587</v>
      </c>
      <c r="F122" s="3">
        <v>-89.018687</v>
      </c>
      <c r="G122" s="3">
        <v>3.0</v>
      </c>
      <c r="H122" s="3">
        <v>0.0</v>
      </c>
      <c r="I122" s="3" t="s">
        <v>187</v>
      </c>
      <c r="J122" s="3">
        <v>564.0</v>
      </c>
      <c r="K122" s="3">
        <v>569.0</v>
      </c>
      <c r="L122" s="3" t="s">
        <v>133</v>
      </c>
      <c r="M122" s="3">
        <v>1.0</v>
      </c>
      <c r="N122" s="3" t="s">
        <v>121</v>
      </c>
      <c r="O122" s="3" t="s">
        <v>2374</v>
      </c>
      <c r="P122" s="3" t="s">
        <v>2378</v>
      </c>
      <c r="Q122" s="3">
        <v>2.0</v>
      </c>
      <c r="R122" s="3">
        <v>494.0</v>
      </c>
      <c r="S122" s="3">
        <v>57.480003</v>
      </c>
      <c r="T122" s="3">
        <v>12.625324</v>
      </c>
      <c r="U122" s="3" t="s">
        <v>2376</v>
      </c>
      <c r="V122" s="3">
        <v>0.0</v>
      </c>
      <c r="W122" s="3">
        <v>1441.0</v>
      </c>
      <c r="X122" s="3">
        <v>5597.0</v>
      </c>
      <c r="Y122" s="3">
        <v>35.0</v>
      </c>
      <c r="Z122" s="3">
        <v>118.0</v>
      </c>
      <c r="AA122" s="3">
        <v>213.0</v>
      </c>
      <c r="AB122" s="3">
        <v>575.0</v>
      </c>
      <c r="AC122" s="3">
        <v>150.0</v>
      </c>
    </row>
    <row r="123">
      <c r="A123" s="3">
        <v>121.0</v>
      </c>
      <c r="B123" s="3" t="s">
        <v>2373</v>
      </c>
      <c r="C123" s="3">
        <v>591.0</v>
      </c>
      <c r="D123" s="3" t="s">
        <v>1505</v>
      </c>
      <c r="E123" s="3">
        <v>17.886007</v>
      </c>
      <c r="F123" s="3">
        <v>-88.899136</v>
      </c>
      <c r="G123" s="3">
        <v>3.0</v>
      </c>
      <c r="H123" s="3">
        <v>0.0</v>
      </c>
      <c r="I123" s="3" t="s">
        <v>187</v>
      </c>
      <c r="J123" s="3">
        <v>564.0</v>
      </c>
      <c r="K123" s="3">
        <v>569.0</v>
      </c>
      <c r="L123" s="3" t="s">
        <v>133</v>
      </c>
      <c r="M123" s="3">
        <v>1.0</v>
      </c>
      <c r="N123" s="3" t="s">
        <v>121</v>
      </c>
      <c r="O123" s="3" t="s">
        <v>2374</v>
      </c>
      <c r="P123" s="3" t="s">
        <v>2378</v>
      </c>
      <c r="Q123" s="3">
        <v>2.0</v>
      </c>
      <c r="R123" s="3">
        <v>494.0</v>
      </c>
      <c r="S123" s="3">
        <v>57.480003</v>
      </c>
      <c r="T123" s="3">
        <v>12.625324</v>
      </c>
      <c r="U123" s="3" t="s">
        <v>2376</v>
      </c>
      <c r="V123" s="3">
        <v>0.0</v>
      </c>
      <c r="W123" s="3">
        <v>1475.0</v>
      </c>
      <c r="X123" s="3">
        <v>5493.0</v>
      </c>
      <c r="Y123" s="3">
        <v>37.0</v>
      </c>
      <c r="Z123" s="3">
        <v>119.0</v>
      </c>
      <c r="AA123" s="3">
        <v>219.0</v>
      </c>
      <c r="AB123" s="3">
        <v>592.0</v>
      </c>
      <c r="AC123" s="3">
        <v>62.0</v>
      </c>
    </row>
    <row r="124">
      <c r="A124" s="3">
        <v>122.0</v>
      </c>
      <c r="B124" s="3" t="s">
        <v>2373</v>
      </c>
      <c r="C124" s="3">
        <v>592.0</v>
      </c>
      <c r="D124" s="3" t="s">
        <v>1507</v>
      </c>
      <c r="E124" s="3">
        <v>17.886007</v>
      </c>
      <c r="F124" s="3">
        <v>-88.899136</v>
      </c>
      <c r="G124" s="3">
        <v>3.0</v>
      </c>
      <c r="H124" s="3">
        <v>0.0</v>
      </c>
      <c r="I124" s="3" t="s">
        <v>187</v>
      </c>
      <c r="J124" s="3">
        <v>564.0</v>
      </c>
      <c r="K124" s="3">
        <v>569.0</v>
      </c>
      <c r="L124" s="3" t="s">
        <v>133</v>
      </c>
      <c r="M124" s="3">
        <v>1.0</v>
      </c>
      <c r="N124" s="3" t="s">
        <v>121</v>
      </c>
      <c r="O124" s="3" t="s">
        <v>2374</v>
      </c>
      <c r="P124" s="3" t="s">
        <v>2378</v>
      </c>
      <c r="Q124" s="3">
        <v>2.0</v>
      </c>
      <c r="R124" s="3">
        <v>494.0</v>
      </c>
      <c r="S124" s="3">
        <v>57.480003</v>
      </c>
      <c r="T124" s="3">
        <v>12.625324</v>
      </c>
      <c r="U124" s="3" t="s">
        <v>2376</v>
      </c>
      <c r="V124" s="3">
        <v>0.0</v>
      </c>
      <c r="W124" s="3">
        <v>1475.0</v>
      </c>
      <c r="X124" s="3">
        <v>5493.0</v>
      </c>
      <c r="Y124" s="3">
        <v>37.0</v>
      </c>
      <c r="Z124" s="3">
        <v>119.0</v>
      </c>
      <c r="AA124" s="3">
        <v>219.0</v>
      </c>
      <c r="AB124" s="3">
        <v>592.0</v>
      </c>
      <c r="AC124" s="3">
        <v>62.0</v>
      </c>
    </row>
    <row r="125">
      <c r="A125" s="3">
        <v>123.0</v>
      </c>
      <c r="B125" s="3" t="s">
        <v>2373</v>
      </c>
      <c r="C125" s="3">
        <v>593.0</v>
      </c>
      <c r="D125" s="3" t="s">
        <v>1508</v>
      </c>
      <c r="E125" s="3">
        <v>17.886007</v>
      </c>
      <c r="F125" s="3">
        <v>-88.899136</v>
      </c>
      <c r="G125" s="3">
        <v>3.0</v>
      </c>
      <c r="H125" s="3">
        <v>0.0</v>
      </c>
      <c r="I125" s="3" t="s">
        <v>187</v>
      </c>
      <c r="J125" s="3">
        <v>564.0</v>
      </c>
      <c r="K125" s="3">
        <v>569.0</v>
      </c>
      <c r="L125" s="3" t="s">
        <v>133</v>
      </c>
      <c r="M125" s="3">
        <v>1.0</v>
      </c>
      <c r="N125" s="3" t="s">
        <v>121</v>
      </c>
      <c r="O125" s="3" t="s">
        <v>2374</v>
      </c>
      <c r="P125" s="3" t="s">
        <v>2378</v>
      </c>
      <c r="Q125" s="3">
        <v>2.0</v>
      </c>
      <c r="R125" s="3">
        <v>494.0</v>
      </c>
      <c r="S125" s="3">
        <v>57.480003</v>
      </c>
      <c r="T125" s="3">
        <v>12.625324</v>
      </c>
      <c r="U125" s="3" t="s">
        <v>2376</v>
      </c>
      <c r="V125" s="3">
        <v>0.0</v>
      </c>
      <c r="W125" s="3">
        <v>1475.0</v>
      </c>
      <c r="X125" s="3">
        <v>5493.0</v>
      </c>
      <c r="Y125" s="3">
        <v>37.0</v>
      </c>
      <c r="Z125" s="3">
        <v>119.0</v>
      </c>
      <c r="AA125" s="3">
        <v>219.0</v>
      </c>
      <c r="AB125" s="3">
        <v>592.0</v>
      </c>
      <c r="AC125" s="3">
        <v>62.0</v>
      </c>
    </row>
    <row r="126">
      <c r="A126" s="3">
        <v>124.0</v>
      </c>
      <c r="B126" s="3" t="s">
        <v>2373</v>
      </c>
      <c r="C126" s="3">
        <v>594.0</v>
      </c>
      <c r="D126" s="3" t="s">
        <v>1509</v>
      </c>
      <c r="E126" s="3">
        <v>17.886007</v>
      </c>
      <c r="F126" s="3">
        <v>-88.899136</v>
      </c>
      <c r="G126" s="3">
        <v>3.0</v>
      </c>
      <c r="H126" s="3">
        <v>0.0</v>
      </c>
      <c r="I126" s="3" t="s">
        <v>187</v>
      </c>
      <c r="J126" s="3">
        <v>564.0</v>
      </c>
      <c r="K126" s="3">
        <v>569.0</v>
      </c>
      <c r="L126" s="3" t="s">
        <v>133</v>
      </c>
      <c r="M126" s="3">
        <v>1.0</v>
      </c>
      <c r="N126" s="3" t="s">
        <v>121</v>
      </c>
      <c r="O126" s="3" t="s">
        <v>2374</v>
      </c>
      <c r="P126" s="3" t="s">
        <v>2378</v>
      </c>
      <c r="Q126" s="3">
        <v>2.0</v>
      </c>
      <c r="R126" s="3">
        <v>494.0</v>
      </c>
      <c r="S126" s="3">
        <v>57.480003</v>
      </c>
      <c r="T126" s="3">
        <v>12.625324</v>
      </c>
      <c r="U126" s="3" t="s">
        <v>2376</v>
      </c>
      <c r="V126" s="3">
        <v>0.0</v>
      </c>
      <c r="W126" s="3">
        <v>1475.0</v>
      </c>
      <c r="X126" s="3">
        <v>5493.0</v>
      </c>
      <c r="Y126" s="3">
        <v>37.0</v>
      </c>
      <c r="Z126" s="3">
        <v>119.0</v>
      </c>
      <c r="AA126" s="3">
        <v>219.0</v>
      </c>
      <c r="AB126" s="3">
        <v>592.0</v>
      </c>
      <c r="AC126" s="3">
        <v>62.0</v>
      </c>
    </row>
    <row r="127">
      <c r="A127" s="3">
        <v>125.0</v>
      </c>
      <c r="B127" s="3" t="s">
        <v>2373</v>
      </c>
      <c r="C127" s="3">
        <v>595.0</v>
      </c>
      <c r="D127" s="3" t="s">
        <v>1510</v>
      </c>
      <c r="E127" s="3">
        <v>17.886007</v>
      </c>
      <c r="F127" s="3">
        <v>-88.899136</v>
      </c>
      <c r="G127" s="3">
        <v>3.0</v>
      </c>
      <c r="H127" s="3">
        <v>0.0</v>
      </c>
      <c r="I127" s="3" t="s">
        <v>187</v>
      </c>
      <c r="J127" s="3">
        <v>564.0</v>
      </c>
      <c r="K127" s="3">
        <v>569.0</v>
      </c>
      <c r="L127" s="3" t="s">
        <v>133</v>
      </c>
      <c r="M127" s="3">
        <v>1.0</v>
      </c>
      <c r="N127" s="3" t="s">
        <v>121</v>
      </c>
      <c r="O127" s="3" t="s">
        <v>2374</v>
      </c>
      <c r="P127" s="3" t="s">
        <v>2378</v>
      </c>
      <c r="Q127" s="3">
        <v>2.0</v>
      </c>
      <c r="R127" s="3">
        <v>494.0</v>
      </c>
      <c r="S127" s="3">
        <v>57.480003</v>
      </c>
      <c r="T127" s="3">
        <v>12.625324</v>
      </c>
      <c r="U127" s="3" t="s">
        <v>2376</v>
      </c>
      <c r="V127" s="3">
        <v>0.0</v>
      </c>
      <c r="W127" s="3">
        <v>1475.0</v>
      </c>
      <c r="X127" s="3">
        <v>5493.0</v>
      </c>
      <c r="Y127" s="3">
        <v>37.0</v>
      </c>
      <c r="Z127" s="3">
        <v>119.0</v>
      </c>
      <c r="AA127" s="3">
        <v>219.0</v>
      </c>
      <c r="AB127" s="3">
        <v>592.0</v>
      </c>
      <c r="AC127" s="3">
        <v>62.0</v>
      </c>
    </row>
    <row r="128">
      <c r="A128" s="3">
        <v>126.0</v>
      </c>
      <c r="B128" s="3" t="s">
        <v>2373</v>
      </c>
      <c r="C128" s="3">
        <v>596.0</v>
      </c>
      <c r="D128" s="3" t="s">
        <v>1511</v>
      </c>
      <c r="E128" s="3">
        <v>17.886007</v>
      </c>
      <c r="F128" s="3">
        <v>-88.899136</v>
      </c>
      <c r="G128" s="3">
        <v>3.0</v>
      </c>
      <c r="H128" s="3">
        <v>0.0</v>
      </c>
      <c r="I128" s="3" t="s">
        <v>187</v>
      </c>
      <c r="J128" s="3">
        <v>564.0</v>
      </c>
      <c r="K128" s="3">
        <v>569.0</v>
      </c>
      <c r="L128" s="3" t="s">
        <v>133</v>
      </c>
      <c r="M128" s="3">
        <v>1.0</v>
      </c>
      <c r="N128" s="3" t="s">
        <v>121</v>
      </c>
      <c r="O128" s="3" t="s">
        <v>2374</v>
      </c>
      <c r="P128" s="3" t="s">
        <v>2378</v>
      </c>
      <c r="Q128" s="3">
        <v>2.0</v>
      </c>
      <c r="R128" s="3">
        <v>494.0</v>
      </c>
      <c r="S128" s="3">
        <v>57.480003</v>
      </c>
      <c r="T128" s="3">
        <v>12.625324</v>
      </c>
      <c r="U128" s="3" t="s">
        <v>2376</v>
      </c>
      <c r="V128" s="3">
        <v>0.0</v>
      </c>
      <c r="W128" s="3">
        <v>1475.0</v>
      </c>
      <c r="X128" s="3">
        <v>5493.0</v>
      </c>
      <c r="Y128" s="3">
        <v>37.0</v>
      </c>
      <c r="Z128" s="3">
        <v>119.0</v>
      </c>
      <c r="AA128" s="3">
        <v>219.0</v>
      </c>
      <c r="AB128" s="3">
        <v>592.0</v>
      </c>
      <c r="AC128" s="3">
        <v>62.0</v>
      </c>
    </row>
    <row r="129">
      <c r="A129" s="3">
        <v>127.0</v>
      </c>
      <c r="B129" s="3" t="s">
        <v>2373</v>
      </c>
      <c r="C129" s="3">
        <v>597.0</v>
      </c>
      <c r="D129" s="3" t="s">
        <v>1512</v>
      </c>
      <c r="E129" s="3">
        <v>17.886007</v>
      </c>
      <c r="F129" s="3">
        <v>-88.899136</v>
      </c>
      <c r="G129" s="3">
        <v>3.0</v>
      </c>
      <c r="H129" s="3">
        <v>0.0</v>
      </c>
      <c r="I129" s="3" t="s">
        <v>187</v>
      </c>
      <c r="J129" s="3">
        <v>564.0</v>
      </c>
      <c r="K129" s="3">
        <v>569.0</v>
      </c>
      <c r="L129" s="3" t="s">
        <v>133</v>
      </c>
      <c r="M129" s="3">
        <v>1.0</v>
      </c>
      <c r="N129" s="3" t="s">
        <v>121</v>
      </c>
      <c r="O129" s="3" t="s">
        <v>2374</v>
      </c>
      <c r="P129" s="3" t="s">
        <v>2378</v>
      </c>
      <c r="Q129" s="3">
        <v>2.0</v>
      </c>
      <c r="R129" s="3">
        <v>494.0</v>
      </c>
      <c r="S129" s="3">
        <v>57.480003</v>
      </c>
      <c r="T129" s="3">
        <v>12.625324</v>
      </c>
      <c r="U129" s="3" t="s">
        <v>2376</v>
      </c>
      <c r="V129" s="3">
        <v>0.0</v>
      </c>
      <c r="W129" s="3">
        <v>1475.0</v>
      </c>
      <c r="X129" s="3">
        <v>5493.0</v>
      </c>
      <c r="Y129" s="3">
        <v>37.0</v>
      </c>
      <c r="Z129" s="3">
        <v>119.0</v>
      </c>
      <c r="AA129" s="3">
        <v>219.0</v>
      </c>
      <c r="AB129" s="3">
        <v>592.0</v>
      </c>
      <c r="AC129" s="3">
        <v>62.0</v>
      </c>
    </row>
    <row r="130">
      <c r="A130" s="3">
        <v>128.0</v>
      </c>
      <c r="B130" s="3" t="s">
        <v>2373</v>
      </c>
      <c r="C130" s="3">
        <v>598.0</v>
      </c>
      <c r="D130" s="3" t="s">
        <v>1513</v>
      </c>
      <c r="E130" s="3">
        <v>17.886007</v>
      </c>
      <c r="F130" s="3">
        <v>-88.899136</v>
      </c>
      <c r="G130" s="3">
        <v>3.0</v>
      </c>
      <c r="H130" s="3">
        <v>0.0</v>
      </c>
      <c r="I130" s="3" t="s">
        <v>187</v>
      </c>
      <c r="J130" s="3">
        <v>564.0</v>
      </c>
      <c r="K130" s="3">
        <v>569.0</v>
      </c>
      <c r="L130" s="3" t="s">
        <v>133</v>
      </c>
      <c r="M130" s="3">
        <v>1.0</v>
      </c>
      <c r="N130" s="3" t="s">
        <v>121</v>
      </c>
      <c r="O130" s="3" t="s">
        <v>2374</v>
      </c>
      <c r="P130" s="3" t="s">
        <v>2378</v>
      </c>
      <c r="Q130" s="3">
        <v>2.0</v>
      </c>
      <c r="R130" s="3">
        <v>494.0</v>
      </c>
      <c r="S130" s="3">
        <v>57.480003</v>
      </c>
      <c r="T130" s="3">
        <v>12.625324</v>
      </c>
      <c r="U130" s="3" t="s">
        <v>2376</v>
      </c>
      <c r="V130" s="3">
        <v>0.0</v>
      </c>
      <c r="W130" s="3">
        <v>1475.0</v>
      </c>
      <c r="X130" s="3">
        <v>5493.0</v>
      </c>
      <c r="Y130" s="3">
        <v>37.0</v>
      </c>
      <c r="Z130" s="3">
        <v>119.0</v>
      </c>
      <c r="AA130" s="3">
        <v>219.0</v>
      </c>
      <c r="AB130" s="3">
        <v>592.0</v>
      </c>
      <c r="AC130" s="3">
        <v>62.0</v>
      </c>
    </row>
    <row r="131">
      <c r="A131" s="3">
        <v>129.0</v>
      </c>
      <c r="B131" s="3" t="s">
        <v>2373</v>
      </c>
      <c r="C131" s="3">
        <v>599.0</v>
      </c>
      <c r="D131" s="3" t="s">
        <v>1514</v>
      </c>
      <c r="E131" s="3">
        <v>17.886007</v>
      </c>
      <c r="F131" s="3">
        <v>-88.899136</v>
      </c>
      <c r="G131" s="3">
        <v>3.0</v>
      </c>
      <c r="H131" s="3">
        <v>0.0</v>
      </c>
      <c r="I131" s="3" t="s">
        <v>187</v>
      </c>
      <c r="J131" s="3">
        <v>564.0</v>
      </c>
      <c r="K131" s="3">
        <v>569.0</v>
      </c>
      <c r="L131" s="3" t="s">
        <v>133</v>
      </c>
      <c r="M131" s="3">
        <v>1.0</v>
      </c>
      <c r="N131" s="3" t="s">
        <v>121</v>
      </c>
      <c r="O131" s="3" t="s">
        <v>2374</v>
      </c>
      <c r="P131" s="3" t="s">
        <v>2378</v>
      </c>
      <c r="Q131" s="3">
        <v>2.0</v>
      </c>
      <c r="R131" s="3">
        <v>494.0</v>
      </c>
      <c r="S131" s="3">
        <v>57.480003</v>
      </c>
      <c r="T131" s="3">
        <v>12.625324</v>
      </c>
      <c r="U131" s="3" t="s">
        <v>2376</v>
      </c>
      <c r="V131" s="3">
        <v>0.0</v>
      </c>
      <c r="W131" s="3">
        <v>1475.0</v>
      </c>
      <c r="X131" s="3">
        <v>5493.0</v>
      </c>
      <c r="Y131" s="3">
        <v>37.0</v>
      </c>
      <c r="Z131" s="3">
        <v>119.0</v>
      </c>
      <c r="AA131" s="3">
        <v>219.0</v>
      </c>
      <c r="AB131" s="3">
        <v>592.0</v>
      </c>
      <c r="AC131" s="3">
        <v>62.0</v>
      </c>
    </row>
    <row r="132">
      <c r="A132" s="3">
        <v>130.0</v>
      </c>
      <c r="B132" s="3" t="s">
        <v>2373</v>
      </c>
      <c r="C132" s="3">
        <v>105.0</v>
      </c>
      <c r="D132" s="3" t="s">
        <v>1126</v>
      </c>
      <c r="E132" s="3">
        <v>10.75</v>
      </c>
      <c r="F132" s="3">
        <v>-85.5</v>
      </c>
      <c r="G132" s="3">
        <v>5.0</v>
      </c>
      <c r="H132" s="3">
        <v>1.0</v>
      </c>
      <c r="I132" s="3" t="s">
        <v>112</v>
      </c>
      <c r="J132" s="3">
        <v>118.0</v>
      </c>
      <c r="K132" s="3">
        <v>120.0</v>
      </c>
      <c r="L132" s="3" t="s">
        <v>525</v>
      </c>
      <c r="M132" s="3">
        <v>2.0</v>
      </c>
      <c r="N132" s="3" t="s">
        <v>104</v>
      </c>
      <c r="O132" s="3" t="s">
        <v>2374</v>
      </c>
      <c r="P132" s="3" t="s">
        <v>2379</v>
      </c>
      <c r="Q132" s="3">
        <v>3.0</v>
      </c>
      <c r="R132" s="3">
        <v>527.0</v>
      </c>
      <c r="S132" s="3">
        <v>96.749052</v>
      </c>
      <c r="T132" s="3">
        <v>5.65478</v>
      </c>
      <c r="U132" s="3" t="s">
        <v>2376</v>
      </c>
      <c r="V132" s="3">
        <v>0.0</v>
      </c>
      <c r="W132" s="3">
        <v>1713.0</v>
      </c>
      <c r="X132" s="3">
        <v>9030.0</v>
      </c>
      <c r="Y132" s="3">
        <v>2.0</v>
      </c>
      <c r="Z132" s="3">
        <v>9.0</v>
      </c>
      <c r="AA132" s="3">
        <v>338.0</v>
      </c>
      <c r="AB132" s="3">
        <v>864.0</v>
      </c>
      <c r="AC132" s="3">
        <v>100.0</v>
      </c>
    </row>
    <row r="133">
      <c r="A133" s="3">
        <v>131.0</v>
      </c>
      <c r="B133" s="3" t="s">
        <v>2373</v>
      </c>
      <c r="C133" s="3">
        <v>241.0</v>
      </c>
      <c r="D133" s="3" t="s">
        <v>772</v>
      </c>
      <c r="E133" s="3">
        <v>10.2</v>
      </c>
      <c r="F133" s="3">
        <v>-85.35</v>
      </c>
      <c r="G133" s="3">
        <v>5.0</v>
      </c>
      <c r="H133" s="3">
        <v>1.0</v>
      </c>
      <c r="I133" s="3" t="s">
        <v>112</v>
      </c>
      <c r="J133" s="3">
        <v>118.0</v>
      </c>
      <c r="K133" s="3">
        <v>120.0</v>
      </c>
      <c r="L133" s="3" t="s">
        <v>525</v>
      </c>
      <c r="M133" s="3">
        <v>2.0</v>
      </c>
      <c r="N133" s="3" t="s">
        <v>104</v>
      </c>
      <c r="O133" s="3" t="s">
        <v>2374</v>
      </c>
      <c r="P133" s="3" t="s">
        <v>2379</v>
      </c>
      <c r="Q133" s="3">
        <v>3.0</v>
      </c>
      <c r="R133" s="3">
        <v>527.0</v>
      </c>
      <c r="S133" s="3">
        <v>96.749052</v>
      </c>
      <c r="T133" s="3">
        <v>5.65478</v>
      </c>
      <c r="U133" s="3" t="s">
        <v>2376</v>
      </c>
      <c r="V133" s="3">
        <v>0.0</v>
      </c>
      <c r="W133" s="3">
        <v>1892.0</v>
      </c>
      <c r="X133" s="3">
        <v>8663.0</v>
      </c>
      <c r="Y133" s="3">
        <v>3.0</v>
      </c>
      <c r="Z133" s="3">
        <v>22.0</v>
      </c>
      <c r="AA133" s="3">
        <v>370.0</v>
      </c>
      <c r="AB133" s="3">
        <v>928.0</v>
      </c>
      <c r="AC133" s="3">
        <v>328.0</v>
      </c>
    </row>
    <row r="134">
      <c r="A134" s="3">
        <v>132.0</v>
      </c>
      <c r="B134" s="3" t="s">
        <v>2373</v>
      </c>
      <c r="C134" s="3">
        <v>259.0</v>
      </c>
      <c r="D134" s="3" t="s">
        <v>1665</v>
      </c>
      <c r="E134" s="3">
        <v>10.166667</v>
      </c>
      <c r="F134" s="3">
        <v>-85.333333</v>
      </c>
      <c r="G134" s="3">
        <v>5.0</v>
      </c>
      <c r="H134" s="3">
        <v>1.0</v>
      </c>
      <c r="I134" s="3" t="s">
        <v>112</v>
      </c>
      <c r="J134" s="3">
        <v>118.0</v>
      </c>
      <c r="K134" s="3">
        <v>120.0</v>
      </c>
      <c r="L134" s="3" t="s">
        <v>525</v>
      </c>
      <c r="M134" s="3">
        <v>2.0</v>
      </c>
      <c r="N134" s="3" t="s">
        <v>104</v>
      </c>
      <c r="O134" s="3" t="s">
        <v>2374</v>
      </c>
      <c r="P134" s="3" t="s">
        <v>2379</v>
      </c>
      <c r="Q134" s="3">
        <v>3.0</v>
      </c>
      <c r="R134" s="3">
        <v>527.0</v>
      </c>
      <c r="S134" s="3">
        <v>96.749052</v>
      </c>
      <c r="T134" s="3">
        <v>5.65478</v>
      </c>
      <c r="U134" s="3" t="s">
        <v>2376</v>
      </c>
      <c r="V134" s="3">
        <v>0.0</v>
      </c>
      <c r="W134" s="3">
        <v>1891.0</v>
      </c>
      <c r="X134" s="3">
        <v>8437.0</v>
      </c>
      <c r="Y134" s="3">
        <v>2.0</v>
      </c>
      <c r="Z134" s="3">
        <v>14.0</v>
      </c>
      <c r="AA134" s="3">
        <v>347.0</v>
      </c>
      <c r="AB134" s="3">
        <v>915.0</v>
      </c>
      <c r="AC134" s="3">
        <v>74.0</v>
      </c>
    </row>
    <row r="135">
      <c r="A135" s="3">
        <v>133.0</v>
      </c>
      <c r="B135" s="3" t="s">
        <v>2373</v>
      </c>
      <c r="C135" s="3">
        <v>35.0</v>
      </c>
      <c r="D135" s="3" t="s">
        <v>1067</v>
      </c>
      <c r="E135" s="3">
        <v>9.683333</v>
      </c>
      <c r="F135" s="3">
        <v>-83.95</v>
      </c>
      <c r="G135" s="3">
        <v>7.0</v>
      </c>
      <c r="H135" s="3">
        <v>1.0</v>
      </c>
      <c r="I135" s="3" t="s">
        <v>112</v>
      </c>
      <c r="J135" s="3">
        <v>184.0</v>
      </c>
      <c r="K135" s="3">
        <v>186.0</v>
      </c>
      <c r="L135" s="3" t="s">
        <v>627</v>
      </c>
      <c r="M135" s="3">
        <v>1.0</v>
      </c>
      <c r="N135" s="3" t="s">
        <v>121</v>
      </c>
      <c r="O135" s="3" t="s">
        <v>2374</v>
      </c>
      <c r="P135" s="3" t="s">
        <v>2378</v>
      </c>
      <c r="Q135" s="3">
        <v>3.0</v>
      </c>
      <c r="R135" s="3">
        <v>458.0</v>
      </c>
      <c r="S135" s="3">
        <v>14.009489</v>
      </c>
      <c r="T135" s="3">
        <v>0.879717</v>
      </c>
      <c r="U135" s="3" t="s">
        <v>2376</v>
      </c>
      <c r="V135" s="3">
        <v>0.0</v>
      </c>
      <c r="W135" s="3">
        <v>2384.0</v>
      </c>
      <c r="X135" s="3">
        <v>8299.0</v>
      </c>
      <c r="Y135" s="3">
        <v>13.0</v>
      </c>
      <c r="Z135" s="3">
        <v>51.0</v>
      </c>
      <c r="AA135" s="3">
        <v>469.0</v>
      </c>
      <c r="AB135" s="3">
        <v>1211.0</v>
      </c>
      <c r="AC135" s="3">
        <v>2279.0</v>
      </c>
    </row>
    <row r="136">
      <c r="A136" s="3">
        <v>134.0</v>
      </c>
      <c r="B136" s="3" t="s">
        <v>2373</v>
      </c>
      <c r="C136" s="3">
        <v>52.0</v>
      </c>
      <c r="D136" s="3" t="s">
        <v>1272</v>
      </c>
      <c r="E136" s="3">
        <v>9.683333</v>
      </c>
      <c r="F136" s="3">
        <v>-83.95</v>
      </c>
      <c r="G136" s="3">
        <v>7.0</v>
      </c>
      <c r="H136" s="3">
        <v>1.0</v>
      </c>
      <c r="I136" s="3" t="s">
        <v>112</v>
      </c>
      <c r="J136" s="3">
        <v>184.0</v>
      </c>
      <c r="K136" s="3">
        <v>186.0</v>
      </c>
      <c r="L136" s="3" t="s">
        <v>627</v>
      </c>
      <c r="M136" s="3">
        <v>1.0</v>
      </c>
      <c r="N136" s="3" t="s">
        <v>121</v>
      </c>
      <c r="O136" s="3" t="s">
        <v>2374</v>
      </c>
      <c r="P136" s="3" t="s">
        <v>2378</v>
      </c>
      <c r="Q136" s="3">
        <v>3.0</v>
      </c>
      <c r="R136" s="3">
        <v>458.0</v>
      </c>
      <c r="S136" s="3">
        <v>14.009489</v>
      </c>
      <c r="T136" s="3">
        <v>0.879717</v>
      </c>
      <c r="U136" s="3" t="s">
        <v>2376</v>
      </c>
      <c r="V136" s="3">
        <v>0.0</v>
      </c>
      <c r="W136" s="3">
        <v>2384.0</v>
      </c>
      <c r="X136" s="3">
        <v>8299.0</v>
      </c>
      <c r="Y136" s="3">
        <v>13.0</v>
      </c>
      <c r="Z136" s="3">
        <v>51.0</v>
      </c>
      <c r="AA136" s="3">
        <v>469.0</v>
      </c>
      <c r="AB136" s="3">
        <v>1211.0</v>
      </c>
      <c r="AC136" s="3">
        <v>2279.0</v>
      </c>
    </row>
    <row r="137">
      <c r="A137" s="3">
        <v>135.0</v>
      </c>
      <c r="B137" s="3" t="s">
        <v>2373</v>
      </c>
      <c r="C137" s="3">
        <v>60.0</v>
      </c>
      <c r="D137" s="3" t="s">
        <v>1878</v>
      </c>
      <c r="E137" s="3">
        <v>9.833333</v>
      </c>
      <c r="F137" s="3">
        <v>-84.0</v>
      </c>
      <c r="G137" s="3">
        <v>7.0</v>
      </c>
      <c r="H137" s="3">
        <v>1.0</v>
      </c>
      <c r="I137" s="3" t="s">
        <v>112</v>
      </c>
      <c r="J137" s="3">
        <v>184.0</v>
      </c>
      <c r="K137" s="3">
        <v>186.0</v>
      </c>
      <c r="L137" s="3" t="s">
        <v>627</v>
      </c>
      <c r="M137" s="3">
        <v>1.0</v>
      </c>
      <c r="N137" s="3" t="s">
        <v>121</v>
      </c>
      <c r="O137" s="3" t="s">
        <v>2374</v>
      </c>
      <c r="P137" s="3" t="s">
        <v>2378</v>
      </c>
      <c r="Q137" s="3">
        <v>3.0</v>
      </c>
      <c r="R137" s="3">
        <v>458.0</v>
      </c>
      <c r="S137" s="3">
        <v>14.009489</v>
      </c>
      <c r="T137" s="3">
        <v>0.879717</v>
      </c>
      <c r="U137" s="3" t="s">
        <v>2376</v>
      </c>
      <c r="V137" s="3">
        <v>0.0</v>
      </c>
      <c r="W137" s="3">
        <v>2289.0</v>
      </c>
      <c r="X137" s="3">
        <v>6580.0</v>
      </c>
      <c r="Y137" s="3">
        <v>22.0</v>
      </c>
      <c r="Z137" s="3">
        <v>134.0</v>
      </c>
      <c r="AA137" s="3">
        <v>370.0</v>
      </c>
      <c r="AB137" s="3">
        <v>927.0</v>
      </c>
      <c r="AC137" s="3">
        <v>1577.0</v>
      </c>
    </row>
    <row r="138">
      <c r="A138" s="3">
        <v>136.0</v>
      </c>
      <c r="B138" s="3" t="s">
        <v>2373</v>
      </c>
      <c r="C138" s="3">
        <v>61.0</v>
      </c>
      <c r="D138" s="3" t="s">
        <v>1880</v>
      </c>
      <c r="E138" s="3">
        <v>9.683333</v>
      </c>
      <c r="F138" s="3">
        <v>-83.95</v>
      </c>
      <c r="G138" s="3">
        <v>7.0</v>
      </c>
      <c r="H138" s="3">
        <v>1.0</v>
      </c>
      <c r="I138" s="3" t="s">
        <v>112</v>
      </c>
      <c r="J138" s="3">
        <v>184.0</v>
      </c>
      <c r="K138" s="3">
        <v>186.0</v>
      </c>
      <c r="L138" s="3" t="s">
        <v>627</v>
      </c>
      <c r="M138" s="3">
        <v>1.0</v>
      </c>
      <c r="N138" s="3" t="s">
        <v>121</v>
      </c>
      <c r="O138" s="3" t="s">
        <v>2374</v>
      </c>
      <c r="P138" s="3" t="s">
        <v>2378</v>
      </c>
      <c r="Q138" s="3">
        <v>3.0</v>
      </c>
      <c r="R138" s="3">
        <v>458.0</v>
      </c>
      <c r="S138" s="3">
        <v>14.009489</v>
      </c>
      <c r="T138" s="3">
        <v>0.879717</v>
      </c>
      <c r="U138" s="3" t="s">
        <v>2376</v>
      </c>
      <c r="V138" s="3">
        <v>0.0</v>
      </c>
      <c r="W138" s="3">
        <v>2384.0</v>
      </c>
      <c r="X138" s="3">
        <v>8299.0</v>
      </c>
      <c r="Y138" s="3">
        <v>13.0</v>
      </c>
      <c r="Z138" s="3">
        <v>51.0</v>
      </c>
      <c r="AA138" s="3">
        <v>469.0</v>
      </c>
      <c r="AB138" s="3">
        <v>1211.0</v>
      </c>
      <c r="AC138" s="3">
        <v>2279.0</v>
      </c>
    </row>
    <row r="139">
      <c r="A139" s="3">
        <v>137.0</v>
      </c>
      <c r="B139" s="3" t="s">
        <v>2373</v>
      </c>
      <c r="C139" s="3">
        <v>80.0</v>
      </c>
      <c r="D139" s="3" t="s">
        <v>1643</v>
      </c>
      <c r="E139" s="3">
        <v>9.833333</v>
      </c>
      <c r="F139" s="3">
        <v>-84.0</v>
      </c>
      <c r="G139" s="3">
        <v>7.0</v>
      </c>
      <c r="H139" s="3">
        <v>1.0</v>
      </c>
      <c r="I139" s="3" t="s">
        <v>112</v>
      </c>
      <c r="J139" s="3">
        <v>184.0</v>
      </c>
      <c r="K139" s="3">
        <v>186.0</v>
      </c>
      <c r="L139" s="3" t="s">
        <v>627</v>
      </c>
      <c r="M139" s="3">
        <v>1.0</v>
      </c>
      <c r="N139" s="3" t="s">
        <v>121</v>
      </c>
      <c r="O139" s="3" t="s">
        <v>2374</v>
      </c>
      <c r="P139" s="3" t="s">
        <v>2378</v>
      </c>
      <c r="Q139" s="3">
        <v>3.0</v>
      </c>
      <c r="R139" s="3">
        <v>458.0</v>
      </c>
      <c r="S139" s="3">
        <v>14.009489</v>
      </c>
      <c r="T139" s="3">
        <v>0.879717</v>
      </c>
      <c r="U139" s="3" t="s">
        <v>2376</v>
      </c>
      <c r="V139" s="3">
        <v>0.0</v>
      </c>
      <c r="W139" s="3">
        <v>2289.0</v>
      </c>
      <c r="X139" s="3">
        <v>6580.0</v>
      </c>
      <c r="Y139" s="3">
        <v>22.0</v>
      </c>
      <c r="Z139" s="3">
        <v>134.0</v>
      </c>
      <c r="AA139" s="3">
        <v>370.0</v>
      </c>
      <c r="AB139" s="3">
        <v>927.0</v>
      </c>
      <c r="AC139" s="3">
        <v>1577.0</v>
      </c>
    </row>
    <row r="140">
      <c r="A140" s="3">
        <v>138.0</v>
      </c>
      <c r="B140" s="3" t="s">
        <v>2373</v>
      </c>
      <c r="C140" s="3">
        <v>81.0</v>
      </c>
      <c r="D140" s="3" t="s">
        <v>1645</v>
      </c>
      <c r="E140" s="3">
        <v>9.683333</v>
      </c>
      <c r="F140" s="3">
        <v>-83.95</v>
      </c>
      <c r="G140" s="3">
        <v>7.0</v>
      </c>
      <c r="H140" s="3">
        <v>1.0</v>
      </c>
      <c r="I140" s="3" t="s">
        <v>112</v>
      </c>
      <c r="J140" s="3">
        <v>184.0</v>
      </c>
      <c r="K140" s="3">
        <v>186.0</v>
      </c>
      <c r="L140" s="3" t="s">
        <v>627</v>
      </c>
      <c r="M140" s="3">
        <v>1.0</v>
      </c>
      <c r="N140" s="3" t="s">
        <v>121</v>
      </c>
      <c r="O140" s="3" t="s">
        <v>2374</v>
      </c>
      <c r="P140" s="3" t="s">
        <v>2378</v>
      </c>
      <c r="Q140" s="3">
        <v>3.0</v>
      </c>
      <c r="R140" s="3">
        <v>458.0</v>
      </c>
      <c r="S140" s="3">
        <v>14.009489</v>
      </c>
      <c r="T140" s="3">
        <v>0.879717</v>
      </c>
      <c r="U140" s="3" t="s">
        <v>2376</v>
      </c>
      <c r="V140" s="3">
        <v>0.0</v>
      </c>
      <c r="W140" s="3">
        <v>2384.0</v>
      </c>
      <c r="X140" s="3">
        <v>8299.0</v>
      </c>
      <c r="Y140" s="3">
        <v>13.0</v>
      </c>
      <c r="Z140" s="3">
        <v>51.0</v>
      </c>
      <c r="AA140" s="3">
        <v>469.0</v>
      </c>
      <c r="AB140" s="3">
        <v>1211.0</v>
      </c>
      <c r="AC140" s="3">
        <v>2279.0</v>
      </c>
    </row>
    <row r="141">
      <c r="A141" s="3">
        <v>139.0</v>
      </c>
      <c r="B141" s="3" t="s">
        <v>2373</v>
      </c>
      <c r="C141" s="3">
        <v>82.0</v>
      </c>
      <c r="D141" s="3" t="s">
        <v>1647</v>
      </c>
      <c r="E141" s="3">
        <v>9.683333</v>
      </c>
      <c r="F141" s="3">
        <v>-83.95</v>
      </c>
      <c r="G141" s="3">
        <v>7.0</v>
      </c>
      <c r="H141" s="3">
        <v>1.0</v>
      </c>
      <c r="I141" s="3" t="s">
        <v>112</v>
      </c>
      <c r="J141" s="3">
        <v>184.0</v>
      </c>
      <c r="K141" s="3">
        <v>186.0</v>
      </c>
      <c r="L141" s="3" t="s">
        <v>627</v>
      </c>
      <c r="M141" s="3">
        <v>1.0</v>
      </c>
      <c r="N141" s="3" t="s">
        <v>121</v>
      </c>
      <c r="O141" s="3" t="s">
        <v>2374</v>
      </c>
      <c r="P141" s="3" t="s">
        <v>2378</v>
      </c>
      <c r="Q141" s="3">
        <v>3.0</v>
      </c>
      <c r="R141" s="3">
        <v>458.0</v>
      </c>
      <c r="S141" s="3">
        <v>14.009489</v>
      </c>
      <c r="T141" s="3">
        <v>0.879717</v>
      </c>
      <c r="U141" s="3" t="s">
        <v>2376</v>
      </c>
      <c r="V141" s="3">
        <v>0.0</v>
      </c>
      <c r="W141" s="3">
        <v>2384.0</v>
      </c>
      <c r="X141" s="3">
        <v>8299.0</v>
      </c>
      <c r="Y141" s="3">
        <v>13.0</v>
      </c>
      <c r="Z141" s="3">
        <v>51.0</v>
      </c>
      <c r="AA141" s="3">
        <v>469.0</v>
      </c>
      <c r="AB141" s="3">
        <v>1211.0</v>
      </c>
      <c r="AC141" s="3">
        <v>2279.0</v>
      </c>
    </row>
    <row r="142">
      <c r="A142" s="3">
        <v>140.0</v>
      </c>
      <c r="B142" s="3" t="s">
        <v>2373</v>
      </c>
      <c r="C142" s="3">
        <v>568.0</v>
      </c>
      <c r="D142" s="3" t="s">
        <v>2044</v>
      </c>
      <c r="E142" s="3">
        <v>10.730842</v>
      </c>
      <c r="F142" s="3">
        <v>-85.264185</v>
      </c>
      <c r="G142" s="3">
        <v>7.0</v>
      </c>
      <c r="H142" s="3">
        <v>1.0</v>
      </c>
      <c r="I142" s="3" t="s">
        <v>112</v>
      </c>
      <c r="J142" s="3">
        <v>184.0</v>
      </c>
      <c r="K142" s="3">
        <v>186.0</v>
      </c>
      <c r="L142" s="3" t="s">
        <v>627</v>
      </c>
      <c r="M142" s="3">
        <v>1.0</v>
      </c>
      <c r="N142" s="3" t="s">
        <v>121</v>
      </c>
      <c r="O142" s="3" t="s">
        <v>2374</v>
      </c>
      <c r="P142" s="3" t="s">
        <v>2378</v>
      </c>
      <c r="Q142" s="3">
        <v>3.0</v>
      </c>
      <c r="R142" s="3">
        <v>458.0</v>
      </c>
      <c r="S142" s="3">
        <v>14.009489</v>
      </c>
      <c r="T142" s="3">
        <v>0.879717</v>
      </c>
      <c r="U142" s="3" t="s">
        <v>2376</v>
      </c>
      <c r="V142" s="3">
        <v>0.0</v>
      </c>
      <c r="W142" s="3">
        <v>2220.0</v>
      </c>
      <c r="X142" s="3">
        <v>6837.0</v>
      </c>
      <c r="Y142" s="3">
        <v>22.0</v>
      </c>
      <c r="Z142" s="3">
        <v>105.0</v>
      </c>
      <c r="AA142" s="3">
        <v>364.0</v>
      </c>
      <c r="AB142" s="3">
        <v>951.0</v>
      </c>
      <c r="AC142" s="3">
        <v>690.0</v>
      </c>
    </row>
    <row r="143">
      <c r="A143" s="3">
        <v>141.0</v>
      </c>
      <c r="B143" s="3" t="s">
        <v>2373</v>
      </c>
      <c r="C143" s="3">
        <v>569.0</v>
      </c>
      <c r="D143" s="3" t="s">
        <v>2045</v>
      </c>
      <c r="E143" s="3">
        <v>10.730842</v>
      </c>
      <c r="F143" s="3">
        <v>-85.264185</v>
      </c>
      <c r="G143" s="3">
        <v>7.0</v>
      </c>
      <c r="H143" s="3">
        <v>1.0</v>
      </c>
      <c r="I143" s="3" t="s">
        <v>112</v>
      </c>
      <c r="J143" s="3">
        <v>184.0</v>
      </c>
      <c r="K143" s="3">
        <v>186.0</v>
      </c>
      <c r="L143" s="3" t="s">
        <v>627</v>
      </c>
      <c r="M143" s="3">
        <v>1.0</v>
      </c>
      <c r="N143" s="3" t="s">
        <v>121</v>
      </c>
      <c r="O143" s="3" t="s">
        <v>2374</v>
      </c>
      <c r="P143" s="3" t="s">
        <v>2378</v>
      </c>
      <c r="Q143" s="3">
        <v>3.0</v>
      </c>
      <c r="R143" s="3">
        <v>458.0</v>
      </c>
      <c r="S143" s="3">
        <v>14.009489</v>
      </c>
      <c r="T143" s="3">
        <v>0.879717</v>
      </c>
      <c r="U143" s="3" t="s">
        <v>2376</v>
      </c>
      <c r="V143" s="3">
        <v>0.0</v>
      </c>
      <c r="W143" s="3">
        <v>2220.0</v>
      </c>
      <c r="X143" s="3">
        <v>6837.0</v>
      </c>
      <c r="Y143" s="3">
        <v>22.0</v>
      </c>
      <c r="Z143" s="3">
        <v>105.0</v>
      </c>
      <c r="AA143" s="3">
        <v>364.0</v>
      </c>
      <c r="AB143" s="3">
        <v>951.0</v>
      </c>
      <c r="AC143" s="3">
        <v>690.0</v>
      </c>
    </row>
    <row r="144">
      <c r="A144" s="3">
        <v>142.0</v>
      </c>
      <c r="B144" s="3" t="s">
        <v>2373</v>
      </c>
      <c r="C144" s="3">
        <v>570.0</v>
      </c>
      <c r="D144" s="3" t="s">
        <v>622</v>
      </c>
      <c r="E144" s="3">
        <v>10.730842</v>
      </c>
      <c r="F144" s="3">
        <v>-85.264185</v>
      </c>
      <c r="G144" s="3">
        <v>7.0</v>
      </c>
      <c r="H144" s="3">
        <v>1.0</v>
      </c>
      <c r="I144" s="3" t="s">
        <v>112</v>
      </c>
      <c r="J144" s="3">
        <v>184.0</v>
      </c>
      <c r="K144" s="3">
        <v>186.0</v>
      </c>
      <c r="L144" s="3" t="s">
        <v>627</v>
      </c>
      <c r="M144" s="3">
        <v>1.0</v>
      </c>
      <c r="N144" s="3" t="s">
        <v>121</v>
      </c>
      <c r="O144" s="3" t="s">
        <v>2374</v>
      </c>
      <c r="P144" s="3" t="s">
        <v>2378</v>
      </c>
      <c r="Q144" s="3">
        <v>3.0</v>
      </c>
      <c r="R144" s="3">
        <v>458.0</v>
      </c>
      <c r="S144" s="3">
        <v>14.009489</v>
      </c>
      <c r="T144" s="3">
        <v>0.879717</v>
      </c>
      <c r="U144" s="3" t="s">
        <v>2376</v>
      </c>
      <c r="V144" s="3">
        <v>0.0</v>
      </c>
      <c r="W144" s="3">
        <v>2220.0</v>
      </c>
      <c r="X144" s="3">
        <v>6837.0</v>
      </c>
      <c r="Y144" s="3">
        <v>22.0</v>
      </c>
      <c r="Z144" s="3">
        <v>105.0</v>
      </c>
      <c r="AA144" s="3">
        <v>364.0</v>
      </c>
      <c r="AB144" s="3">
        <v>951.0</v>
      </c>
      <c r="AC144" s="3">
        <v>690.0</v>
      </c>
    </row>
    <row r="145">
      <c r="A145" s="3">
        <v>143.0</v>
      </c>
      <c r="B145" s="3" t="s">
        <v>2373</v>
      </c>
      <c r="C145" s="3">
        <v>571.0</v>
      </c>
      <c r="D145" s="3" t="s">
        <v>639</v>
      </c>
      <c r="E145" s="3">
        <v>10.730842</v>
      </c>
      <c r="F145" s="3">
        <v>-85.264185</v>
      </c>
      <c r="G145" s="3">
        <v>7.0</v>
      </c>
      <c r="H145" s="3">
        <v>1.0</v>
      </c>
      <c r="I145" s="3" t="s">
        <v>112</v>
      </c>
      <c r="J145" s="3">
        <v>184.0</v>
      </c>
      <c r="K145" s="3">
        <v>186.0</v>
      </c>
      <c r="L145" s="3" t="s">
        <v>627</v>
      </c>
      <c r="M145" s="3">
        <v>1.0</v>
      </c>
      <c r="N145" s="3" t="s">
        <v>121</v>
      </c>
      <c r="O145" s="3" t="s">
        <v>2374</v>
      </c>
      <c r="P145" s="3" t="s">
        <v>2378</v>
      </c>
      <c r="Q145" s="3">
        <v>3.0</v>
      </c>
      <c r="R145" s="3">
        <v>458.0</v>
      </c>
      <c r="S145" s="3">
        <v>14.009489</v>
      </c>
      <c r="T145" s="3">
        <v>0.879717</v>
      </c>
      <c r="U145" s="3" t="s">
        <v>2376</v>
      </c>
      <c r="V145" s="3">
        <v>0.0</v>
      </c>
      <c r="W145" s="3">
        <v>2220.0</v>
      </c>
      <c r="X145" s="3">
        <v>6837.0</v>
      </c>
      <c r="Y145" s="3">
        <v>22.0</v>
      </c>
      <c r="Z145" s="3">
        <v>105.0</v>
      </c>
      <c r="AA145" s="3">
        <v>364.0</v>
      </c>
      <c r="AB145" s="3">
        <v>951.0</v>
      </c>
      <c r="AC145" s="3">
        <v>690.0</v>
      </c>
    </row>
    <row r="146">
      <c r="A146" s="3">
        <v>144.0</v>
      </c>
      <c r="B146" s="3" t="s">
        <v>2373</v>
      </c>
      <c r="C146" s="3">
        <v>572.0</v>
      </c>
      <c r="D146" s="3" t="s">
        <v>2048</v>
      </c>
      <c r="E146" s="3">
        <v>10.730842</v>
      </c>
      <c r="F146" s="3">
        <v>-85.264185</v>
      </c>
      <c r="G146" s="3">
        <v>7.0</v>
      </c>
      <c r="H146" s="3">
        <v>1.0</v>
      </c>
      <c r="I146" s="3" t="s">
        <v>112</v>
      </c>
      <c r="J146" s="3">
        <v>184.0</v>
      </c>
      <c r="K146" s="3">
        <v>186.0</v>
      </c>
      <c r="L146" s="3" t="s">
        <v>627</v>
      </c>
      <c r="M146" s="3">
        <v>1.0</v>
      </c>
      <c r="N146" s="3" t="s">
        <v>121</v>
      </c>
      <c r="O146" s="3" t="s">
        <v>2374</v>
      </c>
      <c r="P146" s="3" t="s">
        <v>2378</v>
      </c>
      <c r="Q146" s="3">
        <v>3.0</v>
      </c>
      <c r="R146" s="3">
        <v>458.0</v>
      </c>
      <c r="S146" s="3">
        <v>14.009489</v>
      </c>
      <c r="T146" s="3">
        <v>0.879717</v>
      </c>
      <c r="U146" s="3" t="s">
        <v>2376</v>
      </c>
      <c r="V146" s="3">
        <v>0.0</v>
      </c>
      <c r="W146" s="3">
        <v>2220.0</v>
      </c>
      <c r="X146" s="3">
        <v>6837.0</v>
      </c>
      <c r="Y146" s="3">
        <v>22.0</v>
      </c>
      <c r="Z146" s="3">
        <v>105.0</v>
      </c>
      <c r="AA146" s="3">
        <v>364.0</v>
      </c>
      <c r="AB146" s="3">
        <v>951.0</v>
      </c>
      <c r="AC146" s="3">
        <v>690.0</v>
      </c>
    </row>
    <row r="147">
      <c r="A147" s="3">
        <v>145.0</v>
      </c>
      <c r="B147" s="3" t="s">
        <v>2373</v>
      </c>
      <c r="C147" s="3">
        <v>573.0</v>
      </c>
      <c r="D147" s="78" t="s">
        <v>642</v>
      </c>
      <c r="E147" s="3">
        <v>10.730842</v>
      </c>
      <c r="F147" s="3">
        <v>-85.264185</v>
      </c>
      <c r="G147" s="3">
        <v>7.0</v>
      </c>
      <c r="H147" s="3">
        <v>1.0</v>
      </c>
      <c r="I147" s="3" t="s">
        <v>112</v>
      </c>
      <c r="J147" s="3">
        <v>184.0</v>
      </c>
      <c r="K147" s="3">
        <v>186.0</v>
      </c>
      <c r="L147" s="3" t="s">
        <v>627</v>
      </c>
      <c r="M147" s="3">
        <v>1.0</v>
      </c>
      <c r="N147" s="3" t="s">
        <v>121</v>
      </c>
      <c r="O147" s="3" t="s">
        <v>2374</v>
      </c>
      <c r="P147" s="3" t="s">
        <v>2378</v>
      </c>
      <c r="Q147" s="3">
        <v>3.0</v>
      </c>
      <c r="R147" s="3">
        <v>458.0</v>
      </c>
      <c r="S147" s="3">
        <v>14.009489</v>
      </c>
      <c r="T147" s="3">
        <v>0.879717</v>
      </c>
      <c r="U147" s="3" t="s">
        <v>2376</v>
      </c>
      <c r="V147" s="3">
        <v>0.0</v>
      </c>
      <c r="W147" s="3">
        <v>2220.0</v>
      </c>
      <c r="X147" s="3">
        <v>6837.0</v>
      </c>
      <c r="Y147" s="3">
        <v>22.0</v>
      </c>
      <c r="Z147" s="3">
        <v>105.0</v>
      </c>
      <c r="AA147" s="3">
        <v>364.0</v>
      </c>
      <c r="AB147" s="3">
        <v>951.0</v>
      </c>
      <c r="AC147" s="3">
        <v>690.0</v>
      </c>
    </row>
    <row r="148">
      <c r="A148" s="3">
        <v>146.0</v>
      </c>
      <c r="B148" s="3" t="s">
        <v>2373</v>
      </c>
      <c r="C148" s="3">
        <v>574.0</v>
      </c>
      <c r="D148" s="3" t="s">
        <v>644</v>
      </c>
      <c r="E148" s="3">
        <v>10.730842</v>
      </c>
      <c r="F148" s="3">
        <v>-85.264185</v>
      </c>
      <c r="G148" s="3">
        <v>7.0</v>
      </c>
      <c r="H148" s="3">
        <v>1.0</v>
      </c>
      <c r="I148" s="3" t="s">
        <v>112</v>
      </c>
      <c r="J148" s="3">
        <v>184.0</v>
      </c>
      <c r="K148" s="3">
        <v>186.0</v>
      </c>
      <c r="L148" s="3" t="s">
        <v>627</v>
      </c>
      <c r="M148" s="3">
        <v>1.0</v>
      </c>
      <c r="N148" s="3" t="s">
        <v>121</v>
      </c>
      <c r="O148" s="3" t="s">
        <v>2374</v>
      </c>
      <c r="P148" s="3" t="s">
        <v>2378</v>
      </c>
      <c r="Q148" s="3">
        <v>3.0</v>
      </c>
      <c r="R148" s="3">
        <v>458.0</v>
      </c>
      <c r="S148" s="3">
        <v>14.009489</v>
      </c>
      <c r="T148" s="3">
        <v>0.879717</v>
      </c>
      <c r="U148" s="3" t="s">
        <v>2376</v>
      </c>
      <c r="V148" s="3">
        <v>0.0</v>
      </c>
      <c r="W148" s="3">
        <v>2220.0</v>
      </c>
      <c r="X148" s="3">
        <v>6837.0</v>
      </c>
      <c r="Y148" s="3">
        <v>22.0</v>
      </c>
      <c r="Z148" s="3">
        <v>105.0</v>
      </c>
      <c r="AA148" s="3">
        <v>364.0</v>
      </c>
      <c r="AB148" s="3">
        <v>951.0</v>
      </c>
      <c r="AC148" s="3">
        <v>690.0</v>
      </c>
    </row>
    <row r="149">
      <c r="A149" s="3">
        <v>147.0</v>
      </c>
      <c r="B149" s="3" t="s">
        <v>2373</v>
      </c>
      <c r="C149" s="3">
        <v>64.0</v>
      </c>
      <c r="D149" s="3" t="s">
        <v>1955</v>
      </c>
      <c r="E149" s="3">
        <v>9.994167</v>
      </c>
      <c r="F149" s="3">
        <v>-83.613056</v>
      </c>
      <c r="G149" s="3">
        <v>8.0</v>
      </c>
      <c r="H149" s="3">
        <v>1.0</v>
      </c>
      <c r="I149" s="3" t="s">
        <v>112</v>
      </c>
      <c r="J149" s="3">
        <v>341.0</v>
      </c>
      <c r="K149" s="3">
        <v>345.0</v>
      </c>
      <c r="L149" s="3" t="s">
        <v>120</v>
      </c>
      <c r="M149" s="3">
        <v>1.0</v>
      </c>
      <c r="N149" s="3" t="s">
        <v>121</v>
      </c>
      <c r="O149" s="3" t="s">
        <v>2374</v>
      </c>
      <c r="P149" s="3" t="s">
        <v>2378</v>
      </c>
      <c r="Q149" s="3">
        <v>2.0</v>
      </c>
      <c r="R149" s="3">
        <v>470.0</v>
      </c>
      <c r="S149" s="3">
        <v>51.187393</v>
      </c>
      <c r="T149" s="3">
        <v>4.81635</v>
      </c>
      <c r="U149" s="3" t="s">
        <v>2376</v>
      </c>
      <c r="V149" s="3">
        <v>0.0</v>
      </c>
      <c r="W149" s="3">
        <v>3518.0</v>
      </c>
      <c r="X149" s="3">
        <v>3848.0</v>
      </c>
      <c r="Y149" s="3">
        <v>76.0</v>
      </c>
      <c r="Z149" s="3">
        <v>368.0</v>
      </c>
      <c r="AA149" s="3">
        <v>412.0</v>
      </c>
      <c r="AB149" s="3">
        <v>1148.0</v>
      </c>
      <c r="AC149" s="3">
        <v>490.0</v>
      </c>
    </row>
    <row r="150">
      <c r="A150" s="3">
        <v>148.0</v>
      </c>
      <c r="B150" s="3" t="s">
        <v>2373</v>
      </c>
      <c r="C150" s="3">
        <v>65.0</v>
      </c>
      <c r="D150" s="3" t="s">
        <v>1956</v>
      </c>
      <c r="E150" s="3">
        <v>9.994167</v>
      </c>
      <c r="F150" s="3">
        <v>-83.603056</v>
      </c>
      <c r="G150" s="3">
        <v>8.0</v>
      </c>
      <c r="H150" s="3">
        <v>1.0</v>
      </c>
      <c r="I150" s="3" t="s">
        <v>112</v>
      </c>
      <c r="J150" s="3">
        <v>341.0</v>
      </c>
      <c r="K150" s="3">
        <v>345.0</v>
      </c>
      <c r="L150" s="3" t="s">
        <v>120</v>
      </c>
      <c r="M150" s="3">
        <v>1.0</v>
      </c>
      <c r="N150" s="3" t="s">
        <v>121</v>
      </c>
      <c r="O150" s="3" t="s">
        <v>2374</v>
      </c>
      <c r="P150" s="3" t="s">
        <v>2378</v>
      </c>
      <c r="Q150" s="3">
        <v>2.0</v>
      </c>
      <c r="R150" s="3">
        <v>470.0</v>
      </c>
      <c r="S150" s="3">
        <v>51.187393</v>
      </c>
      <c r="T150" s="3">
        <v>4.81635</v>
      </c>
      <c r="U150" s="3" t="s">
        <v>2376</v>
      </c>
      <c r="V150" s="3">
        <v>0.0</v>
      </c>
      <c r="W150" s="3">
        <v>3589.0</v>
      </c>
      <c r="X150" s="3">
        <v>3547.0</v>
      </c>
      <c r="Y150" s="3">
        <v>79.0</v>
      </c>
      <c r="Z150" s="3">
        <v>440.0</v>
      </c>
      <c r="AA150" s="3">
        <v>443.0</v>
      </c>
      <c r="AB150" s="3">
        <v>1136.0</v>
      </c>
      <c r="AC150" s="3">
        <v>383.0</v>
      </c>
    </row>
    <row r="151">
      <c r="A151" s="3">
        <v>149.0</v>
      </c>
      <c r="B151" s="3" t="s">
        <v>2373</v>
      </c>
      <c r="C151" s="3">
        <v>66.0</v>
      </c>
      <c r="D151" s="3" t="s">
        <v>1958</v>
      </c>
      <c r="E151" s="3">
        <v>9.994167</v>
      </c>
      <c r="F151" s="3">
        <v>-83.613056</v>
      </c>
      <c r="G151" s="3">
        <v>8.0</v>
      </c>
      <c r="H151" s="3">
        <v>1.0</v>
      </c>
      <c r="I151" s="3" t="s">
        <v>112</v>
      </c>
      <c r="J151" s="3">
        <v>341.0</v>
      </c>
      <c r="K151" s="3">
        <v>345.0</v>
      </c>
      <c r="L151" s="3" t="s">
        <v>120</v>
      </c>
      <c r="M151" s="3">
        <v>1.0</v>
      </c>
      <c r="N151" s="3" t="s">
        <v>121</v>
      </c>
      <c r="O151" s="3" t="s">
        <v>2374</v>
      </c>
      <c r="P151" s="3" t="s">
        <v>2378</v>
      </c>
      <c r="Q151" s="3">
        <v>2.0</v>
      </c>
      <c r="R151" s="3">
        <v>470.0</v>
      </c>
      <c r="S151" s="3">
        <v>51.187393</v>
      </c>
      <c r="T151" s="3">
        <v>4.81635</v>
      </c>
      <c r="U151" s="3" t="s">
        <v>2376</v>
      </c>
      <c r="V151" s="3">
        <v>0.0</v>
      </c>
      <c r="W151" s="3">
        <v>3518.0</v>
      </c>
      <c r="X151" s="3">
        <v>3848.0</v>
      </c>
      <c r="Y151" s="3">
        <v>76.0</v>
      </c>
      <c r="Z151" s="3">
        <v>368.0</v>
      </c>
      <c r="AA151" s="3">
        <v>412.0</v>
      </c>
      <c r="AB151" s="3">
        <v>1148.0</v>
      </c>
      <c r="AC151" s="3">
        <v>490.0</v>
      </c>
    </row>
    <row r="152">
      <c r="A152" s="3">
        <v>150.0</v>
      </c>
      <c r="B152" s="3" t="s">
        <v>2373</v>
      </c>
      <c r="C152" s="3">
        <v>67.0</v>
      </c>
      <c r="D152" s="3" t="s">
        <v>423</v>
      </c>
      <c r="E152" s="3">
        <v>9.994167</v>
      </c>
      <c r="F152" s="3">
        <v>-83.613056</v>
      </c>
      <c r="G152" s="3">
        <v>8.0</v>
      </c>
      <c r="H152" s="3">
        <v>1.0</v>
      </c>
      <c r="I152" s="3" t="s">
        <v>112</v>
      </c>
      <c r="J152" s="3">
        <v>341.0</v>
      </c>
      <c r="K152" s="3">
        <v>345.0</v>
      </c>
      <c r="L152" s="3" t="s">
        <v>120</v>
      </c>
      <c r="M152" s="3">
        <v>1.0</v>
      </c>
      <c r="N152" s="3" t="s">
        <v>121</v>
      </c>
      <c r="O152" s="3" t="s">
        <v>2374</v>
      </c>
      <c r="P152" s="3" t="s">
        <v>2378</v>
      </c>
      <c r="Q152" s="3">
        <v>2.0</v>
      </c>
      <c r="R152" s="3">
        <v>470.0</v>
      </c>
      <c r="S152" s="3">
        <v>51.187393</v>
      </c>
      <c r="T152" s="3">
        <v>4.81635</v>
      </c>
      <c r="U152" s="3" t="s">
        <v>2376</v>
      </c>
      <c r="V152" s="3">
        <v>0.0</v>
      </c>
      <c r="W152" s="3">
        <v>3518.0</v>
      </c>
      <c r="X152" s="3">
        <v>3848.0</v>
      </c>
      <c r="Y152" s="3">
        <v>76.0</v>
      </c>
      <c r="Z152" s="3">
        <v>368.0</v>
      </c>
      <c r="AA152" s="3">
        <v>412.0</v>
      </c>
      <c r="AB152" s="3">
        <v>1148.0</v>
      </c>
      <c r="AC152" s="3">
        <v>490.0</v>
      </c>
    </row>
    <row r="153">
      <c r="A153" s="3">
        <v>151.0</v>
      </c>
      <c r="B153" s="3" t="s">
        <v>2373</v>
      </c>
      <c r="C153" s="3">
        <v>68.0</v>
      </c>
      <c r="D153" s="3" t="s">
        <v>426</v>
      </c>
      <c r="E153" s="3">
        <v>9.994167</v>
      </c>
      <c r="F153" s="3">
        <v>-83.603056</v>
      </c>
      <c r="G153" s="3">
        <v>8.0</v>
      </c>
      <c r="H153" s="3">
        <v>1.0</v>
      </c>
      <c r="I153" s="3" t="s">
        <v>112</v>
      </c>
      <c r="J153" s="3">
        <v>341.0</v>
      </c>
      <c r="K153" s="3">
        <v>345.0</v>
      </c>
      <c r="L153" s="3" t="s">
        <v>120</v>
      </c>
      <c r="M153" s="3">
        <v>1.0</v>
      </c>
      <c r="N153" s="3" t="s">
        <v>121</v>
      </c>
      <c r="O153" s="3" t="s">
        <v>2374</v>
      </c>
      <c r="P153" s="3" t="s">
        <v>2378</v>
      </c>
      <c r="Q153" s="3">
        <v>2.0</v>
      </c>
      <c r="R153" s="3">
        <v>470.0</v>
      </c>
      <c r="S153" s="3">
        <v>51.187393</v>
      </c>
      <c r="T153" s="3">
        <v>4.81635</v>
      </c>
      <c r="U153" s="3" t="s">
        <v>2376</v>
      </c>
      <c r="V153" s="3">
        <v>0.0</v>
      </c>
      <c r="W153" s="3">
        <v>3589.0</v>
      </c>
      <c r="X153" s="3">
        <v>3547.0</v>
      </c>
      <c r="Y153" s="3">
        <v>79.0</v>
      </c>
      <c r="Z153" s="3">
        <v>440.0</v>
      </c>
      <c r="AA153" s="3">
        <v>443.0</v>
      </c>
      <c r="AB153" s="3">
        <v>1136.0</v>
      </c>
      <c r="AC153" s="3">
        <v>383.0</v>
      </c>
    </row>
    <row r="154">
      <c r="A154" s="3">
        <v>152.0</v>
      </c>
      <c r="B154" s="3" t="s">
        <v>2373</v>
      </c>
      <c r="C154" s="3">
        <v>69.0</v>
      </c>
      <c r="D154" s="78" t="s">
        <v>1960</v>
      </c>
      <c r="E154" s="3">
        <v>9.994167</v>
      </c>
      <c r="F154" s="3">
        <v>-83.613056</v>
      </c>
      <c r="G154" s="3">
        <v>8.0</v>
      </c>
      <c r="H154" s="3">
        <v>1.0</v>
      </c>
      <c r="I154" s="3" t="s">
        <v>112</v>
      </c>
      <c r="J154" s="3">
        <v>341.0</v>
      </c>
      <c r="K154" s="3">
        <v>345.0</v>
      </c>
      <c r="L154" s="3" t="s">
        <v>120</v>
      </c>
      <c r="M154" s="3">
        <v>1.0</v>
      </c>
      <c r="N154" s="3" t="s">
        <v>121</v>
      </c>
      <c r="O154" s="3" t="s">
        <v>2374</v>
      </c>
      <c r="P154" s="3" t="s">
        <v>2378</v>
      </c>
      <c r="Q154" s="3">
        <v>2.0</v>
      </c>
      <c r="R154" s="3">
        <v>470.0</v>
      </c>
      <c r="S154" s="3">
        <v>51.187393</v>
      </c>
      <c r="T154" s="3">
        <v>4.81635</v>
      </c>
      <c r="U154" s="3" t="s">
        <v>2376</v>
      </c>
      <c r="V154" s="3">
        <v>0.0</v>
      </c>
      <c r="W154" s="3">
        <v>3518.0</v>
      </c>
      <c r="X154" s="3">
        <v>3848.0</v>
      </c>
      <c r="Y154" s="3">
        <v>76.0</v>
      </c>
      <c r="Z154" s="3">
        <v>368.0</v>
      </c>
      <c r="AA154" s="3">
        <v>412.0</v>
      </c>
      <c r="AB154" s="3">
        <v>1148.0</v>
      </c>
      <c r="AC154" s="3">
        <v>490.0</v>
      </c>
    </row>
    <row r="155">
      <c r="A155" s="3">
        <v>153.0</v>
      </c>
      <c r="B155" s="3" t="s">
        <v>2373</v>
      </c>
      <c r="C155" s="3">
        <v>70.0</v>
      </c>
      <c r="D155" s="3" t="s">
        <v>1961</v>
      </c>
      <c r="E155" s="3">
        <v>9.994167</v>
      </c>
      <c r="F155" s="3">
        <v>-83.603056</v>
      </c>
      <c r="G155" s="3">
        <v>8.0</v>
      </c>
      <c r="H155" s="3">
        <v>1.0</v>
      </c>
      <c r="I155" s="3" t="s">
        <v>112</v>
      </c>
      <c r="J155" s="3">
        <v>341.0</v>
      </c>
      <c r="K155" s="3">
        <v>345.0</v>
      </c>
      <c r="L155" s="3" t="s">
        <v>120</v>
      </c>
      <c r="M155" s="3">
        <v>1.0</v>
      </c>
      <c r="N155" s="3" t="s">
        <v>121</v>
      </c>
      <c r="O155" s="3" t="s">
        <v>2374</v>
      </c>
      <c r="P155" s="3" t="s">
        <v>2378</v>
      </c>
      <c r="Q155" s="3">
        <v>2.0</v>
      </c>
      <c r="R155" s="3">
        <v>470.0</v>
      </c>
      <c r="S155" s="3">
        <v>51.187393</v>
      </c>
      <c r="T155" s="3">
        <v>4.81635</v>
      </c>
      <c r="U155" s="3" t="s">
        <v>2376</v>
      </c>
      <c r="V155" s="3">
        <v>0.0</v>
      </c>
      <c r="W155" s="3">
        <v>3589.0</v>
      </c>
      <c r="X155" s="3">
        <v>3547.0</v>
      </c>
      <c r="Y155" s="3">
        <v>79.0</v>
      </c>
      <c r="Z155" s="3">
        <v>440.0</v>
      </c>
      <c r="AA155" s="3">
        <v>443.0</v>
      </c>
      <c r="AB155" s="3">
        <v>1136.0</v>
      </c>
      <c r="AC155" s="3">
        <v>383.0</v>
      </c>
    </row>
    <row r="156">
      <c r="A156" s="3">
        <v>154.0</v>
      </c>
      <c r="B156" s="3" t="s">
        <v>2373</v>
      </c>
      <c r="C156" s="3">
        <v>71.0</v>
      </c>
      <c r="D156" s="3" t="s">
        <v>1962</v>
      </c>
      <c r="E156" s="3">
        <v>9.994167</v>
      </c>
      <c r="F156" s="3">
        <v>-83.613056</v>
      </c>
      <c r="G156" s="3">
        <v>8.0</v>
      </c>
      <c r="H156" s="3">
        <v>1.0</v>
      </c>
      <c r="I156" s="3" t="s">
        <v>112</v>
      </c>
      <c r="J156" s="3">
        <v>341.0</v>
      </c>
      <c r="K156" s="3">
        <v>345.0</v>
      </c>
      <c r="L156" s="3" t="s">
        <v>120</v>
      </c>
      <c r="M156" s="3">
        <v>1.0</v>
      </c>
      <c r="N156" s="3" t="s">
        <v>121</v>
      </c>
      <c r="O156" s="3" t="s">
        <v>2374</v>
      </c>
      <c r="P156" s="3" t="s">
        <v>2378</v>
      </c>
      <c r="Q156" s="3">
        <v>2.0</v>
      </c>
      <c r="R156" s="3">
        <v>470.0</v>
      </c>
      <c r="S156" s="3">
        <v>51.187393</v>
      </c>
      <c r="T156" s="3">
        <v>4.81635</v>
      </c>
      <c r="U156" s="3" t="s">
        <v>2376</v>
      </c>
      <c r="V156" s="3">
        <v>0.0</v>
      </c>
      <c r="W156" s="3">
        <v>3518.0</v>
      </c>
      <c r="X156" s="3">
        <v>3848.0</v>
      </c>
      <c r="Y156" s="3">
        <v>76.0</v>
      </c>
      <c r="Z156" s="3">
        <v>368.0</v>
      </c>
      <c r="AA156" s="3">
        <v>412.0</v>
      </c>
      <c r="AB156" s="3">
        <v>1148.0</v>
      </c>
      <c r="AC156" s="3">
        <v>490.0</v>
      </c>
    </row>
    <row r="157">
      <c r="A157" s="3">
        <v>155.0</v>
      </c>
      <c r="B157" s="3" t="s">
        <v>2373</v>
      </c>
      <c r="C157" s="3">
        <v>72.0</v>
      </c>
      <c r="D157" s="3" t="s">
        <v>1963</v>
      </c>
      <c r="E157" s="3">
        <v>9.994167</v>
      </c>
      <c r="F157" s="3">
        <v>-83.603056</v>
      </c>
      <c r="G157" s="3">
        <v>8.0</v>
      </c>
      <c r="H157" s="3">
        <v>1.0</v>
      </c>
      <c r="I157" s="3" t="s">
        <v>112</v>
      </c>
      <c r="J157" s="3">
        <v>341.0</v>
      </c>
      <c r="K157" s="3">
        <v>345.0</v>
      </c>
      <c r="L157" s="3" t="s">
        <v>120</v>
      </c>
      <c r="M157" s="3">
        <v>1.0</v>
      </c>
      <c r="N157" s="3" t="s">
        <v>121</v>
      </c>
      <c r="O157" s="3" t="s">
        <v>2374</v>
      </c>
      <c r="P157" s="3" t="s">
        <v>2378</v>
      </c>
      <c r="Q157" s="3">
        <v>2.0</v>
      </c>
      <c r="R157" s="3">
        <v>470.0</v>
      </c>
      <c r="S157" s="3">
        <v>51.187393</v>
      </c>
      <c r="T157" s="3">
        <v>4.81635</v>
      </c>
      <c r="U157" s="3" t="s">
        <v>2376</v>
      </c>
      <c r="V157" s="3">
        <v>0.0</v>
      </c>
      <c r="W157" s="3">
        <v>3589.0</v>
      </c>
      <c r="X157" s="3">
        <v>3547.0</v>
      </c>
      <c r="Y157" s="3">
        <v>79.0</v>
      </c>
      <c r="Z157" s="3">
        <v>440.0</v>
      </c>
      <c r="AA157" s="3">
        <v>443.0</v>
      </c>
      <c r="AB157" s="3">
        <v>1136.0</v>
      </c>
      <c r="AC157" s="3">
        <v>383.0</v>
      </c>
    </row>
    <row r="158">
      <c r="A158" s="3">
        <v>156.0</v>
      </c>
      <c r="B158" s="3" t="s">
        <v>2373</v>
      </c>
      <c r="C158" s="3">
        <v>92.0</v>
      </c>
      <c r="D158" s="3" t="s">
        <v>1367</v>
      </c>
      <c r="E158" s="3">
        <v>10.433333</v>
      </c>
      <c r="F158" s="3">
        <v>-84.0</v>
      </c>
      <c r="G158" s="3">
        <v>8.0</v>
      </c>
      <c r="H158" s="3">
        <v>1.0</v>
      </c>
      <c r="I158" s="3" t="s">
        <v>112</v>
      </c>
      <c r="J158" s="3">
        <v>341.0</v>
      </c>
      <c r="K158" s="3">
        <v>345.0</v>
      </c>
      <c r="L158" s="3" t="s">
        <v>120</v>
      </c>
      <c r="M158" s="3">
        <v>1.0</v>
      </c>
      <c r="N158" s="3" t="s">
        <v>121</v>
      </c>
      <c r="O158" s="3" t="s">
        <v>2374</v>
      </c>
      <c r="P158" s="3" t="s">
        <v>2378</v>
      </c>
      <c r="Q158" s="3">
        <v>2.0</v>
      </c>
      <c r="R158" s="3">
        <v>470.0</v>
      </c>
      <c r="S158" s="3">
        <v>51.187393</v>
      </c>
      <c r="T158" s="3">
        <v>4.81635</v>
      </c>
      <c r="U158" s="3" t="s">
        <v>2376</v>
      </c>
      <c r="V158" s="3">
        <v>0.0</v>
      </c>
      <c r="W158" s="3">
        <v>3707.0</v>
      </c>
      <c r="X158" s="3">
        <v>4001.0</v>
      </c>
      <c r="Y158" s="3">
        <v>133.0</v>
      </c>
      <c r="Z158" s="3">
        <v>433.0</v>
      </c>
      <c r="AA158" s="3">
        <v>490.0</v>
      </c>
      <c r="AB158" s="3">
        <v>1276.0</v>
      </c>
      <c r="AC158" s="3">
        <v>51.0</v>
      </c>
    </row>
    <row r="159">
      <c r="A159" s="3">
        <v>157.0</v>
      </c>
      <c r="B159" s="3" t="s">
        <v>2373</v>
      </c>
      <c r="C159" s="3">
        <v>93.0</v>
      </c>
      <c r="D159" s="3" t="s">
        <v>1370</v>
      </c>
      <c r="E159" s="3">
        <v>10.433333</v>
      </c>
      <c r="F159" s="3">
        <v>-84.0</v>
      </c>
      <c r="G159" s="3">
        <v>8.0</v>
      </c>
      <c r="H159" s="3">
        <v>1.0</v>
      </c>
      <c r="I159" s="3" t="s">
        <v>112</v>
      </c>
      <c r="J159" s="3">
        <v>341.0</v>
      </c>
      <c r="K159" s="3">
        <v>345.0</v>
      </c>
      <c r="L159" s="3" t="s">
        <v>120</v>
      </c>
      <c r="M159" s="3">
        <v>1.0</v>
      </c>
      <c r="N159" s="3" t="s">
        <v>121</v>
      </c>
      <c r="O159" s="3" t="s">
        <v>2374</v>
      </c>
      <c r="P159" s="3" t="s">
        <v>2378</v>
      </c>
      <c r="Q159" s="3">
        <v>2.0</v>
      </c>
      <c r="R159" s="3">
        <v>470.0</v>
      </c>
      <c r="S159" s="3">
        <v>51.187393</v>
      </c>
      <c r="T159" s="3">
        <v>4.81635</v>
      </c>
      <c r="U159" s="3" t="s">
        <v>2376</v>
      </c>
      <c r="V159" s="3">
        <v>0.0</v>
      </c>
      <c r="W159" s="3">
        <v>3707.0</v>
      </c>
      <c r="X159" s="3">
        <v>4001.0</v>
      </c>
      <c r="Y159" s="3">
        <v>133.0</v>
      </c>
      <c r="Z159" s="3">
        <v>433.0</v>
      </c>
      <c r="AA159" s="3">
        <v>490.0</v>
      </c>
      <c r="AB159" s="3">
        <v>1276.0</v>
      </c>
      <c r="AC159" s="3">
        <v>51.0</v>
      </c>
    </row>
    <row r="160">
      <c r="A160" s="3">
        <v>158.0</v>
      </c>
      <c r="B160" s="3" t="s">
        <v>2373</v>
      </c>
      <c r="C160" s="3">
        <v>94.0</v>
      </c>
      <c r="D160" s="3" t="s">
        <v>1372</v>
      </c>
      <c r="E160" s="3">
        <v>10.433333</v>
      </c>
      <c r="F160" s="3">
        <v>-84.0</v>
      </c>
      <c r="G160" s="3">
        <v>8.0</v>
      </c>
      <c r="H160" s="3">
        <v>1.0</v>
      </c>
      <c r="I160" s="3" t="s">
        <v>112</v>
      </c>
      <c r="J160" s="3">
        <v>341.0</v>
      </c>
      <c r="K160" s="3">
        <v>345.0</v>
      </c>
      <c r="L160" s="3" t="s">
        <v>120</v>
      </c>
      <c r="M160" s="3">
        <v>1.0</v>
      </c>
      <c r="N160" s="3" t="s">
        <v>121</v>
      </c>
      <c r="O160" s="3" t="s">
        <v>2374</v>
      </c>
      <c r="P160" s="3" t="s">
        <v>2378</v>
      </c>
      <c r="Q160" s="3">
        <v>2.0</v>
      </c>
      <c r="R160" s="3">
        <v>470.0</v>
      </c>
      <c r="S160" s="3">
        <v>51.187393</v>
      </c>
      <c r="T160" s="3">
        <v>4.81635</v>
      </c>
      <c r="U160" s="3" t="s">
        <v>2376</v>
      </c>
      <c r="V160" s="3">
        <v>0.0</v>
      </c>
      <c r="W160" s="3">
        <v>3707.0</v>
      </c>
      <c r="X160" s="3">
        <v>4001.0</v>
      </c>
      <c r="Y160" s="3">
        <v>133.0</v>
      </c>
      <c r="Z160" s="3">
        <v>433.0</v>
      </c>
      <c r="AA160" s="3">
        <v>490.0</v>
      </c>
      <c r="AB160" s="3">
        <v>1276.0</v>
      </c>
      <c r="AC160" s="3">
        <v>51.0</v>
      </c>
    </row>
    <row r="161">
      <c r="A161" s="3">
        <v>159.0</v>
      </c>
      <c r="B161" s="3" t="s">
        <v>2373</v>
      </c>
      <c r="C161" s="3">
        <v>108.0</v>
      </c>
      <c r="D161" s="3" t="s">
        <v>105</v>
      </c>
      <c r="E161" s="3">
        <v>10.433333</v>
      </c>
      <c r="F161" s="3">
        <v>-83.983333</v>
      </c>
      <c r="G161" s="3">
        <v>8.0</v>
      </c>
      <c r="H161" s="3">
        <v>1.0</v>
      </c>
      <c r="I161" s="3" t="s">
        <v>112</v>
      </c>
      <c r="J161" s="3">
        <v>341.0</v>
      </c>
      <c r="K161" s="3">
        <v>345.0</v>
      </c>
      <c r="L161" s="3" t="s">
        <v>120</v>
      </c>
      <c r="M161" s="3">
        <v>1.0</v>
      </c>
      <c r="N161" s="3" t="s">
        <v>121</v>
      </c>
      <c r="O161" s="3" t="s">
        <v>2374</v>
      </c>
      <c r="P161" s="3" t="s">
        <v>2378</v>
      </c>
      <c r="Q161" s="3">
        <v>2.0</v>
      </c>
      <c r="R161" s="3">
        <v>470.0</v>
      </c>
      <c r="S161" s="3">
        <v>51.187393</v>
      </c>
      <c r="T161" s="3">
        <v>4.81635</v>
      </c>
      <c r="U161" s="3" t="s">
        <v>2376</v>
      </c>
      <c r="V161" s="3">
        <v>0.0</v>
      </c>
      <c r="W161" s="3">
        <v>3724.0</v>
      </c>
      <c r="X161" s="3">
        <v>3850.0</v>
      </c>
      <c r="Y161" s="3">
        <v>127.0</v>
      </c>
      <c r="Z161" s="3">
        <v>471.0</v>
      </c>
      <c r="AA161" s="3">
        <v>494.0</v>
      </c>
      <c r="AB161" s="3">
        <v>1231.0</v>
      </c>
      <c r="AC161" s="3">
        <v>50.0</v>
      </c>
    </row>
    <row r="162">
      <c r="A162" s="3">
        <v>160.0</v>
      </c>
      <c r="B162" s="3" t="s">
        <v>2373</v>
      </c>
      <c r="C162" s="3">
        <v>188.0</v>
      </c>
      <c r="D162" s="3" t="s">
        <v>492</v>
      </c>
      <c r="E162" s="3">
        <v>10.554751</v>
      </c>
      <c r="F162" s="3">
        <v>-84.768433</v>
      </c>
      <c r="G162" s="3">
        <v>8.0</v>
      </c>
      <c r="H162" s="3">
        <v>1.0</v>
      </c>
      <c r="I162" s="3" t="s">
        <v>112</v>
      </c>
      <c r="J162" s="3">
        <v>341.0</v>
      </c>
      <c r="K162" s="3">
        <v>345.0</v>
      </c>
      <c r="L162" s="3" t="s">
        <v>120</v>
      </c>
      <c r="M162" s="3">
        <v>1.0</v>
      </c>
      <c r="N162" s="3" t="s">
        <v>121</v>
      </c>
      <c r="O162" s="3" t="s">
        <v>2374</v>
      </c>
      <c r="P162" s="3" t="s">
        <v>2378</v>
      </c>
      <c r="Q162" s="3">
        <v>2.0</v>
      </c>
      <c r="R162" s="3">
        <v>470.0</v>
      </c>
      <c r="S162" s="3">
        <v>51.187393</v>
      </c>
      <c r="T162" s="3">
        <v>4.81635</v>
      </c>
      <c r="U162" s="3" t="s">
        <v>2376</v>
      </c>
      <c r="V162" s="3">
        <v>0.0</v>
      </c>
      <c r="W162" s="3">
        <v>3499.0</v>
      </c>
      <c r="X162" s="3">
        <v>4357.0</v>
      </c>
      <c r="Y162" s="3">
        <v>62.0</v>
      </c>
      <c r="Z162" s="3">
        <v>304.0</v>
      </c>
      <c r="AA162" s="3">
        <v>449.0</v>
      </c>
      <c r="AB162" s="3">
        <v>1184.0</v>
      </c>
      <c r="AC162" s="3">
        <v>406.0</v>
      </c>
    </row>
    <row r="163">
      <c r="A163" s="3">
        <v>161.0</v>
      </c>
      <c r="B163" s="3" t="s">
        <v>2373</v>
      </c>
      <c r="C163" s="3">
        <v>189.0</v>
      </c>
      <c r="D163" s="3" t="s">
        <v>495</v>
      </c>
      <c r="E163" s="3">
        <v>10.554751</v>
      </c>
      <c r="F163" s="3">
        <v>-84.768433</v>
      </c>
      <c r="G163" s="3">
        <v>8.0</v>
      </c>
      <c r="H163" s="3">
        <v>1.0</v>
      </c>
      <c r="I163" s="3" t="s">
        <v>112</v>
      </c>
      <c r="J163" s="3">
        <v>341.0</v>
      </c>
      <c r="K163" s="3">
        <v>345.0</v>
      </c>
      <c r="L163" s="3" t="s">
        <v>120</v>
      </c>
      <c r="M163" s="3">
        <v>1.0</v>
      </c>
      <c r="N163" s="3" t="s">
        <v>121</v>
      </c>
      <c r="O163" s="3" t="s">
        <v>2374</v>
      </c>
      <c r="P163" s="3" t="s">
        <v>2378</v>
      </c>
      <c r="Q163" s="3">
        <v>2.0</v>
      </c>
      <c r="R163" s="3">
        <v>470.0</v>
      </c>
      <c r="S163" s="3">
        <v>51.187393</v>
      </c>
      <c r="T163" s="3">
        <v>4.81635</v>
      </c>
      <c r="U163" s="3" t="s">
        <v>2376</v>
      </c>
      <c r="V163" s="3">
        <v>0.0</v>
      </c>
      <c r="W163" s="3">
        <v>3499.0</v>
      </c>
      <c r="X163" s="3">
        <v>4357.0</v>
      </c>
      <c r="Y163" s="3">
        <v>62.0</v>
      </c>
      <c r="Z163" s="3">
        <v>304.0</v>
      </c>
      <c r="AA163" s="3">
        <v>449.0</v>
      </c>
      <c r="AB163" s="3">
        <v>1184.0</v>
      </c>
      <c r="AC163" s="3">
        <v>406.0</v>
      </c>
    </row>
    <row r="164">
      <c r="A164" s="3">
        <v>162.0</v>
      </c>
      <c r="B164" s="3" t="s">
        <v>2373</v>
      </c>
      <c r="C164" s="3">
        <v>245.0</v>
      </c>
      <c r="D164" s="3" t="s">
        <v>2018</v>
      </c>
      <c r="E164" s="3">
        <v>10.43972</v>
      </c>
      <c r="F164" s="3">
        <v>-84.00667</v>
      </c>
      <c r="G164" s="3">
        <v>8.0</v>
      </c>
      <c r="H164" s="3">
        <v>1.0</v>
      </c>
      <c r="I164" s="3" t="s">
        <v>112</v>
      </c>
      <c r="J164" s="3">
        <v>341.0</v>
      </c>
      <c r="K164" s="3">
        <v>345.0</v>
      </c>
      <c r="L164" s="3" t="s">
        <v>120</v>
      </c>
      <c r="M164" s="3">
        <v>1.0</v>
      </c>
      <c r="N164" s="3" t="s">
        <v>121</v>
      </c>
      <c r="O164" s="3" t="s">
        <v>2374</v>
      </c>
      <c r="P164" s="3" t="s">
        <v>2378</v>
      </c>
      <c r="Q164" s="3">
        <v>2.0</v>
      </c>
      <c r="R164" s="3">
        <v>470.0</v>
      </c>
      <c r="S164" s="3">
        <v>51.187393</v>
      </c>
      <c r="T164" s="3">
        <v>4.81635</v>
      </c>
      <c r="U164" s="3" t="s">
        <v>2376</v>
      </c>
      <c r="V164" s="3">
        <v>0.0</v>
      </c>
      <c r="W164" s="3">
        <v>3680.0</v>
      </c>
      <c r="X164" s="3">
        <v>3892.0</v>
      </c>
      <c r="Y164" s="3">
        <v>131.0</v>
      </c>
      <c r="Z164" s="3">
        <v>422.0</v>
      </c>
      <c r="AA164" s="3">
        <v>479.0</v>
      </c>
      <c r="AB164" s="3">
        <v>1257.0</v>
      </c>
      <c r="AC164" s="3">
        <v>51.0</v>
      </c>
    </row>
    <row r="165">
      <c r="A165" s="3">
        <v>163.0</v>
      </c>
      <c r="B165" s="3" t="s">
        <v>2373</v>
      </c>
      <c r="C165" s="3">
        <v>246.0</v>
      </c>
      <c r="D165" s="3" t="s">
        <v>2019</v>
      </c>
      <c r="E165" s="3">
        <v>10.43972</v>
      </c>
      <c r="F165" s="3">
        <v>-84.00667</v>
      </c>
      <c r="G165" s="3">
        <v>8.0</v>
      </c>
      <c r="H165" s="3">
        <v>1.0</v>
      </c>
      <c r="I165" s="3" t="s">
        <v>112</v>
      </c>
      <c r="J165" s="3">
        <v>341.0</v>
      </c>
      <c r="K165" s="3">
        <v>345.0</v>
      </c>
      <c r="L165" s="3" t="s">
        <v>120</v>
      </c>
      <c r="M165" s="3">
        <v>1.0</v>
      </c>
      <c r="N165" s="3" t="s">
        <v>121</v>
      </c>
      <c r="O165" s="3" t="s">
        <v>2374</v>
      </c>
      <c r="P165" s="3" t="s">
        <v>2378</v>
      </c>
      <c r="Q165" s="3">
        <v>2.0</v>
      </c>
      <c r="R165" s="3">
        <v>470.0</v>
      </c>
      <c r="S165" s="3">
        <v>51.187393</v>
      </c>
      <c r="T165" s="3">
        <v>4.81635</v>
      </c>
      <c r="U165" s="3" t="s">
        <v>2376</v>
      </c>
      <c r="V165" s="3">
        <v>0.0</v>
      </c>
      <c r="W165" s="3">
        <v>3680.0</v>
      </c>
      <c r="X165" s="3">
        <v>3892.0</v>
      </c>
      <c r="Y165" s="3">
        <v>131.0</v>
      </c>
      <c r="Z165" s="3">
        <v>422.0</v>
      </c>
      <c r="AA165" s="3">
        <v>479.0</v>
      </c>
      <c r="AB165" s="3">
        <v>1257.0</v>
      </c>
      <c r="AC165" s="3">
        <v>51.0</v>
      </c>
    </row>
    <row r="166">
      <c r="A166" s="3">
        <v>164.0</v>
      </c>
      <c r="B166" s="3" t="s">
        <v>2373</v>
      </c>
      <c r="C166" s="3">
        <v>247.0</v>
      </c>
      <c r="D166" s="3" t="s">
        <v>1015</v>
      </c>
      <c r="E166" s="3">
        <v>10.43972</v>
      </c>
      <c r="F166" s="3">
        <v>-84.00667</v>
      </c>
      <c r="G166" s="3">
        <v>8.0</v>
      </c>
      <c r="H166" s="3">
        <v>1.0</v>
      </c>
      <c r="I166" s="3" t="s">
        <v>112</v>
      </c>
      <c r="J166" s="3">
        <v>341.0</v>
      </c>
      <c r="K166" s="3">
        <v>345.0</v>
      </c>
      <c r="L166" s="3" t="s">
        <v>120</v>
      </c>
      <c r="M166" s="3">
        <v>1.0</v>
      </c>
      <c r="N166" s="3" t="s">
        <v>121</v>
      </c>
      <c r="O166" s="3" t="s">
        <v>2374</v>
      </c>
      <c r="P166" s="3" t="s">
        <v>2378</v>
      </c>
      <c r="Q166" s="3">
        <v>2.0</v>
      </c>
      <c r="R166" s="3">
        <v>470.0</v>
      </c>
      <c r="S166" s="3">
        <v>51.187393</v>
      </c>
      <c r="T166" s="3">
        <v>4.81635</v>
      </c>
      <c r="U166" s="3" t="s">
        <v>2376</v>
      </c>
      <c r="V166" s="3">
        <v>0.0</v>
      </c>
      <c r="W166" s="3">
        <v>3680.0</v>
      </c>
      <c r="X166" s="3">
        <v>3892.0</v>
      </c>
      <c r="Y166" s="3">
        <v>131.0</v>
      </c>
      <c r="Z166" s="3">
        <v>422.0</v>
      </c>
      <c r="AA166" s="3">
        <v>479.0</v>
      </c>
      <c r="AB166" s="3">
        <v>1257.0</v>
      </c>
      <c r="AC166" s="3">
        <v>51.0</v>
      </c>
    </row>
    <row r="167">
      <c r="A167" s="3">
        <v>165.0</v>
      </c>
      <c r="B167" s="3" t="s">
        <v>2373</v>
      </c>
      <c r="C167" s="3">
        <v>248.0</v>
      </c>
      <c r="D167" s="3" t="s">
        <v>2021</v>
      </c>
      <c r="E167" s="3">
        <v>10.43972</v>
      </c>
      <c r="F167" s="3">
        <v>-84.00667</v>
      </c>
      <c r="G167" s="3">
        <v>8.0</v>
      </c>
      <c r="H167" s="3">
        <v>1.0</v>
      </c>
      <c r="I167" s="3" t="s">
        <v>112</v>
      </c>
      <c r="J167" s="3">
        <v>341.0</v>
      </c>
      <c r="K167" s="3">
        <v>345.0</v>
      </c>
      <c r="L167" s="3" t="s">
        <v>120</v>
      </c>
      <c r="M167" s="3">
        <v>1.0</v>
      </c>
      <c r="N167" s="3" t="s">
        <v>121</v>
      </c>
      <c r="O167" s="3" t="s">
        <v>2374</v>
      </c>
      <c r="P167" s="3" t="s">
        <v>2378</v>
      </c>
      <c r="Q167" s="3">
        <v>2.0</v>
      </c>
      <c r="R167" s="3">
        <v>470.0</v>
      </c>
      <c r="S167" s="3">
        <v>51.187393</v>
      </c>
      <c r="T167" s="3">
        <v>4.81635</v>
      </c>
      <c r="U167" s="3" t="s">
        <v>2376</v>
      </c>
      <c r="V167" s="3">
        <v>0.0</v>
      </c>
      <c r="W167" s="3">
        <v>3680.0</v>
      </c>
      <c r="X167" s="3">
        <v>3892.0</v>
      </c>
      <c r="Y167" s="3">
        <v>131.0</v>
      </c>
      <c r="Z167" s="3">
        <v>422.0</v>
      </c>
      <c r="AA167" s="3">
        <v>479.0</v>
      </c>
      <c r="AB167" s="3">
        <v>1257.0</v>
      </c>
      <c r="AC167" s="3">
        <v>51.0</v>
      </c>
    </row>
    <row r="168">
      <c r="A168" s="3">
        <v>166.0</v>
      </c>
      <c r="B168" s="3" t="s">
        <v>2373</v>
      </c>
      <c r="C168" s="3">
        <v>249.0</v>
      </c>
      <c r="D168" s="3" t="s">
        <v>2022</v>
      </c>
      <c r="E168" s="3">
        <v>10.43972</v>
      </c>
      <c r="F168" s="3">
        <v>-84.00667</v>
      </c>
      <c r="G168" s="3">
        <v>8.0</v>
      </c>
      <c r="H168" s="3">
        <v>1.0</v>
      </c>
      <c r="I168" s="3" t="s">
        <v>112</v>
      </c>
      <c r="J168" s="3">
        <v>341.0</v>
      </c>
      <c r="K168" s="3">
        <v>345.0</v>
      </c>
      <c r="L168" s="3" t="s">
        <v>120</v>
      </c>
      <c r="M168" s="3">
        <v>1.0</v>
      </c>
      <c r="N168" s="3" t="s">
        <v>121</v>
      </c>
      <c r="O168" s="3" t="s">
        <v>2374</v>
      </c>
      <c r="P168" s="3" t="s">
        <v>2378</v>
      </c>
      <c r="Q168" s="3">
        <v>2.0</v>
      </c>
      <c r="R168" s="3">
        <v>470.0</v>
      </c>
      <c r="S168" s="3">
        <v>51.187393</v>
      </c>
      <c r="T168" s="3">
        <v>4.81635</v>
      </c>
      <c r="U168" s="3" t="s">
        <v>2376</v>
      </c>
      <c r="V168" s="3">
        <v>0.0</v>
      </c>
      <c r="W168" s="3">
        <v>3680.0</v>
      </c>
      <c r="X168" s="3">
        <v>3892.0</v>
      </c>
      <c r="Y168" s="3">
        <v>131.0</v>
      </c>
      <c r="Z168" s="3">
        <v>422.0</v>
      </c>
      <c r="AA168" s="3">
        <v>479.0</v>
      </c>
      <c r="AB168" s="3">
        <v>1257.0</v>
      </c>
      <c r="AC168" s="3">
        <v>51.0</v>
      </c>
    </row>
    <row r="169">
      <c r="A169" s="3">
        <v>167.0</v>
      </c>
      <c r="B169" s="3" t="s">
        <v>2373</v>
      </c>
      <c r="C169" s="3">
        <v>166.0</v>
      </c>
      <c r="D169" s="3" t="s">
        <v>797</v>
      </c>
      <c r="E169" s="3">
        <v>8.933333</v>
      </c>
      <c r="F169" s="3">
        <v>-82.933333</v>
      </c>
      <c r="G169" s="3">
        <v>9.0</v>
      </c>
      <c r="H169" s="3">
        <v>1.0</v>
      </c>
      <c r="I169" s="3" t="s">
        <v>112</v>
      </c>
      <c r="J169" s="3">
        <v>342.0</v>
      </c>
      <c r="K169" s="3">
        <v>346.0</v>
      </c>
      <c r="L169" s="3" t="s">
        <v>281</v>
      </c>
      <c r="M169" s="3">
        <v>1.0</v>
      </c>
      <c r="N169" s="3" t="s">
        <v>121</v>
      </c>
      <c r="O169" s="3" t="s">
        <v>2374</v>
      </c>
      <c r="P169" s="3" t="s">
        <v>2378</v>
      </c>
      <c r="Q169" s="3">
        <v>3.0</v>
      </c>
      <c r="R169" s="3">
        <v>471.0</v>
      </c>
      <c r="S169" s="3">
        <v>31.217137</v>
      </c>
      <c r="T169" s="3">
        <v>2.395495</v>
      </c>
      <c r="U169" s="3" t="s">
        <v>2376</v>
      </c>
      <c r="V169" s="3">
        <v>0.0</v>
      </c>
      <c r="W169" s="3">
        <v>2756.0</v>
      </c>
      <c r="X169" s="3">
        <v>6258.0</v>
      </c>
      <c r="Y169" s="3">
        <v>40.0</v>
      </c>
      <c r="Z169" s="3">
        <v>160.0</v>
      </c>
      <c r="AA169" s="3">
        <v>443.0</v>
      </c>
      <c r="AB169" s="3">
        <v>1197.0</v>
      </c>
      <c r="AC169" s="3">
        <v>1017.0</v>
      </c>
    </row>
    <row r="170">
      <c r="A170" s="3">
        <v>168.0</v>
      </c>
      <c r="B170" s="3" t="s">
        <v>2373</v>
      </c>
      <c r="C170" s="3">
        <v>167.0</v>
      </c>
      <c r="D170" s="3" t="s">
        <v>800</v>
      </c>
      <c r="E170" s="3">
        <v>8.933333</v>
      </c>
      <c r="F170" s="3">
        <v>-82.933333</v>
      </c>
      <c r="G170" s="3">
        <v>9.0</v>
      </c>
      <c r="H170" s="3">
        <v>1.0</v>
      </c>
      <c r="I170" s="3" t="s">
        <v>112</v>
      </c>
      <c r="J170" s="3">
        <v>342.0</v>
      </c>
      <c r="K170" s="3">
        <v>346.0</v>
      </c>
      <c r="L170" s="3" t="s">
        <v>281</v>
      </c>
      <c r="M170" s="3">
        <v>1.0</v>
      </c>
      <c r="N170" s="3" t="s">
        <v>121</v>
      </c>
      <c r="O170" s="3" t="s">
        <v>2374</v>
      </c>
      <c r="P170" s="3" t="s">
        <v>2378</v>
      </c>
      <c r="Q170" s="3">
        <v>3.0</v>
      </c>
      <c r="R170" s="3">
        <v>471.0</v>
      </c>
      <c r="S170" s="3">
        <v>31.217137</v>
      </c>
      <c r="T170" s="3">
        <v>2.395495</v>
      </c>
      <c r="U170" s="3" t="s">
        <v>2376</v>
      </c>
      <c r="V170" s="3">
        <v>0.0</v>
      </c>
      <c r="W170" s="3">
        <v>2756.0</v>
      </c>
      <c r="X170" s="3">
        <v>6258.0</v>
      </c>
      <c r="Y170" s="3">
        <v>40.0</v>
      </c>
      <c r="Z170" s="3">
        <v>160.0</v>
      </c>
      <c r="AA170" s="3">
        <v>443.0</v>
      </c>
      <c r="AB170" s="3">
        <v>1197.0</v>
      </c>
      <c r="AC170" s="3">
        <v>1017.0</v>
      </c>
    </row>
    <row r="171">
      <c r="A171" s="3">
        <v>169.0</v>
      </c>
      <c r="B171" s="3" t="s">
        <v>2373</v>
      </c>
      <c r="C171" s="3">
        <v>168.0</v>
      </c>
      <c r="D171" s="3" t="s">
        <v>1289</v>
      </c>
      <c r="E171" s="3">
        <v>8.933333</v>
      </c>
      <c r="F171" s="3">
        <v>-82.933333</v>
      </c>
      <c r="G171" s="3">
        <v>9.0</v>
      </c>
      <c r="H171" s="3">
        <v>1.0</v>
      </c>
      <c r="I171" s="3" t="s">
        <v>112</v>
      </c>
      <c r="J171" s="3">
        <v>342.0</v>
      </c>
      <c r="K171" s="3">
        <v>346.0</v>
      </c>
      <c r="L171" s="3" t="s">
        <v>281</v>
      </c>
      <c r="M171" s="3">
        <v>1.0</v>
      </c>
      <c r="N171" s="3" t="s">
        <v>121</v>
      </c>
      <c r="O171" s="3" t="s">
        <v>2374</v>
      </c>
      <c r="P171" s="3" t="s">
        <v>2378</v>
      </c>
      <c r="Q171" s="3">
        <v>3.0</v>
      </c>
      <c r="R171" s="3">
        <v>471.0</v>
      </c>
      <c r="S171" s="3">
        <v>31.217137</v>
      </c>
      <c r="T171" s="3">
        <v>2.395495</v>
      </c>
      <c r="U171" s="3" t="s">
        <v>2376</v>
      </c>
      <c r="V171" s="3">
        <v>0.0</v>
      </c>
      <c r="W171" s="3">
        <v>2756.0</v>
      </c>
      <c r="X171" s="3">
        <v>6258.0</v>
      </c>
      <c r="Y171" s="3">
        <v>40.0</v>
      </c>
      <c r="Z171" s="3">
        <v>160.0</v>
      </c>
      <c r="AA171" s="3">
        <v>443.0</v>
      </c>
      <c r="AB171" s="3">
        <v>1197.0</v>
      </c>
      <c r="AC171" s="3">
        <v>1017.0</v>
      </c>
    </row>
    <row r="172">
      <c r="A172" s="3">
        <v>170.0</v>
      </c>
      <c r="B172" s="3" t="s">
        <v>2373</v>
      </c>
      <c r="C172" s="3">
        <v>169.0</v>
      </c>
      <c r="D172" s="3" t="s">
        <v>1291</v>
      </c>
      <c r="E172" s="3">
        <v>8.933333</v>
      </c>
      <c r="F172" s="3">
        <v>-82.933333</v>
      </c>
      <c r="G172" s="3">
        <v>9.0</v>
      </c>
      <c r="H172" s="3">
        <v>1.0</v>
      </c>
      <c r="I172" s="3" t="s">
        <v>112</v>
      </c>
      <c r="J172" s="3">
        <v>342.0</v>
      </c>
      <c r="K172" s="3">
        <v>346.0</v>
      </c>
      <c r="L172" s="3" t="s">
        <v>281</v>
      </c>
      <c r="M172" s="3">
        <v>1.0</v>
      </c>
      <c r="N172" s="3" t="s">
        <v>121</v>
      </c>
      <c r="O172" s="3" t="s">
        <v>2374</v>
      </c>
      <c r="P172" s="3" t="s">
        <v>2378</v>
      </c>
      <c r="Q172" s="3">
        <v>3.0</v>
      </c>
      <c r="R172" s="3">
        <v>471.0</v>
      </c>
      <c r="S172" s="3">
        <v>31.217137</v>
      </c>
      <c r="T172" s="3">
        <v>2.395495</v>
      </c>
      <c r="U172" s="3" t="s">
        <v>2376</v>
      </c>
      <c r="V172" s="3">
        <v>0.0</v>
      </c>
      <c r="W172" s="3">
        <v>2756.0</v>
      </c>
      <c r="X172" s="3">
        <v>6258.0</v>
      </c>
      <c r="Y172" s="3">
        <v>40.0</v>
      </c>
      <c r="Z172" s="3">
        <v>160.0</v>
      </c>
      <c r="AA172" s="3">
        <v>443.0</v>
      </c>
      <c r="AB172" s="3">
        <v>1197.0</v>
      </c>
      <c r="AC172" s="3">
        <v>1017.0</v>
      </c>
    </row>
    <row r="173">
      <c r="A173" s="3">
        <v>171.0</v>
      </c>
      <c r="B173" s="3" t="s">
        <v>2373</v>
      </c>
      <c r="C173" s="3">
        <v>170.0</v>
      </c>
      <c r="D173" s="3" t="s">
        <v>1293</v>
      </c>
      <c r="E173" s="3">
        <v>8.933333</v>
      </c>
      <c r="F173" s="3">
        <v>-82.933333</v>
      </c>
      <c r="G173" s="3">
        <v>9.0</v>
      </c>
      <c r="H173" s="3">
        <v>1.0</v>
      </c>
      <c r="I173" s="3" t="s">
        <v>112</v>
      </c>
      <c r="J173" s="3">
        <v>342.0</v>
      </c>
      <c r="K173" s="3">
        <v>346.0</v>
      </c>
      <c r="L173" s="3" t="s">
        <v>281</v>
      </c>
      <c r="M173" s="3">
        <v>1.0</v>
      </c>
      <c r="N173" s="3" t="s">
        <v>121</v>
      </c>
      <c r="O173" s="3" t="s">
        <v>2374</v>
      </c>
      <c r="P173" s="3" t="s">
        <v>2378</v>
      </c>
      <c r="Q173" s="3">
        <v>3.0</v>
      </c>
      <c r="R173" s="3">
        <v>471.0</v>
      </c>
      <c r="S173" s="3">
        <v>31.217137</v>
      </c>
      <c r="T173" s="3">
        <v>2.395495</v>
      </c>
      <c r="U173" s="3" t="s">
        <v>2376</v>
      </c>
      <c r="V173" s="3">
        <v>0.0</v>
      </c>
      <c r="W173" s="3">
        <v>2756.0</v>
      </c>
      <c r="X173" s="3">
        <v>6258.0</v>
      </c>
      <c r="Y173" s="3">
        <v>40.0</v>
      </c>
      <c r="Z173" s="3">
        <v>160.0</v>
      </c>
      <c r="AA173" s="3">
        <v>443.0</v>
      </c>
      <c r="AB173" s="3">
        <v>1197.0</v>
      </c>
      <c r="AC173" s="3">
        <v>1017.0</v>
      </c>
    </row>
    <row r="174">
      <c r="A174" s="3">
        <v>172.0</v>
      </c>
      <c r="B174" s="3" t="s">
        <v>2373</v>
      </c>
      <c r="C174" s="3">
        <v>171.0</v>
      </c>
      <c r="D174" s="78" t="s">
        <v>1301</v>
      </c>
      <c r="E174" s="3">
        <v>8.933333</v>
      </c>
      <c r="F174" s="3">
        <v>-82.933333</v>
      </c>
      <c r="G174" s="3">
        <v>9.0</v>
      </c>
      <c r="H174" s="3">
        <v>1.0</v>
      </c>
      <c r="I174" s="3" t="s">
        <v>112</v>
      </c>
      <c r="J174" s="3">
        <v>342.0</v>
      </c>
      <c r="K174" s="3">
        <v>346.0</v>
      </c>
      <c r="L174" s="3" t="s">
        <v>281</v>
      </c>
      <c r="M174" s="3">
        <v>1.0</v>
      </c>
      <c r="N174" s="3" t="s">
        <v>121</v>
      </c>
      <c r="O174" s="3" t="s">
        <v>2374</v>
      </c>
      <c r="P174" s="3" t="s">
        <v>2378</v>
      </c>
      <c r="Q174" s="3">
        <v>3.0</v>
      </c>
      <c r="R174" s="3">
        <v>471.0</v>
      </c>
      <c r="S174" s="3">
        <v>31.217137</v>
      </c>
      <c r="T174" s="3">
        <v>2.395495</v>
      </c>
      <c r="U174" s="3" t="s">
        <v>2376</v>
      </c>
      <c r="V174" s="3">
        <v>0.0</v>
      </c>
      <c r="W174" s="3">
        <v>2756.0</v>
      </c>
      <c r="X174" s="3">
        <v>6258.0</v>
      </c>
      <c r="Y174" s="3">
        <v>40.0</v>
      </c>
      <c r="Z174" s="3">
        <v>160.0</v>
      </c>
      <c r="AA174" s="3">
        <v>443.0</v>
      </c>
      <c r="AB174" s="3">
        <v>1197.0</v>
      </c>
      <c r="AC174" s="3">
        <v>1017.0</v>
      </c>
    </row>
    <row r="175">
      <c r="A175" s="3">
        <v>173.0</v>
      </c>
      <c r="B175" s="3" t="s">
        <v>2373</v>
      </c>
      <c r="C175" s="3">
        <v>172.0</v>
      </c>
      <c r="D175" s="3" t="s">
        <v>819</v>
      </c>
      <c r="E175" s="3">
        <v>8.933333</v>
      </c>
      <c r="F175" s="3">
        <v>-82.933333</v>
      </c>
      <c r="G175" s="3">
        <v>9.0</v>
      </c>
      <c r="H175" s="3">
        <v>1.0</v>
      </c>
      <c r="I175" s="3" t="s">
        <v>112</v>
      </c>
      <c r="J175" s="3">
        <v>342.0</v>
      </c>
      <c r="K175" s="3">
        <v>346.0</v>
      </c>
      <c r="L175" s="3" t="s">
        <v>281</v>
      </c>
      <c r="M175" s="3">
        <v>1.0</v>
      </c>
      <c r="N175" s="3" t="s">
        <v>121</v>
      </c>
      <c r="O175" s="3" t="s">
        <v>2374</v>
      </c>
      <c r="P175" s="3" t="s">
        <v>2378</v>
      </c>
      <c r="Q175" s="3">
        <v>3.0</v>
      </c>
      <c r="R175" s="3">
        <v>471.0</v>
      </c>
      <c r="S175" s="3">
        <v>31.217137</v>
      </c>
      <c r="T175" s="3">
        <v>2.395495</v>
      </c>
      <c r="U175" s="3" t="s">
        <v>2376</v>
      </c>
      <c r="V175" s="3">
        <v>0.0</v>
      </c>
      <c r="W175" s="3">
        <v>2756.0</v>
      </c>
      <c r="X175" s="3">
        <v>6258.0</v>
      </c>
      <c r="Y175" s="3">
        <v>40.0</v>
      </c>
      <c r="Z175" s="3">
        <v>160.0</v>
      </c>
      <c r="AA175" s="3">
        <v>443.0</v>
      </c>
      <c r="AB175" s="3">
        <v>1197.0</v>
      </c>
      <c r="AC175" s="3">
        <v>1017.0</v>
      </c>
    </row>
    <row r="176">
      <c r="A176" s="3">
        <v>174.0</v>
      </c>
      <c r="B176" s="3" t="s">
        <v>2373</v>
      </c>
      <c r="C176" s="3">
        <v>173.0</v>
      </c>
      <c r="D176" s="3" t="s">
        <v>1303</v>
      </c>
      <c r="E176" s="3">
        <v>8.933333</v>
      </c>
      <c r="F176" s="3">
        <v>-82.933333</v>
      </c>
      <c r="G176" s="3">
        <v>9.0</v>
      </c>
      <c r="H176" s="3">
        <v>1.0</v>
      </c>
      <c r="I176" s="3" t="s">
        <v>112</v>
      </c>
      <c r="J176" s="3">
        <v>342.0</v>
      </c>
      <c r="K176" s="3">
        <v>346.0</v>
      </c>
      <c r="L176" s="3" t="s">
        <v>281</v>
      </c>
      <c r="M176" s="3">
        <v>1.0</v>
      </c>
      <c r="N176" s="3" t="s">
        <v>121</v>
      </c>
      <c r="O176" s="3" t="s">
        <v>2374</v>
      </c>
      <c r="P176" s="3" t="s">
        <v>2378</v>
      </c>
      <c r="Q176" s="3">
        <v>3.0</v>
      </c>
      <c r="R176" s="3">
        <v>471.0</v>
      </c>
      <c r="S176" s="3">
        <v>31.217137</v>
      </c>
      <c r="T176" s="3">
        <v>2.395495</v>
      </c>
      <c r="U176" s="3" t="s">
        <v>2376</v>
      </c>
      <c r="V176" s="3">
        <v>0.0</v>
      </c>
      <c r="W176" s="3">
        <v>2756.0</v>
      </c>
      <c r="X176" s="3">
        <v>6258.0</v>
      </c>
      <c r="Y176" s="3">
        <v>40.0</v>
      </c>
      <c r="Z176" s="3">
        <v>160.0</v>
      </c>
      <c r="AA176" s="3">
        <v>443.0</v>
      </c>
      <c r="AB176" s="3">
        <v>1197.0</v>
      </c>
      <c r="AC176" s="3">
        <v>1017.0</v>
      </c>
    </row>
    <row r="177">
      <c r="A177" s="3">
        <v>175.0</v>
      </c>
      <c r="B177" s="3" t="s">
        <v>2373</v>
      </c>
      <c r="C177" s="3">
        <v>622.0</v>
      </c>
      <c r="D177" s="3" t="s">
        <v>1055</v>
      </c>
      <c r="E177" s="3">
        <v>9.1122</v>
      </c>
      <c r="F177" s="3">
        <v>-83.448</v>
      </c>
      <c r="G177" s="3">
        <v>9.0</v>
      </c>
      <c r="H177" s="3">
        <v>1.0</v>
      </c>
      <c r="I177" s="3" t="s">
        <v>112</v>
      </c>
      <c r="J177" s="3">
        <v>342.0</v>
      </c>
      <c r="K177" s="3">
        <v>346.0</v>
      </c>
      <c r="L177" s="3" t="s">
        <v>281</v>
      </c>
      <c r="M177" s="3">
        <v>1.0</v>
      </c>
      <c r="N177" s="3" t="s">
        <v>121</v>
      </c>
      <c r="O177" s="3" t="s">
        <v>2374</v>
      </c>
      <c r="P177" s="3" t="s">
        <v>2378</v>
      </c>
      <c r="Q177" s="3">
        <v>3.0</v>
      </c>
      <c r="R177" s="3">
        <v>471.0</v>
      </c>
      <c r="S177" s="3">
        <v>31.217137</v>
      </c>
      <c r="T177" s="3">
        <v>2.395495</v>
      </c>
      <c r="U177" s="3" t="s">
        <v>2376</v>
      </c>
      <c r="V177" s="3">
        <v>0.0</v>
      </c>
      <c r="W177" s="3">
        <v>3163.0</v>
      </c>
      <c r="X177" s="3">
        <v>6146.0</v>
      </c>
      <c r="Y177" s="3">
        <v>40.0</v>
      </c>
      <c r="Z177" s="3">
        <v>143.0</v>
      </c>
      <c r="AA177" s="3">
        <v>467.0</v>
      </c>
      <c r="AB177" s="3">
        <v>1321.0</v>
      </c>
      <c r="AC177" s="3">
        <v>476.0</v>
      </c>
    </row>
    <row r="178">
      <c r="A178" s="3">
        <v>176.0</v>
      </c>
      <c r="B178" s="3" t="s">
        <v>2373</v>
      </c>
      <c r="C178" s="3">
        <v>623.0</v>
      </c>
      <c r="D178" s="3" t="s">
        <v>1058</v>
      </c>
      <c r="E178" s="3">
        <v>9.1122</v>
      </c>
      <c r="F178" s="3">
        <v>-83.448</v>
      </c>
      <c r="G178" s="3">
        <v>9.0</v>
      </c>
      <c r="H178" s="3">
        <v>1.0</v>
      </c>
      <c r="I178" s="3" t="s">
        <v>112</v>
      </c>
      <c r="J178" s="3">
        <v>342.0</v>
      </c>
      <c r="K178" s="3">
        <v>346.0</v>
      </c>
      <c r="L178" s="3" t="s">
        <v>281</v>
      </c>
      <c r="M178" s="3">
        <v>1.0</v>
      </c>
      <c r="N178" s="3" t="s">
        <v>121</v>
      </c>
      <c r="O178" s="3" t="s">
        <v>2374</v>
      </c>
      <c r="P178" s="3" t="s">
        <v>2378</v>
      </c>
      <c r="Q178" s="3">
        <v>3.0</v>
      </c>
      <c r="R178" s="3">
        <v>471.0</v>
      </c>
      <c r="S178" s="3">
        <v>31.217137</v>
      </c>
      <c r="T178" s="3">
        <v>2.395495</v>
      </c>
      <c r="U178" s="3" t="s">
        <v>2376</v>
      </c>
      <c r="V178" s="3">
        <v>0.0</v>
      </c>
      <c r="W178" s="3">
        <v>3163.0</v>
      </c>
      <c r="X178" s="3">
        <v>6146.0</v>
      </c>
      <c r="Y178" s="3">
        <v>40.0</v>
      </c>
      <c r="Z178" s="3">
        <v>143.0</v>
      </c>
      <c r="AA178" s="3">
        <v>467.0</v>
      </c>
      <c r="AB178" s="3">
        <v>1321.0</v>
      </c>
      <c r="AC178" s="3">
        <v>476.0</v>
      </c>
    </row>
    <row r="179">
      <c r="A179" s="3">
        <v>177.0</v>
      </c>
      <c r="B179" s="3" t="s">
        <v>2373</v>
      </c>
      <c r="C179" s="3">
        <v>624.0</v>
      </c>
      <c r="D179" s="3" t="s">
        <v>1061</v>
      </c>
      <c r="E179" s="3">
        <v>9.1122</v>
      </c>
      <c r="F179" s="3">
        <v>-83.448</v>
      </c>
      <c r="G179" s="3">
        <v>9.0</v>
      </c>
      <c r="H179" s="3">
        <v>1.0</v>
      </c>
      <c r="I179" s="3" t="s">
        <v>112</v>
      </c>
      <c r="J179" s="3">
        <v>342.0</v>
      </c>
      <c r="K179" s="3">
        <v>346.0</v>
      </c>
      <c r="L179" s="3" t="s">
        <v>281</v>
      </c>
      <c r="M179" s="3">
        <v>1.0</v>
      </c>
      <c r="N179" s="3" t="s">
        <v>121</v>
      </c>
      <c r="O179" s="3" t="s">
        <v>2374</v>
      </c>
      <c r="P179" s="3" t="s">
        <v>2378</v>
      </c>
      <c r="Q179" s="3">
        <v>3.0</v>
      </c>
      <c r="R179" s="3">
        <v>471.0</v>
      </c>
      <c r="S179" s="3">
        <v>31.217137</v>
      </c>
      <c r="T179" s="3">
        <v>2.395495</v>
      </c>
      <c r="U179" s="3" t="s">
        <v>2376</v>
      </c>
      <c r="V179" s="3">
        <v>0.0</v>
      </c>
      <c r="W179" s="3">
        <v>3163.0</v>
      </c>
      <c r="X179" s="3">
        <v>6146.0</v>
      </c>
      <c r="Y179" s="3">
        <v>40.0</v>
      </c>
      <c r="Z179" s="3">
        <v>143.0</v>
      </c>
      <c r="AA179" s="3">
        <v>467.0</v>
      </c>
      <c r="AB179" s="3">
        <v>1321.0</v>
      </c>
      <c r="AC179" s="3">
        <v>476.0</v>
      </c>
    </row>
    <row r="180">
      <c r="A180" s="3">
        <v>178.0</v>
      </c>
      <c r="B180" s="3" t="s">
        <v>2373</v>
      </c>
      <c r="C180" s="3">
        <v>625.0</v>
      </c>
      <c r="D180" s="3" t="s">
        <v>1062</v>
      </c>
      <c r="E180" s="3">
        <v>9.0669</v>
      </c>
      <c r="F180" s="3">
        <v>-83.3472</v>
      </c>
      <c r="G180" s="3">
        <v>9.0</v>
      </c>
      <c r="H180" s="3">
        <v>1.0</v>
      </c>
      <c r="I180" s="3" t="s">
        <v>112</v>
      </c>
      <c r="J180" s="3">
        <v>342.0</v>
      </c>
      <c r="K180" s="3">
        <v>346.0</v>
      </c>
      <c r="L180" s="3" t="s">
        <v>281</v>
      </c>
      <c r="M180" s="3">
        <v>1.0</v>
      </c>
      <c r="N180" s="3" t="s">
        <v>121</v>
      </c>
      <c r="O180" s="3" t="s">
        <v>2374</v>
      </c>
      <c r="P180" s="3" t="s">
        <v>2378</v>
      </c>
      <c r="Q180" s="3">
        <v>3.0</v>
      </c>
      <c r="R180" s="3">
        <v>471.0</v>
      </c>
      <c r="S180" s="3">
        <v>31.217137</v>
      </c>
      <c r="T180" s="3">
        <v>2.395495</v>
      </c>
      <c r="U180" s="3" t="s">
        <v>2376</v>
      </c>
      <c r="V180" s="3">
        <v>0.0</v>
      </c>
      <c r="W180" s="3">
        <v>2845.0</v>
      </c>
      <c r="X180" s="3">
        <v>6850.0</v>
      </c>
      <c r="Y180" s="3">
        <v>15.0</v>
      </c>
      <c r="Z180" s="3">
        <v>108.0</v>
      </c>
      <c r="AA180" s="3">
        <v>461.0</v>
      </c>
      <c r="AB180" s="3">
        <v>1222.0</v>
      </c>
      <c r="AC180" s="3">
        <v>356.0</v>
      </c>
    </row>
    <row r="181">
      <c r="A181" s="3">
        <v>179.0</v>
      </c>
      <c r="B181" s="3" t="s">
        <v>2373</v>
      </c>
      <c r="C181" s="3">
        <v>626.0</v>
      </c>
      <c r="D181" s="3" t="s">
        <v>1065</v>
      </c>
      <c r="E181" s="3">
        <v>9.0669</v>
      </c>
      <c r="F181" s="3">
        <v>-83.3472</v>
      </c>
      <c r="G181" s="3">
        <v>9.0</v>
      </c>
      <c r="H181" s="3">
        <v>1.0</v>
      </c>
      <c r="I181" s="3" t="s">
        <v>112</v>
      </c>
      <c r="J181" s="3">
        <v>342.0</v>
      </c>
      <c r="K181" s="3">
        <v>346.0</v>
      </c>
      <c r="L181" s="3" t="s">
        <v>281</v>
      </c>
      <c r="M181" s="3">
        <v>1.0</v>
      </c>
      <c r="N181" s="3" t="s">
        <v>121</v>
      </c>
      <c r="O181" s="3" t="s">
        <v>2374</v>
      </c>
      <c r="P181" s="3" t="s">
        <v>2378</v>
      </c>
      <c r="Q181" s="3">
        <v>3.0</v>
      </c>
      <c r="R181" s="3">
        <v>471.0</v>
      </c>
      <c r="S181" s="3">
        <v>31.217137</v>
      </c>
      <c r="T181" s="3">
        <v>2.395495</v>
      </c>
      <c r="U181" s="3" t="s">
        <v>2376</v>
      </c>
      <c r="V181" s="3">
        <v>0.0</v>
      </c>
      <c r="W181" s="3">
        <v>2845.0</v>
      </c>
      <c r="X181" s="3">
        <v>6850.0</v>
      </c>
      <c r="Y181" s="3">
        <v>15.0</v>
      </c>
      <c r="Z181" s="3">
        <v>108.0</v>
      </c>
      <c r="AA181" s="3">
        <v>461.0</v>
      </c>
      <c r="AB181" s="3">
        <v>1222.0</v>
      </c>
      <c r="AC181" s="3">
        <v>356.0</v>
      </c>
    </row>
    <row r="182">
      <c r="A182" s="3">
        <v>180.0</v>
      </c>
      <c r="B182" s="3" t="s">
        <v>2373</v>
      </c>
      <c r="C182" s="3">
        <v>627.0</v>
      </c>
      <c r="D182" s="78" t="s">
        <v>1066</v>
      </c>
      <c r="E182" s="3">
        <v>9.0669</v>
      </c>
      <c r="F182" s="3">
        <v>-83.3472</v>
      </c>
      <c r="G182" s="3">
        <v>9.0</v>
      </c>
      <c r="H182" s="3">
        <v>1.0</v>
      </c>
      <c r="I182" s="3" t="s">
        <v>112</v>
      </c>
      <c r="J182" s="3">
        <v>342.0</v>
      </c>
      <c r="K182" s="3">
        <v>346.0</v>
      </c>
      <c r="L182" s="3" t="s">
        <v>281</v>
      </c>
      <c r="M182" s="3">
        <v>1.0</v>
      </c>
      <c r="N182" s="3" t="s">
        <v>121</v>
      </c>
      <c r="O182" s="3" t="s">
        <v>2374</v>
      </c>
      <c r="P182" s="3" t="s">
        <v>2378</v>
      </c>
      <c r="Q182" s="3">
        <v>3.0</v>
      </c>
      <c r="R182" s="3">
        <v>471.0</v>
      </c>
      <c r="S182" s="3">
        <v>31.217137</v>
      </c>
      <c r="T182" s="3">
        <v>2.395495</v>
      </c>
      <c r="U182" s="3" t="s">
        <v>2376</v>
      </c>
      <c r="V182" s="3">
        <v>0.0</v>
      </c>
      <c r="W182" s="3">
        <v>2845.0</v>
      </c>
      <c r="X182" s="3">
        <v>6850.0</v>
      </c>
      <c r="Y182" s="3">
        <v>15.0</v>
      </c>
      <c r="Z182" s="3">
        <v>108.0</v>
      </c>
      <c r="AA182" s="3">
        <v>461.0</v>
      </c>
      <c r="AB182" s="3">
        <v>1222.0</v>
      </c>
      <c r="AC182" s="3">
        <v>356.0</v>
      </c>
    </row>
    <row r="183">
      <c r="A183" s="3">
        <v>181.0</v>
      </c>
      <c r="B183" s="3" t="s">
        <v>2373</v>
      </c>
      <c r="C183" s="3">
        <v>628.0</v>
      </c>
      <c r="D183" s="3" t="s">
        <v>1905</v>
      </c>
      <c r="E183" s="3">
        <v>8.929</v>
      </c>
      <c r="F183" s="3">
        <v>-82.9257</v>
      </c>
      <c r="G183" s="3">
        <v>9.0</v>
      </c>
      <c r="H183" s="3">
        <v>1.0</v>
      </c>
      <c r="I183" s="3" t="s">
        <v>112</v>
      </c>
      <c r="J183" s="3">
        <v>342.0</v>
      </c>
      <c r="K183" s="3">
        <v>346.0</v>
      </c>
      <c r="L183" s="3" t="s">
        <v>281</v>
      </c>
      <c r="M183" s="3">
        <v>1.0</v>
      </c>
      <c r="N183" s="3" t="s">
        <v>121</v>
      </c>
      <c r="O183" s="3" t="s">
        <v>2374</v>
      </c>
      <c r="P183" s="3" t="s">
        <v>2378</v>
      </c>
      <c r="Q183" s="3">
        <v>3.0</v>
      </c>
      <c r="R183" s="3">
        <v>471.0</v>
      </c>
      <c r="S183" s="3">
        <v>31.217137</v>
      </c>
      <c r="T183" s="3">
        <v>2.395495</v>
      </c>
      <c r="U183" s="3" t="s">
        <v>2376</v>
      </c>
      <c r="V183" s="3">
        <v>0.0</v>
      </c>
      <c r="W183" s="3">
        <v>2756.0</v>
      </c>
      <c r="X183" s="3">
        <v>6258.0</v>
      </c>
      <c r="Y183" s="3">
        <v>40.0</v>
      </c>
      <c r="Z183" s="3">
        <v>160.0</v>
      </c>
      <c r="AA183" s="3">
        <v>443.0</v>
      </c>
      <c r="AB183" s="3">
        <v>1197.0</v>
      </c>
      <c r="AC183" s="3">
        <v>1017.0</v>
      </c>
    </row>
    <row r="184">
      <c r="A184" s="3">
        <v>182.0</v>
      </c>
      <c r="B184" s="3" t="s">
        <v>2373</v>
      </c>
      <c r="C184" s="3">
        <v>629.0</v>
      </c>
      <c r="D184" s="3" t="s">
        <v>1907</v>
      </c>
      <c r="E184" s="3">
        <v>8.929</v>
      </c>
      <c r="F184" s="3">
        <v>-82.9257</v>
      </c>
      <c r="G184" s="3">
        <v>9.0</v>
      </c>
      <c r="H184" s="3">
        <v>1.0</v>
      </c>
      <c r="I184" s="3" t="s">
        <v>112</v>
      </c>
      <c r="J184" s="3">
        <v>342.0</v>
      </c>
      <c r="K184" s="3">
        <v>346.0</v>
      </c>
      <c r="L184" s="3" t="s">
        <v>281</v>
      </c>
      <c r="M184" s="3">
        <v>1.0</v>
      </c>
      <c r="N184" s="3" t="s">
        <v>121</v>
      </c>
      <c r="O184" s="3" t="s">
        <v>2374</v>
      </c>
      <c r="P184" s="3" t="s">
        <v>2378</v>
      </c>
      <c r="Q184" s="3">
        <v>3.0</v>
      </c>
      <c r="R184" s="3">
        <v>471.0</v>
      </c>
      <c r="S184" s="3">
        <v>31.217137</v>
      </c>
      <c r="T184" s="3">
        <v>2.395495</v>
      </c>
      <c r="U184" s="3" t="s">
        <v>2376</v>
      </c>
      <c r="V184" s="3">
        <v>0.0</v>
      </c>
      <c r="W184" s="3">
        <v>2756.0</v>
      </c>
      <c r="X184" s="3">
        <v>6258.0</v>
      </c>
      <c r="Y184" s="3">
        <v>40.0</v>
      </c>
      <c r="Z184" s="3">
        <v>160.0</v>
      </c>
      <c r="AA184" s="3">
        <v>443.0</v>
      </c>
      <c r="AB184" s="3">
        <v>1197.0</v>
      </c>
      <c r="AC184" s="3">
        <v>1017.0</v>
      </c>
    </row>
    <row r="185">
      <c r="A185" s="3">
        <v>183.0</v>
      </c>
      <c r="B185" s="3" t="s">
        <v>2373</v>
      </c>
      <c r="C185" s="3">
        <v>630.0</v>
      </c>
      <c r="D185" s="3" t="s">
        <v>1908</v>
      </c>
      <c r="E185" s="3">
        <v>8.929</v>
      </c>
      <c r="F185" s="3">
        <v>-82.9257</v>
      </c>
      <c r="G185" s="3">
        <v>9.0</v>
      </c>
      <c r="H185" s="3">
        <v>1.0</v>
      </c>
      <c r="I185" s="3" t="s">
        <v>112</v>
      </c>
      <c r="J185" s="3">
        <v>342.0</v>
      </c>
      <c r="K185" s="3">
        <v>346.0</v>
      </c>
      <c r="L185" s="3" t="s">
        <v>281</v>
      </c>
      <c r="M185" s="3">
        <v>1.0</v>
      </c>
      <c r="N185" s="3" t="s">
        <v>121</v>
      </c>
      <c r="O185" s="3" t="s">
        <v>2374</v>
      </c>
      <c r="P185" s="3" t="s">
        <v>2378</v>
      </c>
      <c r="Q185" s="3">
        <v>3.0</v>
      </c>
      <c r="R185" s="3">
        <v>471.0</v>
      </c>
      <c r="S185" s="3">
        <v>31.217137</v>
      </c>
      <c r="T185" s="3">
        <v>2.395495</v>
      </c>
      <c r="U185" s="3" t="s">
        <v>2376</v>
      </c>
      <c r="V185" s="3">
        <v>0.0</v>
      </c>
      <c r="W185" s="3">
        <v>2756.0</v>
      </c>
      <c r="X185" s="3">
        <v>6258.0</v>
      </c>
      <c r="Y185" s="3">
        <v>40.0</v>
      </c>
      <c r="Z185" s="3">
        <v>160.0</v>
      </c>
      <c r="AA185" s="3">
        <v>443.0</v>
      </c>
      <c r="AB185" s="3">
        <v>1197.0</v>
      </c>
      <c r="AC185" s="3">
        <v>1017.0</v>
      </c>
    </row>
    <row r="186">
      <c r="A186" s="3">
        <v>184.0</v>
      </c>
      <c r="B186" s="3" t="s">
        <v>2373</v>
      </c>
      <c r="C186" s="3">
        <v>631.0</v>
      </c>
      <c r="D186" s="3" t="s">
        <v>1911</v>
      </c>
      <c r="E186" s="3">
        <v>8.929</v>
      </c>
      <c r="F186" s="3">
        <v>-82.9257</v>
      </c>
      <c r="G186" s="3">
        <v>9.0</v>
      </c>
      <c r="H186" s="3">
        <v>1.0</v>
      </c>
      <c r="I186" s="3" t="s">
        <v>112</v>
      </c>
      <c r="J186" s="3">
        <v>342.0</v>
      </c>
      <c r="K186" s="3">
        <v>346.0</v>
      </c>
      <c r="L186" s="3" t="s">
        <v>281</v>
      </c>
      <c r="M186" s="3">
        <v>1.0</v>
      </c>
      <c r="N186" s="3" t="s">
        <v>121</v>
      </c>
      <c r="O186" s="3" t="s">
        <v>2374</v>
      </c>
      <c r="P186" s="3" t="s">
        <v>2378</v>
      </c>
      <c r="Q186" s="3">
        <v>3.0</v>
      </c>
      <c r="R186" s="3">
        <v>471.0</v>
      </c>
      <c r="S186" s="3">
        <v>31.217137</v>
      </c>
      <c r="T186" s="3">
        <v>2.395495</v>
      </c>
      <c r="U186" s="3" t="s">
        <v>2376</v>
      </c>
      <c r="V186" s="3">
        <v>0.0</v>
      </c>
      <c r="W186" s="3">
        <v>2756.0</v>
      </c>
      <c r="X186" s="3">
        <v>6258.0</v>
      </c>
      <c r="Y186" s="3">
        <v>40.0</v>
      </c>
      <c r="Z186" s="3">
        <v>160.0</v>
      </c>
      <c r="AA186" s="3">
        <v>443.0</v>
      </c>
      <c r="AB186" s="3">
        <v>1197.0</v>
      </c>
      <c r="AC186" s="3">
        <v>1017.0</v>
      </c>
    </row>
    <row r="187">
      <c r="A187" s="3">
        <v>185.0</v>
      </c>
      <c r="B187" s="3" t="s">
        <v>2373</v>
      </c>
      <c r="C187" s="3">
        <v>36.0</v>
      </c>
      <c r="D187" s="3" t="s">
        <v>1521</v>
      </c>
      <c r="E187" s="3">
        <v>9.483333</v>
      </c>
      <c r="F187" s="3">
        <v>-83.483333</v>
      </c>
      <c r="G187" s="3">
        <v>12.0</v>
      </c>
      <c r="H187" s="3">
        <v>1.0</v>
      </c>
      <c r="I187" s="3" t="s">
        <v>112</v>
      </c>
      <c r="J187" s="3">
        <v>718.0</v>
      </c>
      <c r="K187" s="3">
        <v>724.0</v>
      </c>
      <c r="L187" s="3" t="s">
        <v>154</v>
      </c>
      <c r="M187" s="3">
        <v>1.0</v>
      </c>
      <c r="N187" s="3" t="s">
        <v>121</v>
      </c>
      <c r="O187" s="3" t="s">
        <v>2374</v>
      </c>
      <c r="P187" s="3" t="s">
        <v>2378</v>
      </c>
      <c r="Q187" s="3">
        <v>1.0</v>
      </c>
      <c r="R187" s="3">
        <v>506.0</v>
      </c>
      <c r="S187" s="3">
        <v>36.135686</v>
      </c>
      <c r="T187" s="3">
        <v>1.339368</v>
      </c>
      <c r="U187" s="3" t="s">
        <v>2376</v>
      </c>
      <c r="V187" s="3">
        <v>0.0</v>
      </c>
      <c r="W187" s="3">
        <v>2460.0</v>
      </c>
      <c r="X187" s="3">
        <v>6914.0</v>
      </c>
      <c r="Y187" s="3">
        <v>19.0</v>
      </c>
      <c r="Z187" s="3">
        <v>83.0</v>
      </c>
      <c r="AA187" s="3">
        <v>383.0</v>
      </c>
      <c r="AB187" s="3">
        <v>1018.0</v>
      </c>
      <c r="AC187" s="3">
        <v>3512.0</v>
      </c>
    </row>
    <row r="188">
      <c r="A188" s="3">
        <v>186.0</v>
      </c>
      <c r="B188" s="3" t="s">
        <v>2373</v>
      </c>
      <c r="C188" s="3">
        <v>37.0</v>
      </c>
      <c r="D188" s="3" t="s">
        <v>307</v>
      </c>
      <c r="E188" s="3">
        <v>9.483333</v>
      </c>
      <c r="F188" s="3">
        <v>-83.483333</v>
      </c>
      <c r="G188" s="3">
        <v>12.0</v>
      </c>
      <c r="H188" s="3">
        <v>1.0</v>
      </c>
      <c r="I188" s="3" t="s">
        <v>112</v>
      </c>
      <c r="J188" s="3">
        <v>718.0</v>
      </c>
      <c r="K188" s="3">
        <v>724.0</v>
      </c>
      <c r="L188" s="3" t="s">
        <v>154</v>
      </c>
      <c r="M188" s="3">
        <v>1.0</v>
      </c>
      <c r="N188" s="3" t="s">
        <v>121</v>
      </c>
      <c r="O188" s="3" t="s">
        <v>2374</v>
      </c>
      <c r="P188" s="3" t="s">
        <v>2378</v>
      </c>
      <c r="Q188" s="3">
        <v>1.0</v>
      </c>
      <c r="R188" s="3">
        <v>506.0</v>
      </c>
      <c r="S188" s="3">
        <v>36.135686</v>
      </c>
      <c r="T188" s="3">
        <v>1.339368</v>
      </c>
      <c r="U188" s="3" t="s">
        <v>2376</v>
      </c>
      <c r="V188" s="3">
        <v>0.0</v>
      </c>
      <c r="W188" s="3">
        <v>2460.0</v>
      </c>
      <c r="X188" s="3">
        <v>6914.0</v>
      </c>
      <c r="Y188" s="3">
        <v>19.0</v>
      </c>
      <c r="Z188" s="3">
        <v>83.0</v>
      </c>
      <c r="AA188" s="3">
        <v>383.0</v>
      </c>
      <c r="AB188" s="3">
        <v>1018.0</v>
      </c>
      <c r="AC188" s="3">
        <v>3512.0</v>
      </c>
    </row>
    <row r="189">
      <c r="A189" s="3">
        <v>187.0</v>
      </c>
      <c r="B189" s="3" t="s">
        <v>2373</v>
      </c>
      <c r="C189" s="3">
        <v>38.0</v>
      </c>
      <c r="D189" s="3" t="s">
        <v>309</v>
      </c>
      <c r="E189" s="3">
        <v>9.483333</v>
      </c>
      <c r="F189" s="3">
        <v>-83.483333</v>
      </c>
      <c r="G189" s="3">
        <v>12.0</v>
      </c>
      <c r="H189" s="3">
        <v>1.0</v>
      </c>
      <c r="I189" s="3" t="s">
        <v>112</v>
      </c>
      <c r="J189" s="3">
        <v>718.0</v>
      </c>
      <c r="K189" s="3">
        <v>724.0</v>
      </c>
      <c r="L189" s="3" t="s">
        <v>154</v>
      </c>
      <c r="M189" s="3">
        <v>1.0</v>
      </c>
      <c r="N189" s="3" t="s">
        <v>121</v>
      </c>
      <c r="O189" s="3" t="s">
        <v>2374</v>
      </c>
      <c r="P189" s="3" t="s">
        <v>2378</v>
      </c>
      <c r="Q189" s="3">
        <v>1.0</v>
      </c>
      <c r="R189" s="3">
        <v>506.0</v>
      </c>
      <c r="S189" s="3">
        <v>36.135686</v>
      </c>
      <c r="T189" s="3">
        <v>1.339368</v>
      </c>
      <c r="U189" s="3" t="s">
        <v>2376</v>
      </c>
      <c r="V189" s="3">
        <v>0.0</v>
      </c>
      <c r="W189" s="3">
        <v>2460.0</v>
      </c>
      <c r="X189" s="3">
        <v>6914.0</v>
      </c>
      <c r="Y189" s="3">
        <v>19.0</v>
      </c>
      <c r="Z189" s="3">
        <v>83.0</v>
      </c>
      <c r="AA189" s="3">
        <v>383.0</v>
      </c>
      <c r="AB189" s="3">
        <v>1018.0</v>
      </c>
      <c r="AC189" s="3">
        <v>3512.0</v>
      </c>
    </row>
    <row r="190">
      <c r="A190" s="3">
        <v>188.0</v>
      </c>
      <c r="B190" s="3" t="s">
        <v>2373</v>
      </c>
      <c r="C190" s="3">
        <v>39.0</v>
      </c>
      <c r="D190" s="3" t="s">
        <v>311</v>
      </c>
      <c r="E190" s="3">
        <v>9.483333</v>
      </c>
      <c r="F190" s="3">
        <v>-83.483333</v>
      </c>
      <c r="G190" s="3">
        <v>12.0</v>
      </c>
      <c r="H190" s="3">
        <v>1.0</v>
      </c>
      <c r="I190" s="3" t="s">
        <v>112</v>
      </c>
      <c r="J190" s="3">
        <v>718.0</v>
      </c>
      <c r="K190" s="3">
        <v>724.0</v>
      </c>
      <c r="L190" s="3" t="s">
        <v>154</v>
      </c>
      <c r="M190" s="3">
        <v>1.0</v>
      </c>
      <c r="N190" s="3" t="s">
        <v>121</v>
      </c>
      <c r="O190" s="3" t="s">
        <v>2374</v>
      </c>
      <c r="P190" s="3" t="s">
        <v>2378</v>
      </c>
      <c r="Q190" s="3">
        <v>1.0</v>
      </c>
      <c r="R190" s="3">
        <v>506.0</v>
      </c>
      <c r="S190" s="3">
        <v>36.135686</v>
      </c>
      <c r="T190" s="3">
        <v>1.339368</v>
      </c>
      <c r="U190" s="3" t="s">
        <v>2376</v>
      </c>
      <c r="V190" s="3">
        <v>0.0</v>
      </c>
      <c r="W190" s="3">
        <v>2460.0</v>
      </c>
      <c r="X190" s="3">
        <v>6914.0</v>
      </c>
      <c r="Y190" s="3">
        <v>19.0</v>
      </c>
      <c r="Z190" s="3">
        <v>83.0</v>
      </c>
      <c r="AA190" s="3">
        <v>383.0</v>
      </c>
      <c r="AB190" s="3">
        <v>1018.0</v>
      </c>
      <c r="AC190" s="3">
        <v>3512.0</v>
      </c>
    </row>
    <row r="191">
      <c r="A191" s="3">
        <v>189.0</v>
      </c>
      <c r="B191" s="3" t="s">
        <v>2373</v>
      </c>
      <c r="C191" s="3">
        <v>40.0</v>
      </c>
      <c r="D191" s="3" t="s">
        <v>1523</v>
      </c>
      <c r="E191" s="3">
        <v>9.483333</v>
      </c>
      <c r="F191" s="3">
        <v>-83.483333</v>
      </c>
      <c r="G191" s="3">
        <v>12.0</v>
      </c>
      <c r="H191" s="3">
        <v>1.0</v>
      </c>
      <c r="I191" s="3" t="s">
        <v>112</v>
      </c>
      <c r="J191" s="3">
        <v>718.0</v>
      </c>
      <c r="K191" s="3">
        <v>724.0</v>
      </c>
      <c r="L191" s="3" t="s">
        <v>154</v>
      </c>
      <c r="M191" s="3">
        <v>1.0</v>
      </c>
      <c r="N191" s="3" t="s">
        <v>121</v>
      </c>
      <c r="O191" s="3" t="s">
        <v>2374</v>
      </c>
      <c r="P191" s="3" t="s">
        <v>2378</v>
      </c>
      <c r="Q191" s="3">
        <v>1.0</v>
      </c>
      <c r="R191" s="3">
        <v>506.0</v>
      </c>
      <c r="S191" s="3">
        <v>36.135686</v>
      </c>
      <c r="T191" s="3">
        <v>1.339368</v>
      </c>
      <c r="U191" s="3" t="s">
        <v>2376</v>
      </c>
      <c r="V191" s="3">
        <v>0.0</v>
      </c>
      <c r="W191" s="3">
        <v>2460.0</v>
      </c>
      <c r="X191" s="3">
        <v>6914.0</v>
      </c>
      <c r="Y191" s="3">
        <v>19.0</v>
      </c>
      <c r="Z191" s="3">
        <v>83.0</v>
      </c>
      <c r="AA191" s="3">
        <v>383.0</v>
      </c>
      <c r="AB191" s="3">
        <v>1018.0</v>
      </c>
      <c r="AC191" s="3">
        <v>3512.0</v>
      </c>
    </row>
    <row r="192">
      <c r="A192" s="3">
        <v>190.0</v>
      </c>
      <c r="B192" s="3" t="s">
        <v>2373</v>
      </c>
      <c r="C192" s="3">
        <v>99.0</v>
      </c>
      <c r="D192" s="3" t="s">
        <v>1118</v>
      </c>
      <c r="E192" s="3">
        <v>9.494794</v>
      </c>
      <c r="F192" s="3">
        <v>-83.486688</v>
      </c>
      <c r="G192" s="3">
        <v>12.0</v>
      </c>
      <c r="H192" s="3">
        <v>1.0</v>
      </c>
      <c r="I192" s="3" t="s">
        <v>112</v>
      </c>
      <c r="J192" s="3">
        <v>718.0</v>
      </c>
      <c r="K192" s="3">
        <v>724.0</v>
      </c>
      <c r="L192" s="3" t="s">
        <v>154</v>
      </c>
      <c r="M192" s="3">
        <v>1.0</v>
      </c>
      <c r="N192" s="3" t="s">
        <v>121</v>
      </c>
      <c r="O192" s="3" t="s">
        <v>2374</v>
      </c>
      <c r="P192" s="3" t="s">
        <v>2378</v>
      </c>
      <c r="Q192" s="3">
        <v>1.0</v>
      </c>
      <c r="R192" s="3">
        <v>506.0</v>
      </c>
      <c r="S192" s="3">
        <v>36.135686</v>
      </c>
      <c r="T192" s="3">
        <v>1.339368</v>
      </c>
      <c r="U192" s="3" t="s">
        <v>2376</v>
      </c>
      <c r="V192" s="3">
        <v>0.0</v>
      </c>
      <c r="W192" s="3">
        <v>2202.0</v>
      </c>
      <c r="X192" s="3">
        <v>7181.0</v>
      </c>
      <c r="Y192" s="3">
        <v>11.0</v>
      </c>
      <c r="Z192" s="3">
        <v>65.0</v>
      </c>
      <c r="AA192" s="3">
        <v>369.0</v>
      </c>
      <c r="AB192" s="3">
        <v>957.0</v>
      </c>
      <c r="AC192" s="3">
        <v>3509.0</v>
      </c>
    </row>
    <row r="193">
      <c r="A193" s="3">
        <v>191.0</v>
      </c>
      <c r="B193" s="3" t="s">
        <v>2373</v>
      </c>
      <c r="C193" s="3">
        <v>100.0</v>
      </c>
      <c r="D193" s="3" t="s">
        <v>596</v>
      </c>
      <c r="E193" s="3">
        <v>8.813</v>
      </c>
      <c r="F193" s="3">
        <v>-82.963</v>
      </c>
      <c r="G193" s="3">
        <v>12.0</v>
      </c>
      <c r="H193" s="3">
        <v>1.0</v>
      </c>
      <c r="I193" s="3" t="s">
        <v>112</v>
      </c>
      <c r="J193" s="3">
        <v>718.0</v>
      </c>
      <c r="K193" s="3">
        <v>724.0</v>
      </c>
      <c r="L193" s="3" t="s">
        <v>154</v>
      </c>
      <c r="M193" s="3">
        <v>1.0</v>
      </c>
      <c r="N193" s="3" t="s">
        <v>121</v>
      </c>
      <c r="O193" s="3" t="s">
        <v>2374</v>
      </c>
      <c r="P193" s="3" t="s">
        <v>2378</v>
      </c>
      <c r="Q193" s="3">
        <v>1.0</v>
      </c>
      <c r="R193" s="3">
        <v>506.0</v>
      </c>
      <c r="S193" s="3">
        <v>36.135686</v>
      </c>
      <c r="T193" s="3">
        <v>1.339368</v>
      </c>
      <c r="U193" s="3" t="s">
        <v>2376</v>
      </c>
      <c r="V193" s="3">
        <v>0.0</v>
      </c>
      <c r="W193" s="3">
        <v>2841.0</v>
      </c>
      <c r="X193" s="3">
        <v>6482.0</v>
      </c>
      <c r="Y193" s="3">
        <v>40.0</v>
      </c>
      <c r="Z193" s="3">
        <v>166.0</v>
      </c>
      <c r="AA193" s="3">
        <v>539.0</v>
      </c>
      <c r="AB193" s="3">
        <v>1165.0</v>
      </c>
      <c r="AC193" s="3">
        <v>1094.0</v>
      </c>
    </row>
    <row r="194">
      <c r="A194" s="3">
        <v>192.0</v>
      </c>
      <c r="B194" s="3" t="s">
        <v>2373</v>
      </c>
      <c r="C194" s="3">
        <v>101.0</v>
      </c>
      <c r="D194" s="3" t="s">
        <v>598</v>
      </c>
      <c r="E194" s="3">
        <v>8.813</v>
      </c>
      <c r="F194" s="3">
        <v>-82.963</v>
      </c>
      <c r="G194" s="3">
        <v>12.0</v>
      </c>
      <c r="H194" s="3">
        <v>1.0</v>
      </c>
      <c r="I194" s="3" t="s">
        <v>112</v>
      </c>
      <c r="J194" s="3">
        <v>718.0</v>
      </c>
      <c r="K194" s="3">
        <v>724.0</v>
      </c>
      <c r="L194" s="3" t="s">
        <v>154</v>
      </c>
      <c r="M194" s="3">
        <v>1.0</v>
      </c>
      <c r="N194" s="3" t="s">
        <v>121</v>
      </c>
      <c r="O194" s="3" t="s">
        <v>2374</v>
      </c>
      <c r="P194" s="3" t="s">
        <v>2378</v>
      </c>
      <c r="Q194" s="3">
        <v>1.0</v>
      </c>
      <c r="R194" s="3">
        <v>506.0</v>
      </c>
      <c r="S194" s="3">
        <v>36.135686</v>
      </c>
      <c r="T194" s="3">
        <v>1.339368</v>
      </c>
      <c r="U194" s="3" t="s">
        <v>2376</v>
      </c>
      <c r="V194" s="3">
        <v>0.0</v>
      </c>
      <c r="W194" s="3">
        <v>2841.0</v>
      </c>
      <c r="X194" s="3">
        <v>6482.0</v>
      </c>
      <c r="Y194" s="3">
        <v>40.0</v>
      </c>
      <c r="Z194" s="3">
        <v>166.0</v>
      </c>
      <c r="AA194" s="3">
        <v>539.0</v>
      </c>
      <c r="AB194" s="3">
        <v>1165.0</v>
      </c>
      <c r="AC194" s="3">
        <v>1094.0</v>
      </c>
    </row>
    <row r="195">
      <c r="A195" s="3">
        <v>193.0</v>
      </c>
      <c r="B195" s="3" t="s">
        <v>2373</v>
      </c>
      <c r="C195" s="3">
        <v>102.0</v>
      </c>
      <c r="D195" s="3" t="s">
        <v>601</v>
      </c>
      <c r="E195" s="3">
        <v>8.813</v>
      </c>
      <c r="F195" s="3">
        <v>-82.963</v>
      </c>
      <c r="G195" s="3">
        <v>12.0</v>
      </c>
      <c r="H195" s="3">
        <v>1.0</v>
      </c>
      <c r="I195" s="3" t="s">
        <v>112</v>
      </c>
      <c r="J195" s="3">
        <v>718.0</v>
      </c>
      <c r="K195" s="3">
        <v>724.0</v>
      </c>
      <c r="L195" s="3" t="s">
        <v>154</v>
      </c>
      <c r="M195" s="3">
        <v>1.0</v>
      </c>
      <c r="N195" s="3" t="s">
        <v>121</v>
      </c>
      <c r="O195" s="3" t="s">
        <v>2374</v>
      </c>
      <c r="P195" s="3" t="s">
        <v>2378</v>
      </c>
      <c r="Q195" s="3">
        <v>1.0</v>
      </c>
      <c r="R195" s="3">
        <v>506.0</v>
      </c>
      <c r="S195" s="3">
        <v>36.135686</v>
      </c>
      <c r="T195" s="3">
        <v>1.339368</v>
      </c>
      <c r="U195" s="3" t="s">
        <v>2376</v>
      </c>
      <c r="V195" s="3">
        <v>0.0</v>
      </c>
      <c r="W195" s="3">
        <v>2841.0</v>
      </c>
      <c r="X195" s="3">
        <v>6482.0</v>
      </c>
      <c r="Y195" s="3">
        <v>40.0</v>
      </c>
      <c r="Z195" s="3">
        <v>166.0</v>
      </c>
      <c r="AA195" s="3">
        <v>539.0</v>
      </c>
      <c r="AB195" s="3">
        <v>1165.0</v>
      </c>
      <c r="AC195" s="3">
        <v>1094.0</v>
      </c>
    </row>
    <row r="196">
      <c r="A196" s="3">
        <v>194.0</v>
      </c>
      <c r="B196" s="3" t="s">
        <v>2373</v>
      </c>
      <c r="C196" s="3">
        <v>103.0</v>
      </c>
      <c r="D196" s="3" t="s">
        <v>602</v>
      </c>
      <c r="E196" s="3">
        <v>8.813</v>
      </c>
      <c r="F196" s="3">
        <v>-82.963</v>
      </c>
      <c r="G196" s="3">
        <v>12.0</v>
      </c>
      <c r="H196" s="3">
        <v>1.0</v>
      </c>
      <c r="I196" s="3" t="s">
        <v>112</v>
      </c>
      <c r="J196" s="3">
        <v>718.0</v>
      </c>
      <c r="K196" s="3">
        <v>724.0</v>
      </c>
      <c r="L196" s="3" t="s">
        <v>154</v>
      </c>
      <c r="M196" s="3">
        <v>1.0</v>
      </c>
      <c r="N196" s="3" t="s">
        <v>121</v>
      </c>
      <c r="O196" s="3" t="s">
        <v>2374</v>
      </c>
      <c r="P196" s="3" t="s">
        <v>2378</v>
      </c>
      <c r="Q196" s="3">
        <v>1.0</v>
      </c>
      <c r="R196" s="3">
        <v>506.0</v>
      </c>
      <c r="S196" s="3">
        <v>36.135686</v>
      </c>
      <c r="T196" s="3">
        <v>1.339368</v>
      </c>
      <c r="U196" s="3" t="s">
        <v>2376</v>
      </c>
      <c r="V196" s="3">
        <v>0.0</v>
      </c>
      <c r="W196" s="3">
        <v>2841.0</v>
      </c>
      <c r="X196" s="3">
        <v>6482.0</v>
      </c>
      <c r="Y196" s="3">
        <v>40.0</v>
      </c>
      <c r="Z196" s="3">
        <v>166.0</v>
      </c>
      <c r="AA196" s="3">
        <v>539.0</v>
      </c>
      <c r="AB196" s="3">
        <v>1165.0</v>
      </c>
      <c r="AC196" s="3">
        <v>1094.0</v>
      </c>
    </row>
    <row r="197">
      <c r="A197" s="3">
        <v>195.0</v>
      </c>
      <c r="B197" s="3" t="s">
        <v>2373</v>
      </c>
      <c r="C197" s="3">
        <v>104.0</v>
      </c>
      <c r="D197" s="3" t="s">
        <v>1971</v>
      </c>
      <c r="E197" s="3">
        <v>8.813</v>
      </c>
      <c r="F197" s="3">
        <v>-82.963</v>
      </c>
      <c r="G197" s="3">
        <v>12.0</v>
      </c>
      <c r="H197" s="3">
        <v>1.0</v>
      </c>
      <c r="I197" s="3" t="s">
        <v>112</v>
      </c>
      <c r="J197" s="3">
        <v>718.0</v>
      </c>
      <c r="K197" s="3">
        <v>724.0</v>
      </c>
      <c r="L197" s="3" t="s">
        <v>154</v>
      </c>
      <c r="M197" s="3">
        <v>1.0</v>
      </c>
      <c r="N197" s="3" t="s">
        <v>121</v>
      </c>
      <c r="O197" s="3" t="s">
        <v>2374</v>
      </c>
      <c r="P197" s="3" t="s">
        <v>2378</v>
      </c>
      <c r="Q197" s="3">
        <v>1.0</v>
      </c>
      <c r="R197" s="3">
        <v>506.0</v>
      </c>
      <c r="S197" s="3">
        <v>36.135686</v>
      </c>
      <c r="T197" s="3">
        <v>1.339368</v>
      </c>
      <c r="U197" s="3" t="s">
        <v>2376</v>
      </c>
      <c r="V197" s="3">
        <v>0.0</v>
      </c>
      <c r="W197" s="3">
        <v>2841.0</v>
      </c>
      <c r="X197" s="3">
        <v>6482.0</v>
      </c>
      <c r="Y197" s="3">
        <v>40.0</v>
      </c>
      <c r="Z197" s="3">
        <v>166.0</v>
      </c>
      <c r="AA197" s="3">
        <v>539.0</v>
      </c>
      <c r="AB197" s="3">
        <v>1165.0</v>
      </c>
      <c r="AC197" s="3">
        <v>1094.0</v>
      </c>
    </row>
    <row r="198">
      <c r="A198" s="3">
        <v>196.0</v>
      </c>
      <c r="B198" s="3" t="s">
        <v>2373</v>
      </c>
      <c r="C198" s="3">
        <v>174.0</v>
      </c>
      <c r="D198" s="3" t="s">
        <v>897</v>
      </c>
      <c r="E198" s="3">
        <v>8.813056</v>
      </c>
      <c r="F198" s="3">
        <v>-82.963056</v>
      </c>
      <c r="G198" s="3">
        <v>12.0</v>
      </c>
      <c r="H198" s="3">
        <v>1.0</v>
      </c>
      <c r="I198" s="3" t="s">
        <v>112</v>
      </c>
      <c r="J198" s="3">
        <v>718.0</v>
      </c>
      <c r="K198" s="3">
        <v>724.0</v>
      </c>
      <c r="L198" s="3" t="s">
        <v>154</v>
      </c>
      <c r="M198" s="3">
        <v>1.0</v>
      </c>
      <c r="N198" s="3" t="s">
        <v>121</v>
      </c>
      <c r="O198" s="3" t="s">
        <v>2374</v>
      </c>
      <c r="P198" s="3" t="s">
        <v>2378</v>
      </c>
      <c r="Q198" s="3">
        <v>1.0</v>
      </c>
      <c r="R198" s="3">
        <v>506.0</v>
      </c>
      <c r="S198" s="3">
        <v>36.135686</v>
      </c>
      <c r="T198" s="3">
        <v>1.339368</v>
      </c>
      <c r="U198" s="3" t="s">
        <v>2376</v>
      </c>
      <c r="V198" s="3">
        <v>0.0</v>
      </c>
      <c r="W198" s="3">
        <v>2841.0</v>
      </c>
      <c r="X198" s="3">
        <v>6482.0</v>
      </c>
      <c r="Y198" s="3">
        <v>40.0</v>
      </c>
      <c r="Z198" s="3">
        <v>166.0</v>
      </c>
      <c r="AA198" s="3">
        <v>539.0</v>
      </c>
      <c r="AB198" s="3">
        <v>1165.0</v>
      </c>
      <c r="AC198" s="3">
        <v>1094.0</v>
      </c>
    </row>
    <row r="199">
      <c r="A199" s="3">
        <v>197.0</v>
      </c>
      <c r="B199" s="3" t="s">
        <v>2373</v>
      </c>
      <c r="C199" s="3">
        <v>339.0</v>
      </c>
      <c r="D199" s="3" t="s">
        <v>944</v>
      </c>
      <c r="E199" s="3">
        <v>9.494444</v>
      </c>
      <c r="F199" s="3">
        <v>-83.487222</v>
      </c>
      <c r="G199" s="3">
        <v>12.0</v>
      </c>
      <c r="H199" s="3">
        <v>1.0</v>
      </c>
      <c r="I199" s="3" t="s">
        <v>112</v>
      </c>
      <c r="J199" s="3">
        <v>718.0</v>
      </c>
      <c r="K199" s="3">
        <v>724.0</v>
      </c>
      <c r="L199" s="3" t="s">
        <v>154</v>
      </c>
      <c r="M199" s="3">
        <v>1.0</v>
      </c>
      <c r="N199" s="3" t="s">
        <v>121</v>
      </c>
      <c r="O199" s="3" t="s">
        <v>2374</v>
      </c>
      <c r="P199" s="3" t="s">
        <v>2378</v>
      </c>
      <c r="Q199" s="3">
        <v>1.0</v>
      </c>
      <c r="R199" s="3">
        <v>506.0</v>
      </c>
      <c r="S199" s="3">
        <v>36.135686</v>
      </c>
      <c r="T199" s="3">
        <v>1.339368</v>
      </c>
      <c r="U199" s="3" t="s">
        <v>2376</v>
      </c>
      <c r="V199" s="3">
        <v>0.0</v>
      </c>
      <c r="W199" s="3">
        <v>2202.0</v>
      </c>
      <c r="X199" s="3">
        <v>7181.0</v>
      </c>
      <c r="Y199" s="3">
        <v>11.0</v>
      </c>
      <c r="Z199" s="3">
        <v>65.0</v>
      </c>
      <c r="AA199" s="3">
        <v>369.0</v>
      </c>
      <c r="AB199" s="3">
        <v>957.0</v>
      </c>
      <c r="AC199" s="3">
        <v>3509.0</v>
      </c>
    </row>
    <row r="200">
      <c r="A200" s="3">
        <v>198.0</v>
      </c>
      <c r="B200" s="3" t="s">
        <v>2373</v>
      </c>
      <c r="C200" s="3">
        <v>389.0</v>
      </c>
      <c r="D200" s="3" t="s">
        <v>2161</v>
      </c>
      <c r="E200" s="3">
        <v>8.813</v>
      </c>
      <c r="F200" s="3">
        <v>-82.963</v>
      </c>
      <c r="G200" s="3">
        <v>12.0</v>
      </c>
      <c r="H200" s="3">
        <v>1.0</v>
      </c>
      <c r="I200" s="3" t="s">
        <v>112</v>
      </c>
      <c r="J200" s="3">
        <v>718.0</v>
      </c>
      <c r="K200" s="3">
        <v>724.0</v>
      </c>
      <c r="L200" s="3" t="s">
        <v>154</v>
      </c>
      <c r="M200" s="3">
        <v>1.0</v>
      </c>
      <c r="N200" s="3" t="s">
        <v>121</v>
      </c>
      <c r="O200" s="3" t="s">
        <v>2374</v>
      </c>
      <c r="P200" s="3" t="s">
        <v>2378</v>
      </c>
      <c r="Q200" s="3">
        <v>1.0</v>
      </c>
      <c r="R200" s="3">
        <v>506.0</v>
      </c>
      <c r="S200" s="3">
        <v>36.135686</v>
      </c>
      <c r="T200" s="3">
        <v>1.339368</v>
      </c>
      <c r="U200" s="3" t="s">
        <v>2376</v>
      </c>
      <c r="V200" s="3">
        <v>0.0</v>
      </c>
      <c r="W200" s="3">
        <v>2841.0</v>
      </c>
      <c r="X200" s="3">
        <v>6482.0</v>
      </c>
      <c r="Y200" s="3">
        <v>40.0</v>
      </c>
      <c r="Z200" s="3">
        <v>166.0</v>
      </c>
      <c r="AA200" s="3">
        <v>539.0</v>
      </c>
      <c r="AB200" s="3">
        <v>1165.0</v>
      </c>
      <c r="AC200" s="3">
        <v>1094.0</v>
      </c>
    </row>
    <row r="201">
      <c r="A201" s="3">
        <v>199.0</v>
      </c>
      <c r="B201" s="3" t="s">
        <v>2373</v>
      </c>
      <c r="C201" s="3">
        <v>390.0</v>
      </c>
      <c r="D201" s="3" t="s">
        <v>2163</v>
      </c>
      <c r="E201" s="3">
        <v>8.813</v>
      </c>
      <c r="F201" s="3">
        <v>-82.963</v>
      </c>
      <c r="G201" s="3">
        <v>12.0</v>
      </c>
      <c r="H201" s="3">
        <v>1.0</v>
      </c>
      <c r="I201" s="3" t="s">
        <v>112</v>
      </c>
      <c r="J201" s="3">
        <v>718.0</v>
      </c>
      <c r="K201" s="3">
        <v>724.0</v>
      </c>
      <c r="L201" s="3" t="s">
        <v>154</v>
      </c>
      <c r="M201" s="3">
        <v>1.0</v>
      </c>
      <c r="N201" s="3" t="s">
        <v>121</v>
      </c>
      <c r="O201" s="3" t="s">
        <v>2374</v>
      </c>
      <c r="P201" s="3" t="s">
        <v>2378</v>
      </c>
      <c r="Q201" s="3">
        <v>1.0</v>
      </c>
      <c r="R201" s="3">
        <v>506.0</v>
      </c>
      <c r="S201" s="3">
        <v>36.135686</v>
      </c>
      <c r="T201" s="3">
        <v>1.339368</v>
      </c>
      <c r="U201" s="3" t="s">
        <v>2376</v>
      </c>
      <c r="V201" s="3">
        <v>0.0</v>
      </c>
      <c r="W201" s="3">
        <v>2841.0</v>
      </c>
      <c r="X201" s="3">
        <v>6482.0</v>
      </c>
      <c r="Y201" s="3">
        <v>40.0</v>
      </c>
      <c r="Z201" s="3">
        <v>166.0</v>
      </c>
      <c r="AA201" s="3">
        <v>539.0</v>
      </c>
      <c r="AB201" s="3">
        <v>1165.0</v>
      </c>
      <c r="AC201" s="3">
        <v>1094.0</v>
      </c>
    </row>
    <row r="202">
      <c r="A202" s="3">
        <v>200.0</v>
      </c>
      <c r="B202" s="3" t="s">
        <v>2373</v>
      </c>
      <c r="C202" s="3">
        <v>391.0</v>
      </c>
      <c r="D202" s="3" t="s">
        <v>2170</v>
      </c>
      <c r="E202" s="3">
        <v>8.813</v>
      </c>
      <c r="F202" s="3">
        <v>-82.963</v>
      </c>
      <c r="G202" s="3">
        <v>12.0</v>
      </c>
      <c r="H202" s="3">
        <v>1.0</v>
      </c>
      <c r="I202" s="3" t="s">
        <v>112</v>
      </c>
      <c r="J202" s="3">
        <v>718.0</v>
      </c>
      <c r="K202" s="3">
        <v>724.0</v>
      </c>
      <c r="L202" s="3" t="s">
        <v>154</v>
      </c>
      <c r="M202" s="3">
        <v>1.0</v>
      </c>
      <c r="N202" s="3" t="s">
        <v>121</v>
      </c>
      <c r="O202" s="3" t="s">
        <v>2374</v>
      </c>
      <c r="P202" s="3" t="s">
        <v>2378</v>
      </c>
      <c r="Q202" s="3">
        <v>1.0</v>
      </c>
      <c r="R202" s="3">
        <v>506.0</v>
      </c>
      <c r="S202" s="3">
        <v>36.135686</v>
      </c>
      <c r="T202" s="3">
        <v>1.339368</v>
      </c>
      <c r="U202" s="3" t="s">
        <v>2376</v>
      </c>
      <c r="V202" s="3">
        <v>0.0</v>
      </c>
      <c r="W202" s="3">
        <v>2841.0</v>
      </c>
      <c r="X202" s="3">
        <v>6482.0</v>
      </c>
      <c r="Y202" s="3">
        <v>40.0</v>
      </c>
      <c r="Z202" s="3">
        <v>166.0</v>
      </c>
      <c r="AA202" s="3">
        <v>539.0</v>
      </c>
      <c r="AB202" s="3">
        <v>1165.0</v>
      </c>
      <c r="AC202" s="3">
        <v>1094.0</v>
      </c>
    </row>
    <row r="203">
      <c r="A203" s="3">
        <v>201.0</v>
      </c>
      <c r="B203" s="3" t="s">
        <v>2373</v>
      </c>
      <c r="C203" s="3">
        <v>392.0</v>
      </c>
      <c r="D203" s="3" t="s">
        <v>2171</v>
      </c>
      <c r="E203" s="3">
        <v>8.813</v>
      </c>
      <c r="F203" s="3">
        <v>-82.963</v>
      </c>
      <c r="G203" s="3">
        <v>12.0</v>
      </c>
      <c r="H203" s="3">
        <v>1.0</v>
      </c>
      <c r="I203" s="3" t="s">
        <v>112</v>
      </c>
      <c r="J203" s="3">
        <v>718.0</v>
      </c>
      <c r="K203" s="3">
        <v>724.0</v>
      </c>
      <c r="L203" s="3" t="s">
        <v>154</v>
      </c>
      <c r="M203" s="3">
        <v>1.0</v>
      </c>
      <c r="N203" s="3" t="s">
        <v>121</v>
      </c>
      <c r="O203" s="3" t="s">
        <v>2374</v>
      </c>
      <c r="P203" s="3" t="s">
        <v>2378</v>
      </c>
      <c r="Q203" s="3">
        <v>1.0</v>
      </c>
      <c r="R203" s="3">
        <v>506.0</v>
      </c>
      <c r="S203" s="3">
        <v>36.135686</v>
      </c>
      <c r="T203" s="3">
        <v>1.339368</v>
      </c>
      <c r="U203" s="3" t="s">
        <v>2376</v>
      </c>
      <c r="V203" s="3">
        <v>0.0</v>
      </c>
      <c r="W203" s="3">
        <v>2841.0</v>
      </c>
      <c r="X203" s="3">
        <v>6482.0</v>
      </c>
      <c r="Y203" s="3">
        <v>40.0</v>
      </c>
      <c r="Z203" s="3">
        <v>166.0</v>
      </c>
      <c r="AA203" s="3">
        <v>539.0</v>
      </c>
      <c r="AB203" s="3">
        <v>1165.0</v>
      </c>
      <c r="AC203" s="3">
        <v>1094.0</v>
      </c>
    </row>
    <row r="204">
      <c r="A204" s="3">
        <v>202.0</v>
      </c>
      <c r="B204" s="3" t="s">
        <v>2373</v>
      </c>
      <c r="C204" s="3">
        <v>393.0</v>
      </c>
      <c r="D204" s="3" t="s">
        <v>2172</v>
      </c>
      <c r="E204" s="3">
        <v>8.813</v>
      </c>
      <c r="F204" s="3">
        <v>-82.963</v>
      </c>
      <c r="G204" s="3">
        <v>12.0</v>
      </c>
      <c r="H204" s="3">
        <v>1.0</v>
      </c>
      <c r="I204" s="3" t="s">
        <v>112</v>
      </c>
      <c r="J204" s="3">
        <v>718.0</v>
      </c>
      <c r="K204" s="3">
        <v>724.0</v>
      </c>
      <c r="L204" s="3" t="s">
        <v>154</v>
      </c>
      <c r="M204" s="3">
        <v>1.0</v>
      </c>
      <c r="N204" s="3" t="s">
        <v>121</v>
      </c>
      <c r="O204" s="3" t="s">
        <v>2374</v>
      </c>
      <c r="P204" s="3" t="s">
        <v>2378</v>
      </c>
      <c r="Q204" s="3">
        <v>1.0</v>
      </c>
      <c r="R204" s="3">
        <v>506.0</v>
      </c>
      <c r="S204" s="3">
        <v>36.135686</v>
      </c>
      <c r="T204" s="3">
        <v>1.339368</v>
      </c>
      <c r="U204" s="3" t="s">
        <v>2376</v>
      </c>
      <c r="V204" s="3">
        <v>0.0</v>
      </c>
      <c r="W204" s="3">
        <v>2841.0</v>
      </c>
      <c r="X204" s="3">
        <v>6482.0</v>
      </c>
      <c r="Y204" s="3">
        <v>40.0</v>
      </c>
      <c r="Z204" s="3">
        <v>166.0</v>
      </c>
      <c r="AA204" s="3">
        <v>539.0</v>
      </c>
      <c r="AB204" s="3">
        <v>1165.0</v>
      </c>
      <c r="AC204" s="3">
        <v>1094.0</v>
      </c>
    </row>
    <row r="205">
      <c r="A205" s="3">
        <v>203.0</v>
      </c>
      <c r="B205" s="3" t="s">
        <v>2373</v>
      </c>
      <c r="C205" s="3">
        <v>394.0</v>
      </c>
      <c r="D205" s="78" t="s">
        <v>2173</v>
      </c>
      <c r="E205" s="3">
        <v>8.813</v>
      </c>
      <c r="F205" s="3">
        <v>-82.963</v>
      </c>
      <c r="G205" s="3">
        <v>12.0</v>
      </c>
      <c r="H205" s="3">
        <v>1.0</v>
      </c>
      <c r="I205" s="3" t="s">
        <v>112</v>
      </c>
      <c r="J205" s="3">
        <v>718.0</v>
      </c>
      <c r="K205" s="3">
        <v>724.0</v>
      </c>
      <c r="L205" s="3" t="s">
        <v>154</v>
      </c>
      <c r="M205" s="3">
        <v>1.0</v>
      </c>
      <c r="N205" s="3" t="s">
        <v>121</v>
      </c>
      <c r="O205" s="3" t="s">
        <v>2374</v>
      </c>
      <c r="P205" s="3" t="s">
        <v>2378</v>
      </c>
      <c r="Q205" s="3">
        <v>1.0</v>
      </c>
      <c r="R205" s="3">
        <v>506.0</v>
      </c>
      <c r="S205" s="3">
        <v>36.135686</v>
      </c>
      <c r="T205" s="3">
        <v>1.339368</v>
      </c>
      <c r="U205" s="3" t="s">
        <v>2376</v>
      </c>
      <c r="V205" s="3">
        <v>0.0</v>
      </c>
      <c r="W205" s="3">
        <v>2841.0</v>
      </c>
      <c r="X205" s="3">
        <v>6482.0</v>
      </c>
      <c r="Y205" s="3">
        <v>40.0</v>
      </c>
      <c r="Z205" s="3">
        <v>166.0</v>
      </c>
      <c r="AA205" s="3">
        <v>539.0</v>
      </c>
      <c r="AB205" s="3">
        <v>1165.0</v>
      </c>
      <c r="AC205" s="3">
        <v>1094.0</v>
      </c>
    </row>
    <row r="206">
      <c r="A206" s="3">
        <v>204.0</v>
      </c>
      <c r="B206" s="3" t="s">
        <v>2373</v>
      </c>
      <c r="C206" s="3">
        <v>395.0</v>
      </c>
      <c r="D206" s="3" t="s">
        <v>2175</v>
      </c>
      <c r="E206" s="3">
        <v>8.813</v>
      </c>
      <c r="F206" s="3">
        <v>-82.963</v>
      </c>
      <c r="G206" s="3">
        <v>12.0</v>
      </c>
      <c r="H206" s="3">
        <v>1.0</v>
      </c>
      <c r="I206" s="3" t="s">
        <v>112</v>
      </c>
      <c r="J206" s="3">
        <v>718.0</v>
      </c>
      <c r="K206" s="3">
        <v>724.0</v>
      </c>
      <c r="L206" s="3" t="s">
        <v>154</v>
      </c>
      <c r="M206" s="3">
        <v>1.0</v>
      </c>
      <c r="N206" s="3" t="s">
        <v>121</v>
      </c>
      <c r="O206" s="3" t="s">
        <v>2374</v>
      </c>
      <c r="P206" s="3" t="s">
        <v>2378</v>
      </c>
      <c r="Q206" s="3">
        <v>1.0</v>
      </c>
      <c r="R206" s="3">
        <v>506.0</v>
      </c>
      <c r="S206" s="3">
        <v>36.135686</v>
      </c>
      <c r="T206" s="3">
        <v>1.339368</v>
      </c>
      <c r="U206" s="3" t="s">
        <v>2376</v>
      </c>
      <c r="V206" s="3">
        <v>0.0</v>
      </c>
      <c r="W206" s="3">
        <v>2841.0</v>
      </c>
      <c r="X206" s="3">
        <v>6482.0</v>
      </c>
      <c r="Y206" s="3">
        <v>40.0</v>
      </c>
      <c r="Z206" s="3">
        <v>166.0</v>
      </c>
      <c r="AA206" s="3">
        <v>539.0</v>
      </c>
      <c r="AB206" s="3">
        <v>1165.0</v>
      </c>
      <c r="AC206" s="3">
        <v>1094.0</v>
      </c>
    </row>
    <row r="207">
      <c r="A207" s="3">
        <v>205.0</v>
      </c>
      <c r="B207" s="3" t="s">
        <v>2373</v>
      </c>
      <c r="C207" s="3">
        <v>396.0</v>
      </c>
      <c r="D207" s="3" t="s">
        <v>2176</v>
      </c>
      <c r="E207" s="3">
        <v>8.813</v>
      </c>
      <c r="F207" s="3">
        <v>-82.963</v>
      </c>
      <c r="G207" s="3">
        <v>12.0</v>
      </c>
      <c r="H207" s="3">
        <v>1.0</v>
      </c>
      <c r="I207" s="3" t="s">
        <v>112</v>
      </c>
      <c r="J207" s="3">
        <v>718.0</v>
      </c>
      <c r="K207" s="3">
        <v>724.0</v>
      </c>
      <c r="L207" s="3" t="s">
        <v>154</v>
      </c>
      <c r="M207" s="3">
        <v>1.0</v>
      </c>
      <c r="N207" s="3" t="s">
        <v>121</v>
      </c>
      <c r="O207" s="3" t="s">
        <v>2374</v>
      </c>
      <c r="P207" s="3" t="s">
        <v>2378</v>
      </c>
      <c r="Q207" s="3">
        <v>1.0</v>
      </c>
      <c r="R207" s="3">
        <v>506.0</v>
      </c>
      <c r="S207" s="3">
        <v>36.135686</v>
      </c>
      <c r="T207" s="3">
        <v>1.339368</v>
      </c>
      <c r="U207" s="3" t="s">
        <v>2376</v>
      </c>
      <c r="V207" s="3">
        <v>0.0</v>
      </c>
      <c r="W207" s="3">
        <v>2841.0</v>
      </c>
      <c r="X207" s="3">
        <v>6482.0</v>
      </c>
      <c r="Y207" s="3">
        <v>40.0</v>
      </c>
      <c r="Z207" s="3">
        <v>166.0</v>
      </c>
      <c r="AA207" s="3">
        <v>539.0</v>
      </c>
      <c r="AB207" s="3">
        <v>1165.0</v>
      </c>
      <c r="AC207" s="3">
        <v>1094.0</v>
      </c>
    </row>
    <row r="208">
      <c r="A208" s="3">
        <v>206.0</v>
      </c>
      <c r="B208" s="3" t="s">
        <v>2373</v>
      </c>
      <c r="C208" s="3">
        <v>397.0</v>
      </c>
      <c r="D208" s="3" t="s">
        <v>2177</v>
      </c>
      <c r="E208" s="3">
        <v>8.813</v>
      </c>
      <c r="F208" s="3">
        <v>-82.963</v>
      </c>
      <c r="G208" s="3">
        <v>12.0</v>
      </c>
      <c r="H208" s="3">
        <v>1.0</v>
      </c>
      <c r="I208" s="3" t="s">
        <v>112</v>
      </c>
      <c r="J208" s="3">
        <v>718.0</v>
      </c>
      <c r="K208" s="3">
        <v>724.0</v>
      </c>
      <c r="L208" s="3" t="s">
        <v>154</v>
      </c>
      <c r="M208" s="3">
        <v>1.0</v>
      </c>
      <c r="N208" s="3" t="s">
        <v>121</v>
      </c>
      <c r="O208" s="3" t="s">
        <v>2374</v>
      </c>
      <c r="P208" s="3" t="s">
        <v>2378</v>
      </c>
      <c r="Q208" s="3">
        <v>1.0</v>
      </c>
      <c r="R208" s="3">
        <v>506.0</v>
      </c>
      <c r="S208" s="3">
        <v>36.135686</v>
      </c>
      <c r="T208" s="3">
        <v>1.339368</v>
      </c>
      <c r="U208" s="3" t="s">
        <v>2376</v>
      </c>
      <c r="V208" s="3">
        <v>0.0</v>
      </c>
      <c r="W208" s="3">
        <v>2841.0</v>
      </c>
      <c r="X208" s="3">
        <v>6482.0</v>
      </c>
      <c r="Y208" s="3">
        <v>40.0</v>
      </c>
      <c r="Z208" s="3">
        <v>166.0</v>
      </c>
      <c r="AA208" s="3">
        <v>539.0</v>
      </c>
      <c r="AB208" s="3">
        <v>1165.0</v>
      </c>
      <c r="AC208" s="3">
        <v>1094.0</v>
      </c>
    </row>
    <row r="209">
      <c r="A209" s="3">
        <v>207.0</v>
      </c>
      <c r="B209" s="3" t="s">
        <v>2373</v>
      </c>
      <c r="C209" s="3">
        <v>398.0</v>
      </c>
      <c r="D209" s="3" t="s">
        <v>2178</v>
      </c>
      <c r="E209" s="3">
        <v>8.813</v>
      </c>
      <c r="F209" s="3">
        <v>-82.963</v>
      </c>
      <c r="G209" s="3">
        <v>12.0</v>
      </c>
      <c r="H209" s="3">
        <v>1.0</v>
      </c>
      <c r="I209" s="3" t="s">
        <v>112</v>
      </c>
      <c r="J209" s="3">
        <v>718.0</v>
      </c>
      <c r="K209" s="3">
        <v>724.0</v>
      </c>
      <c r="L209" s="3" t="s">
        <v>154</v>
      </c>
      <c r="M209" s="3">
        <v>1.0</v>
      </c>
      <c r="N209" s="3" t="s">
        <v>121</v>
      </c>
      <c r="O209" s="3" t="s">
        <v>2374</v>
      </c>
      <c r="P209" s="3" t="s">
        <v>2378</v>
      </c>
      <c r="Q209" s="3">
        <v>1.0</v>
      </c>
      <c r="R209" s="3">
        <v>506.0</v>
      </c>
      <c r="S209" s="3">
        <v>36.135686</v>
      </c>
      <c r="T209" s="3">
        <v>1.339368</v>
      </c>
      <c r="U209" s="3" t="s">
        <v>2376</v>
      </c>
      <c r="V209" s="3">
        <v>0.0</v>
      </c>
      <c r="W209" s="3">
        <v>2841.0</v>
      </c>
      <c r="X209" s="3">
        <v>6482.0</v>
      </c>
      <c r="Y209" s="3">
        <v>40.0</v>
      </c>
      <c r="Z209" s="3">
        <v>166.0</v>
      </c>
      <c r="AA209" s="3">
        <v>539.0</v>
      </c>
      <c r="AB209" s="3">
        <v>1165.0</v>
      </c>
      <c r="AC209" s="3">
        <v>1094.0</v>
      </c>
    </row>
    <row r="210">
      <c r="A210" s="3">
        <v>208.0</v>
      </c>
      <c r="B210" s="3" t="s">
        <v>2373</v>
      </c>
      <c r="C210" s="3">
        <v>399.0</v>
      </c>
      <c r="D210" s="3" t="s">
        <v>1713</v>
      </c>
      <c r="E210" s="3">
        <v>8.813</v>
      </c>
      <c r="F210" s="3">
        <v>-82.963</v>
      </c>
      <c r="G210" s="3">
        <v>12.0</v>
      </c>
      <c r="H210" s="3">
        <v>1.0</v>
      </c>
      <c r="I210" s="3" t="s">
        <v>112</v>
      </c>
      <c r="J210" s="3">
        <v>718.0</v>
      </c>
      <c r="K210" s="3">
        <v>724.0</v>
      </c>
      <c r="L210" s="3" t="s">
        <v>154</v>
      </c>
      <c r="M210" s="3">
        <v>1.0</v>
      </c>
      <c r="N210" s="3" t="s">
        <v>121</v>
      </c>
      <c r="O210" s="3" t="s">
        <v>2374</v>
      </c>
      <c r="P210" s="3" t="s">
        <v>2378</v>
      </c>
      <c r="Q210" s="3">
        <v>1.0</v>
      </c>
      <c r="R210" s="3">
        <v>506.0</v>
      </c>
      <c r="S210" s="3">
        <v>36.135686</v>
      </c>
      <c r="T210" s="3">
        <v>1.339368</v>
      </c>
      <c r="U210" s="3" t="s">
        <v>2376</v>
      </c>
      <c r="V210" s="3">
        <v>0.0</v>
      </c>
      <c r="W210" s="3">
        <v>2841.0</v>
      </c>
      <c r="X210" s="3">
        <v>6482.0</v>
      </c>
      <c r="Y210" s="3">
        <v>40.0</v>
      </c>
      <c r="Z210" s="3">
        <v>166.0</v>
      </c>
      <c r="AA210" s="3">
        <v>539.0</v>
      </c>
      <c r="AB210" s="3">
        <v>1165.0</v>
      </c>
      <c r="AC210" s="3">
        <v>1094.0</v>
      </c>
    </row>
    <row r="211">
      <c r="A211" s="3">
        <v>209.0</v>
      </c>
      <c r="B211" s="3" t="s">
        <v>2373</v>
      </c>
      <c r="C211" s="3">
        <v>434.0</v>
      </c>
      <c r="D211" s="3" t="s">
        <v>975</v>
      </c>
      <c r="E211" s="3">
        <v>8.812</v>
      </c>
      <c r="F211" s="3">
        <v>-82.961</v>
      </c>
      <c r="G211" s="3">
        <v>12.0</v>
      </c>
      <c r="H211" s="3">
        <v>1.0</v>
      </c>
      <c r="I211" s="3" t="s">
        <v>112</v>
      </c>
      <c r="J211" s="3">
        <v>718.0</v>
      </c>
      <c r="K211" s="3">
        <v>724.0</v>
      </c>
      <c r="L211" s="3" t="s">
        <v>154</v>
      </c>
      <c r="M211" s="3">
        <v>1.0</v>
      </c>
      <c r="N211" s="3" t="s">
        <v>121</v>
      </c>
      <c r="O211" s="3" t="s">
        <v>2374</v>
      </c>
      <c r="P211" s="3" t="s">
        <v>2378</v>
      </c>
      <c r="Q211" s="3">
        <v>1.0</v>
      </c>
      <c r="R211" s="3">
        <v>506.0</v>
      </c>
      <c r="S211" s="3">
        <v>36.135686</v>
      </c>
      <c r="T211" s="3">
        <v>1.339368</v>
      </c>
      <c r="U211" s="3" t="s">
        <v>2376</v>
      </c>
      <c r="V211" s="3">
        <v>0.0</v>
      </c>
      <c r="W211" s="3">
        <v>2841.0</v>
      </c>
      <c r="X211" s="3">
        <v>6482.0</v>
      </c>
      <c r="Y211" s="3">
        <v>40.0</v>
      </c>
      <c r="Z211" s="3">
        <v>166.0</v>
      </c>
      <c r="AA211" s="3">
        <v>539.0</v>
      </c>
      <c r="AB211" s="3">
        <v>1165.0</v>
      </c>
      <c r="AC211" s="3">
        <v>1094.0</v>
      </c>
    </row>
    <row r="212">
      <c r="A212" s="3">
        <v>210.0</v>
      </c>
      <c r="B212" s="3" t="s">
        <v>2373</v>
      </c>
      <c r="C212" s="3">
        <v>435.0</v>
      </c>
      <c r="D212" s="3" t="s">
        <v>979</v>
      </c>
      <c r="E212" s="3">
        <v>8.812</v>
      </c>
      <c r="F212" s="3">
        <v>-82.961</v>
      </c>
      <c r="G212" s="3">
        <v>12.0</v>
      </c>
      <c r="H212" s="3">
        <v>1.0</v>
      </c>
      <c r="I212" s="3" t="s">
        <v>112</v>
      </c>
      <c r="J212" s="3">
        <v>718.0</v>
      </c>
      <c r="K212" s="3">
        <v>724.0</v>
      </c>
      <c r="L212" s="3" t="s">
        <v>154</v>
      </c>
      <c r="M212" s="3">
        <v>1.0</v>
      </c>
      <c r="N212" s="3" t="s">
        <v>121</v>
      </c>
      <c r="O212" s="3" t="s">
        <v>2374</v>
      </c>
      <c r="P212" s="3" t="s">
        <v>2378</v>
      </c>
      <c r="Q212" s="3">
        <v>1.0</v>
      </c>
      <c r="R212" s="3">
        <v>506.0</v>
      </c>
      <c r="S212" s="3">
        <v>36.135686</v>
      </c>
      <c r="T212" s="3">
        <v>1.339368</v>
      </c>
      <c r="U212" s="3" t="s">
        <v>2376</v>
      </c>
      <c r="V212" s="3">
        <v>0.0</v>
      </c>
      <c r="W212" s="3">
        <v>2841.0</v>
      </c>
      <c r="X212" s="3">
        <v>6482.0</v>
      </c>
      <c r="Y212" s="3">
        <v>40.0</v>
      </c>
      <c r="Z212" s="3">
        <v>166.0</v>
      </c>
      <c r="AA212" s="3">
        <v>539.0</v>
      </c>
      <c r="AB212" s="3">
        <v>1165.0</v>
      </c>
      <c r="AC212" s="3">
        <v>1094.0</v>
      </c>
    </row>
    <row r="213">
      <c r="A213" s="3">
        <v>211.0</v>
      </c>
      <c r="B213" s="3" t="s">
        <v>2373</v>
      </c>
      <c r="C213" s="3">
        <v>436.0</v>
      </c>
      <c r="D213" s="3" t="s">
        <v>981</v>
      </c>
      <c r="E213" s="3">
        <v>8.812</v>
      </c>
      <c r="F213" s="3">
        <v>-82.961</v>
      </c>
      <c r="G213" s="3">
        <v>12.0</v>
      </c>
      <c r="H213" s="3">
        <v>1.0</v>
      </c>
      <c r="I213" s="3" t="s">
        <v>112</v>
      </c>
      <c r="J213" s="3">
        <v>718.0</v>
      </c>
      <c r="K213" s="3">
        <v>724.0</v>
      </c>
      <c r="L213" s="3" t="s">
        <v>154</v>
      </c>
      <c r="M213" s="3">
        <v>1.0</v>
      </c>
      <c r="N213" s="3" t="s">
        <v>121</v>
      </c>
      <c r="O213" s="3" t="s">
        <v>2374</v>
      </c>
      <c r="P213" s="3" t="s">
        <v>2378</v>
      </c>
      <c r="Q213" s="3">
        <v>1.0</v>
      </c>
      <c r="R213" s="3">
        <v>506.0</v>
      </c>
      <c r="S213" s="3">
        <v>36.135686</v>
      </c>
      <c r="T213" s="3">
        <v>1.339368</v>
      </c>
      <c r="U213" s="3" t="s">
        <v>2376</v>
      </c>
      <c r="V213" s="3">
        <v>0.0</v>
      </c>
      <c r="W213" s="3">
        <v>2841.0</v>
      </c>
      <c r="X213" s="3">
        <v>6482.0</v>
      </c>
      <c r="Y213" s="3">
        <v>40.0</v>
      </c>
      <c r="Z213" s="3">
        <v>166.0</v>
      </c>
      <c r="AA213" s="3">
        <v>539.0</v>
      </c>
      <c r="AB213" s="3">
        <v>1165.0</v>
      </c>
      <c r="AC213" s="3">
        <v>1094.0</v>
      </c>
    </row>
    <row r="214">
      <c r="A214" s="3">
        <v>212.0</v>
      </c>
      <c r="B214" s="3" t="s">
        <v>2373</v>
      </c>
      <c r="C214" s="3">
        <v>437.0</v>
      </c>
      <c r="D214" s="3" t="s">
        <v>982</v>
      </c>
      <c r="E214" s="3">
        <v>8.812</v>
      </c>
      <c r="F214" s="3">
        <v>-82.961</v>
      </c>
      <c r="G214" s="3">
        <v>12.0</v>
      </c>
      <c r="H214" s="3">
        <v>1.0</v>
      </c>
      <c r="I214" s="3" t="s">
        <v>112</v>
      </c>
      <c r="J214" s="3">
        <v>718.0</v>
      </c>
      <c r="K214" s="3">
        <v>724.0</v>
      </c>
      <c r="L214" s="3" t="s">
        <v>154</v>
      </c>
      <c r="M214" s="3">
        <v>1.0</v>
      </c>
      <c r="N214" s="3" t="s">
        <v>121</v>
      </c>
      <c r="O214" s="3" t="s">
        <v>2374</v>
      </c>
      <c r="P214" s="3" t="s">
        <v>2378</v>
      </c>
      <c r="Q214" s="3">
        <v>1.0</v>
      </c>
      <c r="R214" s="3">
        <v>506.0</v>
      </c>
      <c r="S214" s="3">
        <v>36.135686</v>
      </c>
      <c r="T214" s="3">
        <v>1.339368</v>
      </c>
      <c r="U214" s="3" t="s">
        <v>2376</v>
      </c>
      <c r="V214" s="3">
        <v>0.0</v>
      </c>
      <c r="W214" s="3">
        <v>2841.0</v>
      </c>
      <c r="X214" s="3">
        <v>6482.0</v>
      </c>
      <c r="Y214" s="3">
        <v>40.0</v>
      </c>
      <c r="Z214" s="3">
        <v>166.0</v>
      </c>
      <c r="AA214" s="3">
        <v>539.0</v>
      </c>
      <c r="AB214" s="3">
        <v>1165.0</v>
      </c>
      <c r="AC214" s="3">
        <v>1094.0</v>
      </c>
    </row>
    <row r="215">
      <c r="A215" s="3">
        <v>213.0</v>
      </c>
      <c r="B215" s="3" t="s">
        <v>2373</v>
      </c>
      <c r="C215" s="3">
        <v>438.0</v>
      </c>
      <c r="D215" s="3" t="s">
        <v>984</v>
      </c>
      <c r="E215" s="3">
        <v>8.812</v>
      </c>
      <c r="F215" s="3">
        <v>-82.961</v>
      </c>
      <c r="G215" s="3">
        <v>12.0</v>
      </c>
      <c r="H215" s="3">
        <v>1.0</v>
      </c>
      <c r="I215" s="3" t="s">
        <v>112</v>
      </c>
      <c r="J215" s="3">
        <v>718.0</v>
      </c>
      <c r="K215" s="3">
        <v>724.0</v>
      </c>
      <c r="L215" s="3" t="s">
        <v>154</v>
      </c>
      <c r="M215" s="3">
        <v>1.0</v>
      </c>
      <c r="N215" s="3" t="s">
        <v>121</v>
      </c>
      <c r="O215" s="3" t="s">
        <v>2374</v>
      </c>
      <c r="P215" s="3" t="s">
        <v>2378</v>
      </c>
      <c r="Q215" s="3">
        <v>1.0</v>
      </c>
      <c r="R215" s="3">
        <v>506.0</v>
      </c>
      <c r="S215" s="3">
        <v>36.135686</v>
      </c>
      <c r="T215" s="3">
        <v>1.339368</v>
      </c>
      <c r="U215" s="3" t="s">
        <v>2376</v>
      </c>
      <c r="V215" s="3">
        <v>0.0</v>
      </c>
      <c r="W215" s="3">
        <v>2841.0</v>
      </c>
      <c r="X215" s="3">
        <v>6482.0</v>
      </c>
      <c r="Y215" s="3">
        <v>40.0</v>
      </c>
      <c r="Z215" s="3">
        <v>166.0</v>
      </c>
      <c r="AA215" s="3">
        <v>539.0</v>
      </c>
      <c r="AB215" s="3">
        <v>1165.0</v>
      </c>
      <c r="AC215" s="3">
        <v>1094.0</v>
      </c>
    </row>
    <row r="216">
      <c r="A216" s="3">
        <v>214.0</v>
      </c>
      <c r="B216" s="3" t="s">
        <v>2373</v>
      </c>
      <c r="C216" s="3">
        <v>439.0</v>
      </c>
      <c r="D216" s="78" t="s">
        <v>986</v>
      </c>
      <c r="E216" s="3">
        <v>8.812</v>
      </c>
      <c r="F216" s="3">
        <v>-82.961</v>
      </c>
      <c r="G216" s="3">
        <v>12.0</v>
      </c>
      <c r="H216" s="3">
        <v>1.0</v>
      </c>
      <c r="I216" s="3" t="s">
        <v>112</v>
      </c>
      <c r="J216" s="3">
        <v>718.0</v>
      </c>
      <c r="K216" s="3">
        <v>724.0</v>
      </c>
      <c r="L216" s="3" t="s">
        <v>154</v>
      </c>
      <c r="M216" s="3">
        <v>1.0</v>
      </c>
      <c r="N216" s="3" t="s">
        <v>121</v>
      </c>
      <c r="O216" s="3" t="s">
        <v>2374</v>
      </c>
      <c r="P216" s="3" t="s">
        <v>2378</v>
      </c>
      <c r="Q216" s="3">
        <v>1.0</v>
      </c>
      <c r="R216" s="3">
        <v>506.0</v>
      </c>
      <c r="S216" s="3">
        <v>36.135686</v>
      </c>
      <c r="T216" s="3">
        <v>1.339368</v>
      </c>
      <c r="U216" s="3" t="s">
        <v>2376</v>
      </c>
      <c r="V216" s="3">
        <v>0.0</v>
      </c>
      <c r="W216" s="3">
        <v>2841.0</v>
      </c>
      <c r="X216" s="3">
        <v>6482.0</v>
      </c>
      <c r="Y216" s="3">
        <v>40.0</v>
      </c>
      <c r="Z216" s="3">
        <v>166.0</v>
      </c>
      <c r="AA216" s="3">
        <v>539.0</v>
      </c>
      <c r="AB216" s="3">
        <v>1165.0</v>
      </c>
      <c r="AC216" s="3">
        <v>1094.0</v>
      </c>
    </row>
    <row r="217">
      <c r="A217" s="3">
        <v>215.0</v>
      </c>
      <c r="B217" s="3" t="s">
        <v>2373</v>
      </c>
      <c r="C217" s="3">
        <v>440.0</v>
      </c>
      <c r="D217" s="3" t="s">
        <v>988</v>
      </c>
      <c r="E217" s="3">
        <v>8.812</v>
      </c>
      <c r="F217" s="3">
        <v>-82.961</v>
      </c>
      <c r="G217" s="3">
        <v>12.0</v>
      </c>
      <c r="H217" s="3">
        <v>1.0</v>
      </c>
      <c r="I217" s="3" t="s">
        <v>112</v>
      </c>
      <c r="J217" s="3">
        <v>718.0</v>
      </c>
      <c r="K217" s="3">
        <v>724.0</v>
      </c>
      <c r="L217" s="3" t="s">
        <v>154</v>
      </c>
      <c r="M217" s="3">
        <v>1.0</v>
      </c>
      <c r="N217" s="3" t="s">
        <v>121</v>
      </c>
      <c r="O217" s="3" t="s">
        <v>2374</v>
      </c>
      <c r="P217" s="3" t="s">
        <v>2378</v>
      </c>
      <c r="Q217" s="3">
        <v>1.0</v>
      </c>
      <c r="R217" s="3">
        <v>506.0</v>
      </c>
      <c r="S217" s="3">
        <v>36.135686</v>
      </c>
      <c r="T217" s="3">
        <v>1.339368</v>
      </c>
      <c r="U217" s="3" t="s">
        <v>2376</v>
      </c>
      <c r="V217" s="3">
        <v>0.0</v>
      </c>
      <c r="W217" s="3">
        <v>2841.0</v>
      </c>
      <c r="X217" s="3">
        <v>6482.0</v>
      </c>
      <c r="Y217" s="3">
        <v>40.0</v>
      </c>
      <c r="Z217" s="3">
        <v>166.0</v>
      </c>
      <c r="AA217" s="3">
        <v>539.0</v>
      </c>
      <c r="AB217" s="3">
        <v>1165.0</v>
      </c>
      <c r="AC217" s="3">
        <v>1094.0</v>
      </c>
    </row>
    <row r="218">
      <c r="A218" s="3">
        <v>216.0</v>
      </c>
      <c r="B218" s="3" t="s">
        <v>2373</v>
      </c>
      <c r="C218" s="3">
        <v>441.0</v>
      </c>
      <c r="D218" s="3" t="s">
        <v>989</v>
      </c>
      <c r="E218" s="3">
        <v>8.812</v>
      </c>
      <c r="F218" s="3">
        <v>-82.961</v>
      </c>
      <c r="G218" s="3">
        <v>12.0</v>
      </c>
      <c r="H218" s="3">
        <v>1.0</v>
      </c>
      <c r="I218" s="3" t="s">
        <v>112</v>
      </c>
      <c r="J218" s="3">
        <v>718.0</v>
      </c>
      <c r="K218" s="3">
        <v>724.0</v>
      </c>
      <c r="L218" s="3" t="s">
        <v>154</v>
      </c>
      <c r="M218" s="3">
        <v>1.0</v>
      </c>
      <c r="N218" s="3" t="s">
        <v>121</v>
      </c>
      <c r="O218" s="3" t="s">
        <v>2374</v>
      </c>
      <c r="P218" s="3" t="s">
        <v>2378</v>
      </c>
      <c r="Q218" s="3">
        <v>1.0</v>
      </c>
      <c r="R218" s="3">
        <v>506.0</v>
      </c>
      <c r="S218" s="3">
        <v>36.135686</v>
      </c>
      <c r="T218" s="3">
        <v>1.339368</v>
      </c>
      <c r="U218" s="3" t="s">
        <v>2376</v>
      </c>
      <c r="V218" s="3">
        <v>0.0</v>
      </c>
      <c r="W218" s="3">
        <v>2841.0</v>
      </c>
      <c r="X218" s="3">
        <v>6482.0</v>
      </c>
      <c r="Y218" s="3">
        <v>40.0</v>
      </c>
      <c r="Z218" s="3">
        <v>166.0</v>
      </c>
      <c r="AA218" s="3">
        <v>539.0</v>
      </c>
      <c r="AB218" s="3">
        <v>1165.0</v>
      </c>
      <c r="AC218" s="3">
        <v>1094.0</v>
      </c>
    </row>
    <row r="219">
      <c r="A219" s="3">
        <v>217.0</v>
      </c>
      <c r="B219" s="3" t="s">
        <v>2373</v>
      </c>
      <c r="C219" s="3">
        <v>442.0</v>
      </c>
      <c r="D219" s="3" t="s">
        <v>990</v>
      </c>
      <c r="E219" s="3">
        <v>8.812</v>
      </c>
      <c r="F219" s="3">
        <v>-82.961</v>
      </c>
      <c r="G219" s="3">
        <v>12.0</v>
      </c>
      <c r="H219" s="3">
        <v>1.0</v>
      </c>
      <c r="I219" s="3" t="s">
        <v>112</v>
      </c>
      <c r="J219" s="3">
        <v>718.0</v>
      </c>
      <c r="K219" s="3">
        <v>724.0</v>
      </c>
      <c r="L219" s="3" t="s">
        <v>154</v>
      </c>
      <c r="M219" s="3">
        <v>1.0</v>
      </c>
      <c r="N219" s="3" t="s">
        <v>121</v>
      </c>
      <c r="O219" s="3" t="s">
        <v>2374</v>
      </c>
      <c r="P219" s="3" t="s">
        <v>2378</v>
      </c>
      <c r="Q219" s="3">
        <v>1.0</v>
      </c>
      <c r="R219" s="3">
        <v>506.0</v>
      </c>
      <c r="S219" s="3">
        <v>36.135686</v>
      </c>
      <c r="T219" s="3">
        <v>1.339368</v>
      </c>
      <c r="U219" s="3" t="s">
        <v>2376</v>
      </c>
      <c r="V219" s="3">
        <v>0.0</v>
      </c>
      <c r="W219" s="3">
        <v>2841.0</v>
      </c>
      <c r="X219" s="3">
        <v>6482.0</v>
      </c>
      <c r="Y219" s="3">
        <v>40.0</v>
      </c>
      <c r="Z219" s="3">
        <v>166.0</v>
      </c>
      <c r="AA219" s="3">
        <v>539.0</v>
      </c>
      <c r="AB219" s="3">
        <v>1165.0</v>
      </c>
      <c r="AC219" s="3">
        <v>1094.0</v>
      </c>
    </row>
    <row r="220">
      <c r="A220" s="3">
        <v>218.0</v>
      </c>
      <c r="B220" s="3" t="s">
        <v>2373</v>
      </c>
      <c r="C220" s="3">
        <v>443.0</v>
      </c>
      <c r="D220" s="3" t="s">
        <v>991</v>
      </c>
      <c r="E220" s="3">
        <v>8.812</v>
      </c>
      <c r="F220" s="3">
        <v>-82.961</v>
      </c>
      <c r="G220" s="3">
        <v>12.0</v>
      </c>
      <c r="H220" s="3">
        <v>1.0</v>
      </c>
      <c r="I220" s="3" t="s">
        <v>112</v>
      </c>
      <c r="J220" s="3">
        <v>718.0</v>
      </c>
      <c r="K220" s="3">
        <v>724.0</v>
      </c>
      <c r="L220" s="3" t="s">
        <v>154</v>
      </c>
      <c r="M220" s="3">
        <v>1.0</v>
      </c>
      <c r="N220" s="3" t="s">
        <v>121</v>
      </c>
      <c r="O220" s="3" t="s">
        <v>2374</v>
      </c>
      <c r="P220" s="3" t="s">
        <v>2378</v>
      </c>
      <c r="Q220" s="3">
        <v>1.0</v>
      </c>
      <c r="R220" s="3">
        <v>506.0</v>
      </c>
      <c r="S220" s="3">
        <v>36.135686</v>
      </c>
      <c r="T220" s="3">
        <v>1.339368</v>
      </c>
      <c r="U220" s="3" t="s">
        <v>2376</v>
      </c>
      <c r="V220" s="3">
        <v>0.0</v>
      </c>
      <c r="W220" s="3">
        <v>2841.0</v>
      </c>
      <c r="X220" s="3">
        <v>6482.0</v>
      </c>
      <c r="Y220" s="3">
        <v>40.0</v>
      </c>
      <c r="Z220" s="3">
        <v>166.0</v>
      </c>
      <c r="AA220" s="3">
        <v>539.0</v>
      </c>
      <c r="AB220" s="3">
        <v>1165.0</v>
      </c>
      <c r="AC220" s="3">
        <v>1094.0</v>
      </c>
    </row>
    <row r="221">
      <c r="A221" s="3">
        <v>219.0</v>
      </c>
      <c r="B221" s="3" t="s">
        <v>2373</v>
      </c>
      <c r="C221" s="3">
        <v>444.0</v>
      </c>
      <c r="D221" s="3" t="s">
        <v>992</v>
      </c>
      <c r="E221" s="3">
        <v>8.812</v>
      </c>
      <c r="F221" s="3">
        <v>-82.961</v>
      </c>
      <c r="G221" s="3">
        <v>12.0</v>
      </c>
      <c r="H221" s="3">
        <v>1.0</v>
      </c>
      <c r="I221" s="3" t="s">
        <v>112</v>
      </c>
      <c r="J221" s="3">
        <v>718.0</v>
      </c>
      <c r="K221" s="3">
        <v>724.0</v>
      </c>
      <c r="L221" s="3" t="s">
        <v>154</v>
      </c>
      <c r="M221" s="3">
        <v>1.0</v>
      </c>
      <c r="N221" s="3" t="s">
        <v>121</v>
      </c>
      <c r="O221" s="3" t="s">
        <v>2374</v>
      </c>
      <c r="P221" s="3" t="s">
        <v>2378</v>
      </c>
      <c r="Q221" s="3">
        <v>1.0</v>
      </c>
      <c r="R221" s="3">
        <v>506.0</v>
      </c>
      <c r="S221" s="3">
        <v>36.135686</v>
      </c>
      <c r="T221" s="3">
        <v>1.339368</v>
      </c>
      <c r="U221" s="3" t="s">
        <v>2376</v>
      </c>
      <c r="V221" s="3">
        <v>0.0</v>
      </c>
      <c r="W221" s="3">
        <v>2841.0</v>
      </c>
      <c r="X221" s="3">
        <v>6482.0</v>
      </c>
      <c r="Y221" s="3">
        <v>40.0</v>
      </c>
      <c r="Z221" s="3">
        <v>166.0</v>
      </c>
      <c r="AA221" s="3">
        <v>539.0</v>
      </c>
      <c r="AB221" s="3">
        <v>1165.0</v>
      </c>
      <c r="AC221" s="3">
        <v>1094.0</v>
      </c>
    </row>
    <row r="222">
      <c r="A222" s="3">
        <v>220.0</v>
      </c>
      <c r="B222" s="3" t="s">
        <v>2373</v>
      </c>
      <c r="C222" s="3">
        <v>445.0</v>
      </c>
      <c r="D222" s="3" t="s">
        <v>1001</v>
      </c>
      <c r="E222" s="3">
        <v>8.812</v>
      </c>
      <c r="F222" s="3">
        <v>-82.961</v>
      </c>
      <c r="G222" s="3">
        <v>12.0</v>
      </c>
      <c r="H222" s="3">
        <v>1.0</v>
      </c>
      <c r="I222" s="3" t="s">
        <v>112</v>
      </c>
      <c r="J222" s="3">
        <v>718.0</v>
      </c>
      <c r="K222" s="3">
        <v>724.0</v>
      </c>
      <c r="L222" s="3" t="s">
        <v>154</v>
      </c>
      <c r="M222" s="3">
        <v>1.0</v>
      </c>
      <c r="N222" s="3" t="s">
        <v>121</v>
      </c>
      <c r="O222" s="3" t="s">
        <v>2374</v>
      </c>
      <c r="P222" s="3" t="s">
        <v>2378</v>
      </c>
      <c r="Q222" s="3">
        <v>1.0</v>
      </c>
      <c r="R222" s="3">
        <v>506.0</v>
      </c>
      <c r="S222" s="3">
        <v>36.135686</v>
      </c>
      <c r="T222" s="3">
        <v>1.339368</v>
      </c>
      <c r="U222" s="3" t="s">
        <v>2376</v>
      </c>
      <c r="V222" s="3">
        <v>0.0</v>
      </c>
      <c r="W222" s="3">
        <v>2841.0</v>
      </c>
      <c r="X222" s="3">
        <v>6482.0</v>
      </c>
      <c r="Y222" s="3">
        <v>40.0</v>
      </c>
      <c r="Z222" s="3">
        <v>166.0</v>
      </c>
      <c r="AA222" s="3">
        <v>539.0</v>
      </c>
      <c r="AB222" s="3">
        <v>1165.0</v>
      </c>
      <c r="AC222" s="3">
        <v>1094.0</v>
      </c>
    </row>
    <row r="223">
      <c r="A223" s="3">
        <v>221.0</v>
      </c>
      <c r="B223" s="3" t="s">
        <v>2373</v>
      </c>
      <c r="C223" s="3">
        <v>446.0</v>
      </c>
      <c r="D223" s="3" t="s">
        <v>1002</v>
      </c>
      <c r="E223" s="3">
        <v>8.812</v>
      </c>
      <c r="F223" s="3">
        <v>-82.961</v>
      </c>
      <c r="G223" s="3">
        <v>12.0</v>
      </c>
      <c r="H223" s="3">
        <v>1.0</v>
      </c>
      <c r="I223" s="3" t="s">
        <v>112</v>
      </c>
      <c r="J223" s="3">
        <v>718.0</v>
      </c>
      <c r="K223" s="3">
        <v>724.0</v>
      </c>
      <c r="L223" s="3" t="s">
        <v>154</v>
      </c>
      <c r="M223" s="3">
        <v>1.0</v>
      </c>
      <c r="N223" s="3" t="s">
        <v>121</v>
      </c>
      <c r="O223" s="3" t="s">
        <v>2374</v>
      </c>
      <c r="P223" s="3" t="s">
        <v>2378</v>
      </c>
      <c r="Q223" s="3">
        <v>1.0</v>
      </c>
      <c r="R223" s="3">
        <v>506.0</v>
      </c>
      <c r="S223" s="3">
        <v>36.135686</v>
      </c>
      <c r="T223" s="3">
        <v>1.339368</v>
      </c>
      <c r="U223" s="3" t="s">
        <v>2376</v>
      </c>
      <c r="V223" s="3">
        <v>0.0</v>
      </c>
      <c r="W223" s="3">
        <v>2841.0</v>
      </c>
      <c r="X223" s="3">
        <v>6482.0</v>
      </c>
      <c r="Y223" s="3">
        <v>40.0</v>
      </c>
      <c r="Z223" s="3">
        <v>166.0</v>
      </c>
      <c r="AA223" s="3">
        <v>539.0</v>
      </c>
      <c r="AB223" s="3">
        <v>1165.0</v>
      </c>
      <c r="AC223" s="3">
        <v>1094.0</v>
      </c>
    </row>
    <row r="224">
      <c r="A224" s="3">
        <v>222.0</v>
      </c>
      <c r="B224" s="3" t="s">
        <v>2373</v>
      </c>
      <c r="C224" s="3">
        <v>447.0</v>
      </c>
      <c r="D224" s="3" t="s">
        <v>1003</v>
      </c>
      <c r="E224" s="3">
        <v>8.812</v>
      </c>
      <c r="F224" s="3">
        <v>-82.961</v>
      </c>
      <c r="G224" s="3">
        <v>12.0</v>
      </c>
      <c r="H224" s="3">
        <v>1.0</v>
      </c>
      <c r="I224" s="3" t="s">
        <v>112</v>
      </c>
      <c r="J224" s="3">
        <v>718.0</v>
      </c>
      <c r="K224" s="3">
        <v>724.0</v>
      </c>
      <c r="L224" s="3" t="s">
        <v>154</v>
      </c>
      <c r="M224" s="3">
        <v>1.0</v>
      </c>
      <c r="N224" s="3" t="s">
        <v>121</v>
      </c>
      <c r="O224" s="3" t="s">
        <v>2374</v>
      </c>
      <c r="P224" s="3" t="s">
        <v>2378</v>
      </c>
      <c r="Q224" s="3">
        <v>1.0</v>
      </c>
      <c r="R224" s="3">
        <v>506.0</v>
      </c>
      <c r="S224" s="3">
        <v>36.135686</v>
      </c>
      <c r="T224" s="3">
        <v>1.339368</v>
      </c>
      <c r="U224" s="3" t="s">
        <v>2376</v>
      </c>
      <c r="V224" s="3">
        <v>0.0</v>
      </c>
      <c r="W224" s="3">
        <v>2841.0</v>
      </c>
      <c r="X224" s="3">
        <v>6482.0</v>
      </c>
      <c r="Y224" s="3">
        <v>40.0</v>
      </c>
      <c r="Z224" s="3">
        <v>166.0</v>
      </c>
      <c r="AA224" s="3">
        <v>539.0</v>
      </c>
      <c r="AB224" s="3">
        <v>1165.0</v>
      </c>
      <c r="AC224" s="3">
        <v>1094.0</v>
      </c>
    </row>
    <row r="225">
      <c r="A225" s="3">
        <v>223.0</v>
      </c>
      <c r="B225" s="3" t="s">
        <v>2373</v>
      </c>
      <c r="C225" s="3">
        <v>448.0</v>
      </c>
      <c r="D225" s="3" t="s">
        <v>1004</v>
      </c>
      <c r="E225" s="3">
        <v>8.812</v>
      </c>
      <c r="F225" s="3">
        <v>-82.961</v>
      </c>
      <c r="G225" s="3">
        <v>12.0</v>
      </c>
      <c r="H225" s="3">
        <v>1.0</v>
      </c>
      <c r="I225" s="3" t="s">
        <v>112</v>
      </c>
      <c r="J225" s="3">
        <v>718.0</v>
      </c>
      <c r="K225" s="3">
        <v>724.0</v>
      </c>
      <c r="L225" s="3" t="s">
        <v>154</v>
      </c>
      <c r="M225" s="3">
        <v>1.0</v>
      </c>
      <c r="N225" s="3" t="s">
        <v>121</v>
      </c>
      <c r="O225" s="3" t="s">
        <v>2374</v>
      </c>
      <c r="P225" s="3" t="s">
        <v>2378</v>
      </c>
      <c r="Q225" s="3">
        <v>1.0</v>
      </c>
      <c r="R225" s="3">
        <v>506.0</v>
      </c>
      <c r="S225" s="3">
        <v>36.135686</v>
      </c>
      <c r="T225" s="3">
        <v>1.339368</v>
      </c>
      <c r="U225" s="3" t="s">
        <v>2376</v>
      </c>
      <c r="V225" s="3">
        <v>0.0</v>
      </c>
      <c r="W225" s="3">
        <v>2841.0</v>
      </c>
      <c r="X225" s="3">
        <v>6482.0</v>
      </c>
      <c r="Y225" s="3">
        <v>40.0</v>
      </c>
      <c r="Z225" s="3">
        <v>166.0</v>
      </c>
      <c r="AA225" s="3">
        <v>539.0</v>
      </c>
      <c r="AB225" s="3">
        <v>1165.0</v>
      </c>
      <c r="AC225" s="3">
        <v>1094.0</v>
      </c>
    </row>
    <row r="226">
      <c r="A226" s="3">
        <v>224.0</v>
      </c>
      <c r="B226" s="3" t="s">
        <v>2373</v>
      </c>
      <c r="C226" s="3">
        <v>449.0</v>
      </c>
      <c r="D226" s="3" t="s">
        <v>1005</v>
      </c>
      <c r="E226" s="3">
        <v>8.812</v>
      </c>
      <c r="F226" s="3">
        <v>-82.961</v>
      </c>
      <c r="G226" s="3">
        <v>12.0</v>
      </c>
      <c r="H226" s="3">
        <v>1.0</v>
      </c>
      <c r="I226" s="3" t="s">
        <v>112</v>
      </c>
      <c r="J226" s="3">
        <v>718.0</v>
      </c>
      <c r="K226" s="3">
        <v>724.0</v>
      </c>
      <c r="L226" s="3" t="s">
        <v>154</v>
      </c>
      <c r="M226" s="3">
        <v>1.0</v>
      </c>
      <c r="N226" s="3" t="s">
        <v>121</v>
      </c>
      <c r="O226" s="3" t="s">
        <v>2374</v>
      </c>
      <c r="P226" s="3" t="s">
        <v>2378</v>
      </c>
      <c r="Q226" s="3">
        <v>1.0</v>
      </c>
      <c r="R226" s="3">
        <v>506.0</v>
      </c>
      <c r="S226" s="3">
        <v>36.135686</v>
      </c>
      <c r="T226" s="3">
        <v>1.339368</v>
      </c>
      <c r="U226" s="3" t="s">
        <v>2376</v>
      </c>
      <c r="V226" s="3">
        <v>0.0</v>
      </c>
      <c r="W226" s="3">
        <v>2841.0</v>
      </c>
      <c r="X226" s="3">
        <v>6482.0</v>
      </c>
      <c r="Y226" s="3">
        <v>40.0</v>
      </c>
      <c r="Z226" s="3">
        <v>166.0</v>
      </c>
      <c r="AA226" s="3">
        <v>539.0</v>
      </c>
      <c r="AB226" s="3">
        <v>1165.0</v>
      </c>
      <c r="AC226" s="3">
        <v>1094.0</v>
      </c>
    </row>
    <row r="227">
      <c r="A227" s="3">
        <v>225.0</v>
      </c>
      <c r="B227" s="3" t="s">
        <v>2373</v>
      </c>
      <c r="C227" s="3">
        <v>450.0</v>
      </c>
      <c r="D227" s="3" t="s">
        <v>1006</v>
      </c>
      <c r="E227" s="3">
        <v>8.812</v>
      </c>
      <c r="F227" s="3">
        <v>-82.961</v>
      </c>
      <c r="G227" s="3">
        <v>12.0</v>
      </c>
      <c r="H227" s="3">
        <v>1.0</v>
      </c>
      <c r="I227" s="3" t="s">
        <v>112</v>
      </c>
      <c r="J227" s="3">
        <v>718.0</v>
      </c>
      <c r="K227" s="3">
        <v>724.0</v>
      </c>
      <c r="L227" s="3" t="s">
        <v>154</v>
      </c>
      <c r="M227" s="3">
        <v>1.0</v>
      </c>
      <c r="N227" s="3" t="s">
        <v>121</v>
      </c>
      <c r="O227" s="3" t="s">
        <v>2374</v>
      </c>
      <c r="P227" s="3" t="s">
        <v>2378</v>
      </c>
      <c r="Q227" s="3">
        <v>1.0</v>
      </c>
      <c r="R227" s="3">
        <v>506.0</v>
      </c>
      <c r="S227" s="3">
        <v>36.135686</v>
      </c>
      <c r="T227" s="3">
        <v>1.339368</v>
      </c>
      <c r="U227" s="3" t="s">
        <v>2376</v>
      </c>
      <c r="V227" s="3">
        <v>0.0</v>
      </c>
      <c r="W227" s="3">
        <v>2841.0</v>
      </c>
      <c r="X227" s="3">
        <v>6482.0</v>
      </c>
      <c r="Y227" s="3">
        <v>40.0</v>
      </c>
      <c r="Z227" s="3">
        <v>166.0</v>
      </c>
      <c r="AA227" s="3">
        <v>539.0</v>
      </c>
      <c r="AB227" s="3">
        <v>1165.0</v>
      </c>
      <c r="AC227" s="3">
        <v>1094.0</v>
      </c>
    </row>
    <row r="228">
      <c r="A228" s="3">
        <v>226.0</v>
      </c>
      <c r="B228" s="3" t="s">
        <v>2373</v>
      </c>
      <c r="C228" s="3">
        <v>451.0</v>
      </c>
      <c r="D228" s="3" t="s">
        <v>1007</v>
      </c>
      <c r="E228" s="3">
        <v>8.812</v>
      </c>
      <c r="F228" s="3">
        <v>-82.961</v>
      </c>
      <c r="G228" s="3">
        <v>12.0</v>
      </c>
      <c r="H228" s="3">
        <v>1.0</v>
      </c>
      <c r="I228" s="3" t="s">
        <v>112</v>
      </c>
      <c r="J228" s="3">
        <v>718.0</v>
      </c>
      <c r="K228" s="3">
        <v>724.0</v>
      </c>
      <c r="L228" s="3" t="s">
        <v>154</v>
      </c>
      <c r="M228" s="3">
        <v>1.0</v>
      </c>
      <c r="N228" s="3" t="s">
        <v>121</v>
      </c>
      <c r="O228" s="3" t="s">
        <v>2374</v>
      </c>
      <c r="P228" s="3" t="s">
        <v>2378</v>
      </c>
      <c r="Q228" s="3">
        <v>1.0</v>
      </c>
      <c r="R228" s="3">
        <v>506.0</v>
      </c>
      <c r="S228" s="3">
        <v>36.135686</v>
      </c>
      <c r="T228" s="3">
        <v>1.339368</v>
      </c>
      <c r="U228" s="3" t="s">
        <v>2376</v>
      </c>
      <c r="V228" s="3">
        <v>0.0</v>
      </c>
      <c r="W228" s="3">
        <v>2841.0</v>
      </c>
      <c r="X228" s="3">
        <v>6482.0</v>
      </c>
      <c r="Y228" s="3">
        <v>40.0</v>
      </c>
      <c r="Z228" s="3">
        <v>166.0</v>
      </c>
      <c r="AA228" s="3">
        <v>539.0</v>
      </c>
      <c r="AB228" s="3">
        <v>1165.0</v>
      </c>
      <c r="AC228" s="3">
        <v>1094.0</v>
      </c>
    </row>
    <row r="229">
      <c r="A229" s="3">
        <v>227.0</v>
      </c>
      <c r="B229" s="3" t="s">
        <v>2373</v>
      </c>
      <c r="C229" s="3">
        <v>452.0</v>
      </c>
      <c r="D229" s="3" t="s">
        <v>1008</v>
      </c>
      <c r="E229" s="3">
        <v>8.812</v>
      </c>
      <c r="F229" s="3">
        <v>-82.961</v>
      </c>
      <c r="G229" s="3">
        <v>12.0</v>
      </c>
      <c r="H229" s="3">
        <v>1.0</v>
      </c>
      <c r="I229" s="3" t="s">
        <v>112</v>
      </c>
      <c r="J229" s="3">
        <v>718.0</v>
      </c>
      <c r="K229" s="3">
        <v>724.0</v>
      </c>
      <c r="L229" s="3" t="s">
        <v>154</v>
      </c>
      <c r="M229" s="3">
        <v>1.0</v>
      </c>
      <c r="N229" s="3" t="s">
        <v>121</v>
      </c>
      <c r="O229" s="3" t="s">
        <v>2374</v>
      </c>
      <c r="P229" s="3" t="s">
        <v>2378</v>
      </c>
      <c r="Q229" s="3">
        <v>1.0</v>
      </c>
      <c r="R229" s="3">
        <v>506.0</v>
      </c>
      <c r="S229" s="3">
        <v>36.135686</v>
      </c>
      <c r="T229" s="3">
        <v>1.339368</v>
      </c>
      <c r="U229" s="3" t="s">
        <v>2376</v>
      </c>
      <c r="V229" s="3">
        <v>0.0</v>
      </c>
      <c r="W229" s="3">
        <v>2841.0</v>
      </c>
      <c r="X229" s="3">
        <v>6482.0</v>
      </c>
      <c r="Y229" s="3">
        <v>40.0</v>
      </c>
      <c r="Z229" s="3">
        <v>166.0</v>
      </c>
      <c r="AA229" s="3">
        <v>539.0</v>
      </c>
      <c r="AB229" s="3">
        <v>1165.0</v>
      </c>
      <c r="AC229" s="3">
        <v>1094.0</v>
      </c>
    </row>
    <row r="230">
      <c r="A230" s="3">
        <v>228.0</v>
      </c>
      <c r="B230" s="3" t="s">
        <v>2373</v>
      </c>
      <c r="C230" s="3">
        <v>453.0</v>
      </c>
      <c r="D230" s="3" t="s">
        <v>1009</v>
      </c>
      <c r="E230" s="3">
        <v>8.812</v>
      </c>
      <c r="F230" s="3">
        <v>-82.961</v>
      </c>
      <c r="G230" s="3">
        <v>12.0</v>
      </c>
      <c r="H230" s="3">
        <v>1.0</v>
      </c>
      <c r="I230" s="3" t="s">
        <v>112</v>
      </c>
      <c r="J230" s="3">
        <v>718.0</v>
      </c>
      <c r="K230" s="3">
        <v>724.0</v>
      </c>
      <c r="L230" s="3" t="s">
        <v>154</v>
      </c>
      <c r="M230" s="3">
        <v>1.0</v>
      </c>
      <c r="N230" s="3" t="s">
        <v>121</v>
      </c>
      <c r="O230" s="3" t="s">
        <v>2374</v>
      </c>
      <c r="P230" s="3" t="s">
        <v>2378</v>
      </c>
      <c r="Q230" s="3">
        <v>1.0</v>
      </c>
      <c r="R230" s="3">
        <v>506.0</v>
      </c>
      <c r="S230" s="3">
        <v>36.135686</v>
      </c>
      <c r="T230" s="3">
        <v>1.339368</v>
      </c>
      <c r="U230" s="3" t="s">
        <v>2376</v>
      </c>
      <c r="V230" s="3">
        <v>0.0</v>
      </c>
      <c r="W230" s="3">
        <v>2841.0</v>
      </c>
      <c r="X230" s="3">
        <v>6482.0</v>
      </c>
      <c r="Y230" s="3">
        <v>40.0</v>
      </c>
      <c r="Z230" s="3">
        <v>166.0</v>
      </c>
      <c r="AA230" s="3">
        <v>539.0</v>
      </c>
      <c r="AB230" s="3">
        <v>1165.0</v>
      </c>
      <c r="AC230" s="3">
        <v>1094.0</v>
      </c>
    </row>
    <row r="231">
      <c r="A231" s="3">
        <v>229.0</v>
      </c>
      <c r="B231" s="3" t="s">
        <v>2373</v>
      </c>
      <c r="C231" s="3">
        <v>537.0</v>
      </c>
      <c r="D231" s="3" t="s">
        <v>1973</v>
      </c>
      <c r="E231" s="3">
        <v>8.813</v>
      </c>
      <c r="F231" s="3">
        <v>-82.963</v>
      </c>
      <c r="G231" s="3">
        <v>12.0</v>
      </c>
      <c r="H231" s="3">
        <v>1.0</v>
      </c>
      <c r="I231" s="3" t="s">
        <v>112</v>
      </c>
      <c r="J231" s="3">
        <v>718.0</v>
      </c>
      <c r="K231" s="3">
        <v>724.0</v>
      </c>
      <c r="L231" s="3" t="s">
        <v>154</v>
      </c>
      <c r="M231" s="3">
        <v>1.0</v>
      </c>
      <c r="N231" s="3" t="s">
        <v>121</v>
      </c>
      <c r="O231" s="3" t="s">
        <v>2374</v>
      </c>
      <c r="P231" s="3" t="s">
        <v>2378</v>
      </c>
      <c r="Q231" s="3">
        <v>1.0</v>
      </c>
      <c r="R231" s="3">
        <v>506.0</v>
      </c>
      <c r="S231" s="3">
        <v>36.135686</v>
      </c>
      <c r="T231" s="3">
        <v>1.339368</v>
      </c>
      <c r="U231" s="3" t="s">
        <v>2376</v>
      </c>
      <c r="V231" s="3">
        <v>0.0</v>
      </c>
      <c r="W231" s="3">
        <v>2841.0</v>
      </c>
      <c r="X231" s="3">
        <v>6482.0</v>
      </c>
      <c r="Y231" s="3">
        <v>40.0</v>
      </c>
      <c r="Z231" s="3">
        <v>166.0</v>
      </c>
      <c r="AA231" s="3">
        <v>539.0</v>
      </c>
      <c r="AB231" s="3">
        <v>1165.0</v>
      </c>
      <c r="AC231" s="3">
        <v>1094.0</v>
      </c>
    </row>
    <row r="232">
      <c r="A232" s="3">
        <v>230.0</v>
      </c>
      <c r="B232" s="3" t="s">
        <v>2373</v>
      </c>
      <c r="C232" s="3">
        <v>608.0</v>
      </c>
      <c r="D232" s="3" t="s">
        <v>2154</v>
      </c>
      <c r="E232" s="3">
        <v>9.468532</v>
      </c>
      <c r="F232" s="3">
        <v>-83.480059</v>
      </c>
      <c r="G232" s="3">
        <v>12.0</v>
      </c>
      <c r="H232" s="3">
        <v>1.0</v>
      </c>
      <c r="I232" s="3" t="s">
        <v>112</v>
      </c>
      <c r="J232" s="3">
        <v>718.0</v>
      </c>
      <c r="K232" s="3">
        <v>724.0</v>
      </c>
      <c r="L232" s="3" t="s">
        <v>154</v>
      </c>
      <c r="M232" s="3">
        <v>1.0</v>
      </c>
      <c r="N232" s="3" t="s">
        <v>121</v>
      </c>
      <c r="O232" s="3" t="s">
        <v>2374</v>
      </c>
      <c r="P232" s="3" t="s">
        <v>2378</v>
      </c>
      <c r="Q232" s="3">
        <v>1.0</v>
      </c>
      <c r="R232" s="3">
        <v>506.0</v>
      </c>
      <c r="S232" s="3">
        <v>36.135686</v>
      </c>
      <c r="T232" s="3">
        <v>1.339368</v>
      </c>
      <c r="U232" s="3" t="s">
        <v>2376</v>
      </c>
      <c r="V232" s="3">
        <v>0.0</v>
      </c>
      <c r="W232" s="3">
        <v>2510.0</v>
      </c>
      <c r="X232" s="3">
        <v>6856.0</v>
      </c>
      <c r="Y232" s="3">
        <v>28.0</v>
      </c>
      <c r="Z232" s="3">
        <v>87.0</v>
      </c>
      <c r="AA232" s="3">
        <v>382.0</v>
      </c>
      <c r="AB232" s="3">
        <v>1054.0</v>
      </c>
      <c r="AC232" s="3">
        <v>3450.0</v>
      </c>
    </row>
    <row r="233">
      <c r="A233" s="3">
        <v>231.0</v>
      </c>
      <c r="B233" s="3" t="s">
        <v>2373</v>
      </c>
      <c r="C233" s="3">
        <v>609.0</v>
      </c>
      <c r="D233" s="3" t="s">
        <v>1349</v>
      </c>
      <c r="E233" s="3">
        <v>9.468532</v>
      </c>
      <c r="F233" s="3">
        <v>-83.480059</v>
      </c>
      <c r="G233" s="3">
        <v>12.0</v>
      </c>
      <c r="H233" s="3">
        <v>1.0</v>
      </c>
      <c r="I233" s="3" t="s">
        <v>112</v>
      </c>
      <c r="J233" s="3">
        <v>718.0</v>
      </c>
      <c r="K233" s="3">
        <v>724.0</v>
      </c>
      <c r="L233" s="3" t="s">
        <v>154</v>
      </c>
      <c r="M233" s="3">
        <v>1.0</v>
      </c>
      <c r="N233" s="3" t="s">
        <v>121</v>
      </c>
      <c r="O233" s="3" t="s">
        <v>2374</v>
      </c>
      <c r="P233" s="3" t="s">
        <v>2378</v>
      </c>
      <c r="Q233" s="3">
        <v>1.0</v>
      </c>
      <c r="R233" s="3">
        <v>506.0</v>
      </c>
      <c r="S233" s="3">
        <v>36.135686</v>
      </c>
      <c r="T233" s="3">
        <v>1.339368</v>
      </c>
      <c r="U233" s="3" t="s">
        <v>2376</v>
      </c>
      <c r="V233" s="3">
        <v>0.0</v>
      </c>
      <c r="W233" s="3">
        <v>2510.0</v>
      </c>
      <c r="X233" s="3">
        <v>6856.0</v>
      </c>
      <c r="Y233" s="3">
        <v>28.0</v>
      </c>
      <c r="Z233" s="3">
        <v>87.0</v>
      </c>
      <c r="AA233" s="3">
        <v>382.0</v>
      </c>
      <c r="AB233" s="3">
        <v>1054.0</v>
      </c>
      <c r="AC233" s="3">
        <v>3450.0</v>
      </c>
    </row>
    <row r="234">
      <c r="A234" s="3">
        <v>232.0</v>
      </c>
      <c r="B234" s="3" t="s">
        <v>2373</v>
      </c>
      <c r="C234" s="3">
        <v>610.0</v>
      </c>
      <c r="D234" s="3" t="s">
        <v>2162</v>
      </c>
      <c r="E234" s="3">
        <v>9.468532</v>
      </c>
      <c r="F234" s="3">
        <v>-83.480059</v>
      </c>
      <c r="G234" s="3">
        <v>12.0</v>
      </c>
      <c r="H234" s="3">
        <v>1.0</v>
      </c>
      <c r="I234" s="3" t="s">
        <v>112</v>
      </c>
      <c r="J234" s="3">
        <v>718.0</v>
      </c>
      <c r="K234" s="3">
        <v>724.0</v>
      </c>
      <c r="L234" s="3" t="s">
        <v>154</v>
      </c>
      <c r="M234" s="3">
        <v>1.0</v>
      </c>
      <c r="N234" s="3" t="s">
        <v>121</v>
      </c>
      <c r="O234" s="3" t="s">
        <v>2374</v>
      </c>
      <c r="P234" s="3" t="s">
        <v>2378</v>
      </c>
      <c r="Q234" s="3">
        <v>1.0</v>
      </c>
      <c r="R234" s="3">
        <v>506.0</v>
      </c>
      <c r="S234" s="3">
        <v>36.135686</v>
      </c>
      <c r="T234" s="3">
        <v>1.339368</v>
      </c>
      <c r="U234" s="3" t="s">
        <v>2376</v>
      </c>
      <c r="V234" s="3">
        <v>0.0</v>
      </c>
      <c r="W234" s="3">
        <v>2510.0</v>
      </c>
      <c r="X234" s="3">
        <v>6856.0</v>
      </c>
      <c r="Y234" s="3">
        <v>28.0</v>
      </c>
      <c r="Z234" s="3">
        <v>87.0</v>
      </c>
      <c r="AA234" s="3">
        <v>382.0</v>
      </c>
      <c r="AB234" s="3">
        <v>1054.0</v>
      </c>
      <c r="AC234" s="3">
        <v>3450.0</v>
      </c>
    </row>
    <row r="235">
      <c r="A235" s="3">
        <v>233.0</v>
      </c>
      <c r="B235" s="3" t="s">
        <v>2373</v>
      </c>
      <c r="C235" s="3">
        <v>611.0</v>
      </c>
      <c r="D235" s="3" t="s">
        <v>1352</v>
      </c>
      <c r="E235" s="3">
        <v>9.468532</v>
      </c>
      <c r="F235" s="3">
        <v>-83.480059</v>
      </c>
      <c r="G235" s="3">
        <v>12.0</v>
      </c>
      <c r="H235" s="3">
        <v>1.0</v>
      </c>
      <c r="I235" s="3" t="s">
        <v>112</v>
      </c>
      <c r="J235" s="3">
        <v>718.0</v>
      </c>
      <c r="K235" s="3">
        <v>724.0</v>
      </c>
      <c r="L235" s="3" t="s">
        <v>154</v>
      </c>
      <c r="M235" s="3">
        <v>1.0</v>
      </c>
      <c r="N235" s="3" t="s">
        <v>121</v>
      </c>
      <c r="O235" s="3" t="s">
        <v>2374</v>
      </c>
      <c r="P235" s="3" t="s">
        <v>2378</v>
      </c>
      <c r="Q235" s="3">
        <v>1.0</v>
      </c>
      <c r="R235" s="3">
        <v>506.0</v>
      </c>
      <c r="S235" s="3">
        <v>36.135686</v>
      </c>
      <c r="T235" s="3">
        <v>1.339368</v>
      </c>
      <c r="U235" s="3" t="s">
        <v>2376</v>
      </c>
      <c r="V235" s="3">
        <v>0.0</v>
      </c>
      <c r="W235" s="3">
        <v>2510.0</v>
      </c>
      <c r="X235" s="3">
        <v>6856.0</v>
      </c>
      <c r="Y235" s="3">
        <v>28.0</v>
      </c>
      <c r="Z235" s="3">
        <v>87.0</v>
      </c>
      <c r="AA235" s="3">
        <v>382.0</v>
      </c>
      <c r="AB235" s="3">
        <v>1054.0</v>
      </c>
      <c r="AC235" s="3">
        <v>3450.0</v>
      </c>
    </row>
    <row r="236">
      <c r="A236" s="3">
        <v>234.0</v>
      </c>
      <c r="B236" s="3" t="s">
        <v>2373</v>
      </c>
      <c r="C236" s="3">
        <v>612.0</v>
      </c>
      <c r="D236" s="3" t="s">
        <v>2164</v>
      </c>
      <c r="E236" s="3">
        <v>9.468532</v>
      </c>
      <c r="F236" s="3">
        <v>-83.480059</v>
      </c>
      <c r="G236" s="3">
        <v>12.0</v>
      </c>
      <c r="H236" s="3">
        <v>1.0</v>
      </c>
      <c r="I236" s="3" t="s">
        <v>112</v>
      </c>
      <c r="J236" s="3">
        <v>718.0</v>
      </c>
      <c r="K236" s="3">
        <v>724.0</v>
      </c>
      <c r="L236" s="3" t="s">
        <v>154</v>
      </c>
      <c r="M236" s="3">
        <v>1.0</v>
      </c>
      <c r="N236" s="3" t="s">
        <v>121</v>
      </c>
      <c r="O236" s="3" t="s">
        <v>2374</v>
      </c>
      <c r="P236" s="3" t="s">
        <v>2378</v>
      </c>
      <c r="Q236" s="3">
        <v>1.0</v>
      </c>
      <c r="R236" s="3">
        <v>506.0</v>
      </c>
      <c r="S236" s="3">
        <v>36.135686</v>
      </c>
      <c r="T236" s="3">
        <v>1.339368</v>
      </c>
      <c r="U236" s="3" t="s">
        <v>2376</v>
      </c>
      <c r="V236" s="3">
        <v>0.0</v>
      </c>
      <c r="W236" s="3">
        <v>2510.0</v>
      </c>
      <c r="X236" s="3">
        <v>6856.0</v>
      </c>
      <c r="Y236" s="3">
        <v>28.0</v>
      </c>
      <c r="Z236" s="3">
        <v>87.0</v>
      </c>
      <c r="AA236" s="3">
        <v>382.0</v>
      </c>
      <c r="AB236" s="3">
        <v>1054.0</v>
      </c>
      <c r="AC236" s="3">
        <v>3450.0</v>
      </c>
    </row>
    <row r="237">
      <c r="A237" s="3">
        <v>235.0</v>
      </c>
      <c r="B237" s="3" t="s">
        <v>2373</v>
      </c>
      <c r="C237" s="3">
        <v>613.0</v>
      </c>
      <c r="D237" s="3" t="s">
        <v>2165</v>
      </c>
      <c r="E237" s="3">
        <v>9.468532</v>
      </c>
      <c r="F237" s="3">
        <v>-83.480059</v>
      </c>
      <c r="G237" s="3">
        <v>12.0</v>
      </c>
      <c r="H237" s="3">
        <v>1.0</v>
      </c>
      <c r="I237" s="3" t="s">
        <v>112</v>
      </c>
      <c r="J237" s="3">
        <v>718.0</v>
      </c>
      <c r="K237" s="3">
        <v>724.0</v>
      </c>
      <c r="L237" s="3" t="s">
        <v>154</v>
      </c>
      <c r="M237" s="3">
        <v>1.0</v>
      </c>
      <c r="N237" s="3" t="s">
        <v>121</v>
      </c>
      <c r="O237" s="3" t="s">
        <v>2374</v>
      </c>
      <c r="P237" s="3" t="s">
        <v>2378</v>
      </c>
      <c r="Q237" s="3">
        <v>1.0</v>
      </c>
      <c r="R237" s="3">
        <v>506.0</v>
      </c>
      <c r="S237" s="3">
        <v>36.135686</v>
      </c>
      <c r="T237" s="3">
        <v>1.339368</v>
      </c>
      <c r="U237" s="3" t="s">
        <v>2376</v>
      </c>
      <c r="V237" s="3">
        <v>0.0</v>
      </c>
      <c r="W237" s="3">
        <v>2510.0</v>
      </c>
      <c r="X237" s="3">
        <v>6856.0</v>
      </c>
      <c r="Y237" s="3">
        <v>28.0</v>
      </c>
      <c r="Z237" s="3">
        <v>87.0</v>
      </c>
      <c r="AA237" s="3">
        <v>382.0</v>
      </c>
      <c r="AB237" s="3">
        <v>1054.0</v>
      </c>
      <c r="AC237" s="3">
        <v>3450.0</v>
      </c>
    </row>
    <row r="238">
      <c r="A238" s="3">
        <v>236.0</v>
      </c>
      <c r="B238" s="3" t="s">
        <v>2373</v>
      </c>
      <c r="C238" s="3">
        <v>637.0</v>
      </c>
      <c r="D238" s="3" t="s">
        <v>2225</v>
      </c>
      <c r="E238" s="3">
        <v>9.494658</v>
      </c>
      <c r="F238" s="3">
        <v>-83.485118</v>
      </c>
      <c r="G238" s="3">
        <v>12.0</v>
      </c>
      <c r="H238" s="3">
        <v>1.0</v>
      </c>
      <c r="I238" s="3" t="s">
        <v>112</v>
      </c>
      <c r="J238" s="3">
        <v>718.0</v>
      </c>
      <c r="K238" s="3">
        <v>724.0</v>
      </c>
      <c r="L238" s="3" t="s">
        <v>154</v>
      </c>
      <c r="M238" s="3">
        <v>1.0</v>
      </c>
      <c r="N238" s="3" t="s">
        <v>121</v>
      </c>
      <c r="O238" s="3" t="s">
        <v>2374</v>
      </c>
      <c r="P238" s="3" t="s">
        <v>2378</v>
      </c>
      <c r="Q238" s="3">
        <v>1.0</v>
      </c>
      <c r="R238" s="3">
        <v>506.0</v>
      </c>
      <c r="S238" s="3">
        <v>36.135686</v>
      </c>
      <c r="T238" s="3">
        <v>1.339368</v>
      </c>
      <c r="U238" s="3" t="s">
        <v>2376</v>
      </c>
      <c r="V238" s="3">
        <v>0.0</v>
      </c>
      <c r="W238" s="3">
        <v>2202.0</v>
      </c>
      <c r="X238" s="3">
        <v>7181.0</v>
      </c>
      <c r="Y238" s="3">
        <v>11.0</v>
      </c>
      <c r="Z238" s="3">
        <v>65.0</v>
      </c>
      <c r="AA238" s="3">
        <v>369.0</v>
      </c>
      <c r="AB238" s="3">
        <v>957.0</v>
      </c>
      <c r="AC238" s="3">
        <v>3509.0</v>
      </c>
    </row>
    <row r="239">
      <c r="A239" s="3">
        <v>237.0</v>
      </c>
      <c r="B239" s="3" t="s">
        <v>2373</v>
      </c>
      <c r="C239" s="3">
        <v>638.0</v>
      </c>
      <c r="D239" s="3" t="s">
        <v>2227</v>
      </c>
      <c r="E239" s="3">
        <v>9.494658</v>
      </c>
      <c r="F239" s="3">
        <v>-83.485118</v>
      </c>
      <c r="G239" s="3">
        <v>12.0</v>
      </c>
      <c r="H239" s="3">
        <v>1.0</v>
      </c>
      <c r="I239" s="3" t="s">
        <v>112</v>
      </c>
      <c r="J239" s="3">
        <v>718.0</v>
      </c>
      <c r="K239" s="3">
        <v>724.0</v>
      </c>
      <c r="L239" s="3" t="s">
        <v>154</v>
      </c>
      <c r="M239" s="3">
        <v>1.0</v>
      </c>
      <c r="N239" s="3" t="s">
        <v>121</v>
      </c>
      <c r="O239" s="3" t="s">
        <v>2374</v>
      </c>
      <c r="P239" s="3" t="s">
        <v>2378</v>
      </c>
      <c r="Q239" s="3">
        <v>1.0</v>
      </c>
      <c r="R239" s="3">
        <v>506.0</v>
      </c>
      <c r="S239" s="3">
        <v>36.135686</v>
      </c>
      <c r="T239" s="3">
        <v>1.339368</v>
      </c>
      <c r="U239" s="3" t="s">
        <v>2376</v>
      </c>
      <c r="V239" s="3">
        <v>0.0</v>
      </c>
      <c r="W239" s="3">
        <v>2202.0</v>
      </c>
      <c r="X239" s="3">
        <v>7181.0</v>
      </c>
      <c r="Y239" s="3">
        <v>11.0</v>
      </c>
      <c r="Z239" s="3">
        <v>65.0</v>
      </c>
      <c r="AA239" s="3">
        <v>369.0</v>
      </c>
      <c r="AB239" s="3">
        <v>957.0</v>
      </c>
      <c r="AC239" s="3">
        <v>3509.0</v>
      </c>
    </row>
    <row r="240">
      <c r="A240" s="3">
        <v>238.0</v>
      </c>
      <c r="B240" s="3" t="s">
        <v>2373</v>
      </c>
      <c r="C240" s="3">
        <v>639.0</v>
      </c>
      <c r="D240" s="3" t="s">
        <v>2229</v>
      </c>
      <c r="E240" s="3">
        <v>9.494658</v>
      </c>
      <c r="F240" s="3">
        <v>-83.485118</v>
      </c>
      <c r="G240" s="3">
        <v>12.0</v>
      </c>
      <c r="H240" s="3">
        <v>1.0</v>
      </c>
      <c r="I240" s="3" t="s">
        <v>112</v>
      </c>
      <c r="J240" s="3">
        <v>718.0</v>
      </c>
      <c r="K240" s="3">
        <v>724.0</v>
      </c>
      <c r="L240" s="3" t="s">
        <v>154</v>
      </c>
      <c r="M240" s="3">
        <v>1.0</v>
      </c>
      <c r="N240" s="3" t="s">
        <v>121</v>
      </c>
      <c r="O240" s="3" t="s">
        <v>2374</v>
      </c>
      <c r="P240" s="3" t="s">
        <v>2378</v>
      </c>
      <c r="Q240" s="3">
        <v>1.0</v>
      </c>
      <c r="R240" s="3">
        <v>506.0</v>
      </c>
      <c r="S240" s="3">
        <v>36.135686</v>
      </c>
      <c r="T240" s="3">
        <v>1.339368</v>
      </c>
      <c r="U240" s="3" t="s">
        <v>2376</v>
      </c>
      <c r="V240" s="3">
        <v>0.0</v>
      </c>
      <c r="W240" s="3">
        <v>2202.0</v>
      </c>
      <c r="X240" s="3">
        <v>7181.0</v>
      </c>
      <c r="Y240" s="3">
        <v>11.0</v>
      </c>
      <c r="Z240" s="3">
        <v>65.0</v>
      </c>
      <c r="AA240" s="3">
        <v>369.0</v>
      </c>
      <c r="AB240" s="3">
        <v>957.0</v>
      </c>
      <c r="AC240" s="3">
        <v>3509.0</v>
      </c>
    </row>
    <row r="241">
      <c r="A241" s="3">
        <v>239.0</v>
      </c>
      <c r="B241" s="3" t="s">
        <v>2373</v>
      </c>
      <c r="C241" s="3">
        <v>640.0</v>
      </c>
      <c r="D241" s="3" t="s">
        <v>2230</v>
      </c>
      <c r="E241" s="3">
        <v>9.468532</v>
      </c>
      <c r="F241" s="3">
        <v>-83.480059</v>
      </c>
      <c r="G241" s="3">
        <v>12.0</v>
      </c>
      <c r="H241" s="3">
        <v>1.0</v>
      </c>
      <c r="I241" s="3" t="s">
        <v>112</v>
      </c>
      <c r="J241" s="3">
        <v>718.0</v>
      </c>
      <c r="K241" s="3">
        <v>724.0</v>
      </c>
      <c r="L241" s="3" t="s">
        <v>154</v>
      </c>
      <c r="M241" s="3">
        <v>1.0</v>
      </c>
      <c r="N241" s="3" t="s">
        <v>121</v>
      </c>
      <c r="O241" s="3" t="s">
        <v>2374</v>
      </c>
      <c r="P241" s="3" t="s">
        <v>2378</v>
      </c>
      <c r="Q241" s="3">
        <v>1.0</v>
      </c>
      <c r="R241" s="3">
        <v>506.0</v>
      </c>
      <c r="S241" s="3">
        <v>36.135686</v>
      </c>
      <c r="T241" s="3">
        <v>1.339368</v>
      </c>
      <c r="U241" s="3" t="s">
        <v>2376</v>
      </c>
      <c r="V241" s="3">
        <v>0.0</v>
      </c>
      <c r="W241" s="3">
        <v>2510.0</v>
      </c>
      <c r="X241" s="3">
        <v>6856.0</v>
      </c>
      <c r="Y241" s="3">
        <v>28.0</v>
      </c>
      <c r="Z241" s="3">
        <v>87.0</v>
      </c>
      <c r="AA241" s="3">
        <v>382.0</v>
      </c>
      <c r="AB241" s="3">
        <v>1054.0</v>
      </c>
      <c r="AC241" s="3">
        <v>3450.0</v>
      </c>
    </row>
    <row r="242">
      <c r="A242" s="3">
        <v>240.0</v>
      </c>
      <c r="B242" s="3" t="s">
        <v>2373</v>
      </c>
      <c r="C242" s="3">
        <v>641.0</v>
      </c>
      <c r="D242" s="3" t="s">
        <v>2232</v>
      </c>
      <c r="E242" s="3">
        <v>9.468532</v>
      </c>
      <c r="F242" s="3">
        <v>-83.480059</v>
      </c>
      <c r="G242" s="3">
        <v>12.0</v>
      </c>
      <c r="H242" s="3">
        <v>1.0</v>
      </c>
      <c r="I242" s="3" t="s">
        <v>112</v>
      </c>
      <c r="J242" s="3">
        <v>718.0</v>
      </c>
      <c r="K242" s="3">
        <v>724.0</v>
      </c>
      <c r="L242" s="3" t="s">
        <v>154</v>
      </c>
      <c r="M242" s="3">
        <v>1.0</v>
      </c>
      <c r="N242" s="3" t="s">
        <v>121</v>
      </c>
      <c r="O242" s="3" t="s">
        <v>2374</v>
      </c>
      <c r="P242" s="3" t="s">
        <v>2378</v>
      </c>
      <c r="Q242" s="3">
        <v>1.0</v>
      </c>
      <c r="R242" s="3">
        <v>506.0</v>
      </c>
      <c r="S242" s="3">
        <v>36.135686</v>
      </c>
      <c r="T242" s="3">
        <v>1.339368</v>
      </c>
      <c r="U242" s="3" t="s">
        <v>2376</v>
      </c>
      <c r="V242" s="3">
        <v>0.0</v>
      </c>
      <c r="W242" s="3">
        <v>2510.0</v>
      </c>
      <c r="X242" s="3">
        <v>6856.0</v>
      </c>
      <c r="Y242" s="3">
        <v>28.0</v>
      </c>
      <c r="Z242" s="3">
        <v>87.0</v>
      </c>
      <c r="AA242" s="3">
        <v>382.0</v>
      </c>
      <c r="AB242" s="3">
        <v>1054.0</v>
      </c>
      <c r="AC242" s="3">
        <v>3450.0</v>
      </c>
    </row>
    <row r="243">
      <c r="A243" s="3">
        <v>241.0</v>
      </c>
      <c r="B243" s="3" t="s">
        <v>2373</v>
      </c>
      <c r="C243" s="3">
        <v>642.0</v>
      </c>
      <c r="D243" s="78" t="s">
        <v>2233</v>
      </c>
      <c r="E243" s="3">
        <v>9.468532</v>
      </c>
      <c r="F243" s="3">
        <v>-83.480059</v>
      </c>
      <c r="G243" s="3">
        <v>12.0</v>
      </c>
      <c r="H243" s="3">
        <v>1.0</v>
      </c>
      <c r="I243" s="3" t="s">
        <v>112</v>
      </c>
      <c r="J243" s="3">
        <v>718.0</v>
      </c>
      <c r="K243" s="3">
        <v>724.0</v>
      </c>
      <c r="L243" s="3" t="s">
        <v>154</v>
      </c>
      <c r="M243" s="3">
        <v>1.0</v>
      </c>
      <c r="N243" s="3" t="s">
        <v>121</v>
      </c>
      <c r="O243" s="3" t="s">
        <v>2374</v>
      </c>
      <c r="P243" s="3" t="s">
        <v>2378</v>
      </c>
      <c r="Q243" s="3">
        <v>1.0</v>
      </c>
      <c r="R243" s="3">
        <v>506.0</v>
      </c>
      <c r="S243" s="3">
        <v>36.135686</v>
      </c>
      <c r="T243" s="3">
        <v>1.339368</v>
      </c>
      <c r="U243" s="3" t="s">
        <v>2376</v>
      </c>
      <c r="V243" s="3">
        <v>0.0</v>
      </c>
      <c r="W243" s="3">
        <v>2510.0</v>
      </c>
      <c r="X243" s="3">
        <v>6856.0</v>
      </c>
      <c r="Y243" s="3">
        <v>28.0</v>
      </c>
      <c r="Z243" s="3">
        <v>87.0</v>
      </c>
      <c r="AA243" s="3">
        <v>382.0</v>
      </c>
      <c r="AB243" s="3">
        <v>1054.0</v>
      </c>
      <c r="AC243" s="3">
        <v>3450.0</v>
      </c>
    </row>
    <row r="244">
      <c r="A244" s="3">
        <v>242.0</v>
      </c>
      <c r="B244" s="3" t="s">
        <v>2373</v>
      </c>
      <c r="C244" s="3">
        <v>152.0</v>
      </c>
      <c r="D244" s="3" t="s">
        <v>890</v>
      </c>
      <c r="E244" s="3">
        <v>13.57</v>
      </c>
      <c r="F244" s="3">
        <v>-89.52</v>
      </c>
      <c r="G244" s="3">
        <v>13.0</v>
      </c>
      <c r="H244" s="3">
        <v>2.0</v>
      </c>
      <c r="I244" s="3" t="s">
        <v>737</v>
      </c>
      <c r="J244" s="3">
        <v>118.0</v>
      </c>
      <c r="K244" s="3">
        <v>120.0</v>
      </c>
      <c r="L244" s="3" t="s">
        <v>525</v>
      </c>
      <c r="M244" s="3">
        <v>2.0</v>
      </c>
      <c r="N244" s="3" t="s">
        <v>104</v>
      </c>
      <c r="O244" s="3" t="s">
        <v>2374</v>
      </c>
      <c r="P244" s="3" t="s">
        <v>2379</v>
      </c>
      <c r="Q244" s="3">
        <v>3.0</v>
      </c>
      <c r="R244" s="3">
        <v>527.0</v>
      </c>
      <c r="S244" s="3">
        <v>96.749052</v>
      </c>
      <c r="T244" s="3">
        <v>5.65478</v>
      </c>
      <c r="U244" s="3" t="s">
        <v>2376</v>
      </c>
      <c r="V244" s="3">
        <v>0.0</v>
      </c>
      <c r="W244" s="3">
        <v>1850.0</v>
      </c>
      <c r="X244" s="3">
        <v>9579.0</v>
      </c>
      <c r="Y244" s="3">
        <v>2.0</v>
      </c>
      <c r="Z244" s="3">
        <v>16.0</v>
      </c>
      <c r="AA244" s="3">
        <v>362.0</v>
      </c>
      <c r="AB244" s="3">
        <v>995.0</v>
      </c>
      <c r="AC244" s="3">
        <v>413.0</v>
      </c>
    </row>
    <row r="245">
      <c r="A245" s="3">
        <v>243.0</v>
      </c>
      <c r="B245" s="3" t="s">
        <v>2373</v>
      </c>
      <c r="C245" s="3">
        <v>153.0</v>
      </c>
      <c r="D245" s="3" t="s">
        <v>891</v>
      </c>
      <c r="E245" s="3">
        <v>13.57</v>
      </c>
      <c r="F245" s="3">
        <v>-89.52</v>
      </c>
      <c r="G245" s="3">
        <v>13.0</v>
      </c>
      <c r="H245" s="3">
        <v>2.0</v>
      </c>
      <c r="I245" s="3" t="s">
        <v>737</v>
      </c>
      <c r="J245" s="3">
        <v>118.0</v>
      </c>
      <c r="K245" s="3">
        <v>120.0</v>
      </c>
      <c r="L245" s="3" t="s">
        <v>525</v>
      </c>
      <c r="M245" s="3">
        <v>2.0</v>
      </c>
      <c r="N245" s="3" t="s">
        <v>104</v>
      </c>
      <c r="O245" s="3" t="s">
        <v>2374</v>
      </c>
      <c r="P245" s="3" t="s">
        <v>2379</v>
      </c>
      <c r="Q245" s="3">
        <v>3.0</v>
      </c>
      <c r="R245" s="3">
        <v>527.0</v>
      </c>
      <c r="S245" s="3">
        <v>96.749052</v>
      </c>
      <c r="T245" s="3">
        <v>5.65478</v>
      </c>
      <c r="U245" s="3" t="s">
        <v>2376</v>
      </c>
      <c r="V245" s="3">
        <v>0.0</v>
      </c>
      <c r="W245" s="3">
        <v>1850.0</v>
      </c>
      <c r="X245" s="3">
        <v>9579.0</v>
      </c>
      <c r="Y245" s="3">
        <v>2.0</v>
      </c>
      <c r="Z245" s="3">
        <v>16.0</v>
      </c>
      <c r="AA245" s="3">
        <v>362.0</v>
      </c>
      <c r="AB245" s="3">
        <v>995.0</v>
      </c>
      <c r="AC245" s="3">
        <v>413.0</v>
      </c>
    </row>
    <row r="246">
      <c r="A246" s="3">
        <v>244.0</v>
      </c>
      <c r="B246" s="3" t="s">
        <v>2373</v>
      </c>
      <c r="C246" s="3">
        <v>154.0</v>
      </c>
      <c r="D246" s="3" t="s">
        <v>893</v>
      </c>
      <c r="E246" s="3">
        <v>13.57</v>
      </c>
      <c r="F246" s="3">
        <v>-89.52</v>
      </c>
      <c r="G246" s="3">
        <v>13.0</v>
      </c>
      <c r="H246" s="3">
        <v>2.0</v>
      </c>
      <c r="I246" s="3" t="s">
        <v>737</v>
      </c>
      <c r="J246" s="3">
        <v>118.0</v>
      </c>
      <c r="K246" s="3">
        <v>120.0</v>
      </c>
      <c r="L246" s="3" t="s">
        <v>525</v>
      </c>
      <c r="M246" s="3">
        <v>2.0</v>
      </c>
      <c r="N246" s="3" t="s">
        <v>104</v>
      </c>
      <c r="O246" s="3" t="s">
        <v>2374</v>
      </c>
      <c r="P246" s="3" t="s">
        <v>2379</v>
      </c>
      <c r="Q246" s="3">
        <v>3.0</v>
      </c>
      <c r="R246" s="3">
        <v>527.0</v>
      </c>
      <c r="S246" s="3">
        <v>96.749052</v>
      </c>
      <c r="T246" s="3">
        <v>5.65478</v>
      </c>
      <c r="U246" s="3" t="s">
        <v>2376</v>
      </c>
      <c r="V246" s="3">
        <v>0.0</v>
      </c>
      <c r="W246" s="3">
        <v>1850.0</v>
      </c>
      <c r="X246" s="3">
        <v>9579.0</v>
      </c>
      <c r="Y246" s="3">
        <v>2.0</v>
      </c>
      <c r="Z246" s="3">
        <v>16.0</v>
      </c>
      <c r="AA246" s="3">
        <v>362.0</v>
      </c>
      <c r="AB246" s="3">
        <v>995.0</v>
      </c>
      <c r="AC246" s="3">
        <v>413.0</v>
      </c>
    </row>
    <row r="247">
      <c r="A247" s="3">
        <v>245.0</v>
      </c>
      <c r="B247" s="3" t="s">
        <v>2373</v>
      </c>
      <c r="C247" s="3">
        <v>155.0</v>
      </c>
      <c r="D247" s="3" t="s">
        <v>736</v>
      </c>
      <c r="E247" s="3">
        <v>13.57</v>
      </c>
      <c r="F247" s="3">
        <v>-89.52</v>
      </c>
      <c r="G247" s="3">
        <v>13.0</v>
      </c>
      <c r="H247" s="3">
        <v>2.0</v>
      </c>
      <c r="I247" s="3" t="s">
        <v>737</v>
      </c>
      <c r="J247" s="3">
        <v>118.0</v>
      </c>
      <c r="K247" s="3">
        <v>120.0</v>
      </c>
      <c r="L247" s="3" t="s">
        <v>525</v>
      </c>
      <c r="M247" s="3">
        <v>2.0</v>
      </c>
      <c r="N247" s="3" t="s">
        <v>104</v>
      </c>
      <c r="O247" s="3" t="s">
        <v>2374</v>
      </c>
      <c r="P247" s="3" t="s">
        <v>2379</v>
      </c>
      <c r="Q247" s="3">
        <v>3.0</v>
      </c>
      <c r="R247" s="3">
        <v>527.0</v>
      </c>
      <c r="S247" s="3">
        <v>96.749052</v>
      </c>
      <c r="T247" s="3">
        <v>5.65478</v>
      </c>
      <c r="U247" s="3" t="s">
        <v>2376</v>
      </c>
      <c r="V247" s="3">
        <v>0.0</v>
      </c>
      <c r="W247" s="3">
        <v>1850.0</v>
      </c>
      <c r="X247" s="3">
        <v>9579.0</v>
      </c>
      <c r="Y247" s="3">
        <v>2.0</v>
      </c>
      <c r="Z247" s="3">
        <v>16.0</v>
      </c>
      <c r="AA247" s="3">
        <v>362.0</v>
      </c>
      <c r="AB247" s="3">
        <v>995.0</v>
      </c>
      <c r="AC247" s="3">
        <v>413.0</v>
      </c>
    </row>
    <row r="248">
      <c r="A248" s="3">
        <v>246.0</v>
      </c>
      <c r="B248" s="3" t="s">
        <v>2373</v>
      </c>
      <c r="C248" s="3">
        <v>156.0</v>
      </c>
      <c r="D248" s="3" t="s">
        <v>741</v>
      </c>
      <c r="E248" s="3">
        <v>13.57</v>
      </c>
      <c r="F248" s="3">
        <v>-89.52</v>
      </c>
      <c r="G248" s="3">
        <v>13.0</v>
      </c>
      <c r="H248" s="3">
        <v>2.0</v>
      </c>
      <c r="I248" s="3" t="s">
        <v>737</v>
      </c>
      <c r="J248" s="3">
        <v>118.0</v>
      </c>
      <c r="K248" s="3">
        <v>120.0</v>
      </c>
      <c r="L248" s="3" t="s">
        <v>525</v>
      </c>
      <c r="M248" s="3">
        <v>2.0</v>
      </c>
      <c r="N248" s="3" t="s">
        <v>104</v>
      </c>
      <c r="O248" s="3" t="s">
        <v>2374</v>
      </c>
      <c r="P248" s="3" t="s">
        <v>2379</v>
      </c>
      <c r="Q248" s="3">
        <v>3.0</v>
      </c>
      <c r="R248" s="3">
        <v>527.0</v>
      </c>
      <c r="S248" s="3">
        <v>96.749052</v>
      </c>
      <c r="T248" s="3">
        <v>5.65478</v>
      </c>
      <c r="U248" s="3" t="s">
        <v>2376</v>
      </c>
      <c r="V248" s="3">
        <v>0.0</v>
      </c>
      <c r="W248" s="3">
        <v>1850.0</v>
      </c>
      <c r="X248" s="3">
        <v>9579.0</v>
      </c>
      <c r="Y248" s="3">
        <v>2.0</v>
      </c>
      <c r="Z248" s="3">
        <v>16.0</v>
      </c>
      <c r="AA248" s="3">
        <v>362.0</v>
      </c>
      <c r="AB248" s="3">
        <v>995.0</v>
      </c>
      <c r="AC248" s="3">
        <v>413.0</v>
      </c>
    </row>
    <row r="249">
      <c r="A249" s="3">
        <v>247.0</v>
      </c>
      <c r="B249" s="3" t="s">
        <v>2373</v>
      </c>
      <c r="C249" s="3">
        <v>157.0</v>
      </c>
      <c r="D249" s="78" t="s">
        <v>742</v>
      </c>
      <c r="E249" s="3">
        <v>13.57</v>
      </c>
      <c r="F249" s="3">
        <v>-89.52</v>
      </c>
      <c r="G249" s="3">
        <v>13.0</v>
      </c>
      <c r="H249" s="3">
        <v>2.0</v>
      </c>
      <c r="I249" s="3" t="s">
        <v>737</v>
      </c>
      <c r="J249" s="3">
        <v>118.0</v>
      </c>
      <c r="K249" s="3">
        <v>120.0</v>
      </c>
      <c r="L249" s="3" t="s">
        <v>525</v>
      </c>
      <c r="M249" s="3">
        <v>2.0</v>
      </c>
      <c r="N249" s="3" t="s">
        <v>104</v>
      </c>
      <c r="O249" s="3" t="s">
        <v>2374</v>
      </c>
      <c r="P249" s="3" t="s">
        <v>2379</v>
      </c>
      <c r="Q249" s="3">
        <v>3.0</v>
      </c>
      <c r="R249" s="3">
        <v>527.0</v>
      </c>
      <c r="S249" s="3">
        <v>96.749052</v>
      </c>
      <c r="T249" s="3">
        <v>5.65478</v>
      </c>
      <c r="U249" s="3" t="s">
        <v>2376</v>
      </c>
      <c r="V249" s="3">
        <v>0.0</v>
      </c>
      <c r="W249" s="3">
        <v>1850.0</v>
      </c>
      <c r="X249" s="3">
        <v>9579.0</v>
      </c>
      <c r="Y249" s="3">
        <v>2.0</v>
      </c>
      <c r="Z249" s="3">
        <v>16.0</v>
      </c>
      <c r="AA249" s="3">
        <v>362.0</v>
      </c>
      <c r="AB249" s="3">
        <v>995.0</v>
      </c>
      <c r="AC249" s="3">
        <v>413.0</v>
      </c>
    </row>
    <row r="250">
      <c r="A250" s="3">
        <v>248.0</v>
      </c>
      <c r="B250" s="3" t="s">
        <v>2373</v>
      </c>
      <c r="C250" s="3">
        <v>158.0</v>
      </c>
      <c r="D250" s="3" t="s">
        <v>894</v>
      </c>
      <c r="E250" s="3">
        <v>13.57</v>
      </c>
      <c r="F250" s="3">
        <v>-89.52</v>
      </c>
      <c r="G250" s="3">
        <v>13.0</v>
      </c>
      <c r="H250" s="3">
        <v>2.0</v>
      </c>
      <c r="I250" s="3" t="s">
        <v>737</v>
      </c>
      <c r="J250" s="3">
        <v>118.0</v>
      </c>
      <c r="K250" s="3">
        <v>120.0</v>
      </c>
      <c r="L250" s="3" t="s">
        <v>525</v>
      </c>
      <c r="M250" s="3">
        <v>2.0</v>
      </c>
      <c r="N250" s="3" t="s">
        <v>104</v>
      </c>
      <c r="O250" s="3" t="s">
        <v>2374</v>
      </c>
      <c r="P250" s="3" t="s">
        <v>2379</v>
      </c>
      <c r="Q250" s="3">
        <v>3.0</v>
      </c>
      <c r="R250" s="3">
        <v>527.0</v>
      </c>
      <c r="S250" s="3">
        <v>96.749052</v>
      </c>
      <c r="T250" s="3">
        <v>5.65478</v>
      </c>
      <c r="U250" s="3" t="s">
        <v>2376</v>
      </c>
      <c r="V250" s="3">
        <v>0.0</v>
      </c>
      <c r="W250" s="3">
        <v>1850.0</v>
      </c>
      <c r="X250" s="3">
        <v>9579.0</v>
      </c>
      <c r="Y250" s="3">
        <v>2.0</v>
      </c>
      <c r="Z250" s="3">
        <v>16.0</v>
      </c>
      <c r="AA250" s="3">
        <v>362.0</v>
      </c>
      <c r="AB250" s="3">
        <v>995.0</v>
      </c>
      <c r="AC250" s="3">
        <v>413.0</v>
      </c>
    </row>
    <row r="251">
      <c r="A251" s="3">
        <v>249.0</v>
      </c>
      <c r="B251" s="3" t="s">
        <v>2373</v>
      </c>
      <c r="C251" s="3">
        <v>159.0</v>
      </c>
      <c r="D251" s="3" t="s">
        <v>755</v>
      </c>
      <c r="E251" s="3">
        <v>13.854167</v>
      </c>
      <c r="F251" s="3">
        <v>-89.885556</v>
      </c>
      <c r="G251" s="3">
        <v>14.0</v>
      </c>
      <c r="H251" s="3">
        <v>2.0</v>
      </c>
      <c r="I251" s="3" t="s">
        <v>737</v>
      </c>
      <c r="J251" s="3">
        <v>119.0</v>
      </c>
      <c r="K251" s="3">
        <v>121.0</v>
      </c>
      <c r="L251" s="3" t="s">
        <v>758</v>
      </c>
      <c r="M251" s="3">
        <v>1.0</v>
      </c>
      <c r="N251" s="3" t="s">
        <v>121</v>
      </c>
      <c r="O251" s="3" t="s">
        <v>2374</v>
      </c>
      <c r="P251" s="3" t="s">
        <v>2378</v>
      </c>
      <c r="Q251" s="3">
        <v>3.0</v>
      </c>
      <c r="R251" s="3">
        <v>451.0</v>
      </c>
      <c r="S251" s="3">
        <v>46.090911</v>
      </c>
      <c r="T251" s="3">
        <v>1.112008</v>
      </c>
      <c r="U251" s="3" t="s">
        <v>2376</v>
      </c>
      <c r="V251" s="3">
        <v>0.0</v>
      </c>
      <c r="W251" s="3">
        <v>1995.0</v>
      </c>
      <c r="X251" s="3">
        <v>9481.0</v>
      </c>
      <c r="Y251" s="3">
        <v>5.0</v>
      </c>
      <c r="Z251" s="3">
        <v>17.0</v>
      </c>
      <c r="AA251" s="3">
        <v>400.0</v>
      </c>
      <c r="AB251" s="3">
        <v>1013.0</v>
      </c>
      <c r="AC251" s="3">
        <v>1131.0</v>
      </c>
    </row>
    <row r="252">
      <c r="A252" s="3">
        <v>250.0</v>
      </c>
      <c r="B252" s="3" t="s">
        <v>2373</v>
      </c>
      <c r="C252" s="3">
        <v>160.0</v>
      </c>
      <c r="D252" s="3" t="s">
        <v>759</v>
      </c>
      <c r="E252" s="3">
        <v>13.854167</v>
      </c>
      <c r="F252" s="3">
        <v>-89.885556</v>
      </c>
      <c r="G252" s="3">
        <v>14.0</v>
      </c>
      <c r="H252" s="3">
        <v>2.0</v>
      </c>
      <c r="I252" s="3" t="s">
        <v>737</v>
      </c>
      <c r="J252" s="3">
        <v>119.0</v>
      </c>
      <c r="K252" s="3">
        <v>121.0</v>
      </c>
      <c r="L252" s="3" t="s">
        <v>758</v>
      </c>
      <c r="M252" s="3">
        <v>1.0</v>
      </c>
      <c r="N252" s="3" t="s">
        <v>121</v>
      </c>
      <c r="O252" s="3" t="s">
        <v>2374</v>
      </c>
      <c r="P252" s="3" t="s">
        <v>2378</v>
      </c>
      <c r="Q252" s="3">
        <v>3.0</v>
      </c>
      <c r="R252" s="3">
        <v>451.0</v>
      </c>
      <c r="S252" s="3">
        <v>46.090911</v>
      </c>
      <c r="T252" s="3">
        <v>1.112008</v>
      </c>
      <c r="U252" s="3" t="s">
        <v>2376</v>
      </c>
      <c r="V252" s="3">
        <v>0.0</v>
      </c>
      <c r="W252" s="3">
        <v>1995.0</v>
      </c>
      <c r="X252" s="3">
        <v>9481.0</v>
      </c>
      <c r="Y252" s="3">
        <v>5.0</v>
      </c>
      <c r="Z252" s="3">
        <v>17.0</v>
      </c>
      <c r="AA252" s="3">
        <v>400.0</v>
      </c>
      <c r="AB252" s="3">
        <v>1013.0</v>
      </c>
      <c r="AC252" s="3">
        <v>1131.0</v>
      </c>
    </row>
    <row r="253">
      <c r="A253" s="3">
        <v>251.0</v>
      </c>
      <c r="B253" s="3" t="s">
        <v>2373</v>
      </c>
      <c r="C253" s="3">
        <v>161.0</v>
      </c>
      <c r="D253" s="3" t="s">
        <v>1972</v>
      </c>
      <c r="E253" s="3">
        <v>13.854167</v>
      </c>
      <c r="F253" s="3">
        <v>-89.885556</v>
      </c>
      <c r="G253" s="3">
        <v>14.0</v>
      </c>
      <c r="H253" s="3">
        <v>2.0</v>
      </c>
      <c r="I253" s="3" t="s">
        <v>737</v>
      </c>
      <c r="J253" s="3">
        <v>119.0</v>
      </c>
      <c r="K253" s="3">
        <v>121.0</v>
      </c>
      <c r="L253" s="3" t="s">
        <v>758</v>
      </c>
      <c r="M253" s="3">
        <v>1.0</v>
      </c>
      <c r="N253" s="3" t="s">
        <v>121</v>
      </c>
      <c r="O253" s="3" t="s">
        <v>2374</v>
      </c>
      <c r="P253" s="3" t="s">
        <v>2378</v>
      </c>
      <c r="Q253" s="3">
        <v>3.0</v>
      </c>
      <c r="R253" s="3">
        <v>451.0</v>
      </c>
      <c r="S253" s="3">
        <v>46.090911</v>
      </c>
      <c r="T253" s="3">
        <v>1.112008</v>
      </c>
      <c r="U253" s="3" t="s">
        <v>2376</v>
      </c>
      <c r="V253" s="3">
        <v>0.0</v>
      </c>
      <c r="W253" s="3">
        <v>1995.0</v>
      </c>
      <c r="X253" s="3">
        <v>9481.0</v>
      </c>
      <c r="Y253" s="3">
        <v>5.0</v>
      </c>
      <c r="Z253" s="3">
        <v>17.0</v>
      </c>
      <c r="AA253" s="3">
        <v>400.0</v>
      </c>
      <c r="AB253" s="3">
        <v>1013.0</v>
      </c>
      <c r="AC253" s="3">
        <v>1131.0</v>
      </c>
    </row>
    <row r="254">
      <c r="A254" s="3">
        <v>252.0</v>
      </c>
      <c r="B254" s="3" t="s">
        <v>2373</v>
      </c>
      <c r="C254" s="3">
        <v>162.0</v>
      </c>
      <c r="D254" s="3" t="s">
        <v>770</v>
      </c>
      <c r="E254" s="3">
        <v>13.854167</v>
      </c>
      <c r="F254" s="3">
        <v>-89.885556</v>
      </c>
      <c r="G254" s="3">
        <v>14.0</v>
      </c>
      <c r="H254" s="3">
        <v>2.0</v>
      </c>
      <c r="I254" s="3" t="s">
        <v>737</v>
      </c>
      <c r="J254" s="3">
        <v>119.0</v>
      </c>
      <c r="K254" s="3">
        <v>121.0</v>
      </c>
      <c r="L254" s="3" t="s">
        <v>758</v>
      </c>
      <c r="M254" s="3">
        <v>1.0</v>
      </c>
      <c r="N254" s="3" t="s">
        <v>121</v>
      </c>
      <c r="O254" s="3" t="s">
        <v>2374</v>
      </c>
      <c r="P254" s="3" t="s">
        <v>2378</v>
      </c>
      <c r="Q254" s="3">
        <v>3.0</v>
      </c>
      <c r="R254" s="3">
        <v>451.0</v>
      </c>
      <c r="S254" s="3">
        <v>46.090911</v>
      </c>
      <c r="T254" s="3">
        <v>1.112008</v>
      </c>
      <c r="U254" s="3" t="s">
        <v>2376</v>
      </c>
      <c r="V254" s="3">
        <v>0.0</v>
      </c>
      <c r="W254" s="3">
        <v>1995.0</v>
      </c>
      <c r="X254" s="3">
        <v>9481.0</v>
      </c>
      <c r="Y254" s="3">
        <v>5.0</v>
      </c>
      <c r="Z254" s="3">
        <v>17.0</v>
      </c>
      <c r="AA254" s="3">
        <v>400.0</v>
      </c>
      <c r="AB254" s="3">
        <v>1013.0</v>
      </c>
      <c r="AC254" s="3">
        <v>1131.0</v>
      </c>
    </row>
    <row r="255">
      <c r="A255" s="3">
        <v>253.0</v>
      </c>
      <c r="B255" s="3" t="s">
        <v>2373</v>
      </c>
      <c r="C255" s="3">
        <v>163.0</v>
      </c>
      <c r="D255" s="3" t="s">
        <v>1982</v>
      </c>
      <c r="E255" s="3">
        <v>13.854167</v>
      </c>
      <c r="F255" s="3">
        <v>-89.885556</v>
      </c>
      <c r="G255" s="3">
        <v>14.0</v>
      </c>
      <c r="H255" s="3">
        <v>2.0</v>
      </c>
      <c r="I255" s="3" t="s">
        <v>737</v>
      </c>
      <c r="J255" s="3">
        <v>119.0</v>
      </c>
      <c r="K255" s="3">
        <v>121.0</v>
      </c>
      <c r="L255" s="3" t="s">
        <v>758</v>
      </c>
      <c r="M255" s="3">
        <v>1.0</v>
      </c>
      <c r="N255" s="3" t="s">
        <v>121</v>
      </c>
      <c r="O255" s="3" t="s">
        <v>2374</v>
      </c>
      <c r="P255" s="3" t="s">
        <v>2378</v>
      </c>
      <c r="Q255" s="3">
        <v>3.0</v>
      </c>
      <c r="R255" s="3">
        <v>451.0</v>
      </c>
      <c r="S255" s="3">
        <v>46.090911</v>
      </c>
      <c r="T255" s="3">
        <v>1.112008</v>
      </c>
      <c r="U255" s="3" t="s">
        <v>2376</v>
      </c>
      <c r="V255" s="3">
        <v>0.0</v>
      </c>
      <c r="W255" s="3">
        <v>1995.0</v>
      </c>
      <c r="X255" s="3">
        <v>9481.0</v>
      </c>
      <c r="Y255" s="3">
        <v>5.0</v>
      </c>
      <c r="Z255" s="3">
        <v>17.0</v>
      </c>
      <c r="AA255" s="3">
        <v>400.0</v>
      </c>
      <c r="AB255" s="3">
        <v>1013.0</v>
      </c>
      <c r="AC255" s="3">
        <v>1131.0</v>
      </c>
    </row>
    <row r="256">
      <c r="A256" s="3">
        <v>254.0</v>
      </c>
      <c r="B256" s="3" t="s">
        <v>2373</v>
      </c>
      <c r="C256" s="3">
        <v>214.0</v>
      </c>
      <c r="D256" s="3" t="s">
        <v>2006</v>
      </c>
      <c r="E256" s="3">
        <v>13.983226</v>
      </c>
      <c r="F256" s="3">
        <v>-89.671258</v>
      </c>
      <c r="G256" s="3">
        <v>15.0</v>
      </c>
      <c r="H256" s="3">
        <v>2.0</v>
      </c>
      <c r="I256" s="3" t="s">
        <v>737</v>
      </c>
      <c r="J256" s="3">
        <v>120.0</v>
      </c>
      <c r="K256" s="3">
        <v>122.0</v>
      </c>
      <c r="L256" s="3" t="s">
        <v>77</v>
      </c>
      <c r="M256" s="3">
        <v>3.0</v>
      </c>
      <c r="N256" s="3" t="s">
        <v>78</v>
      </c>
      <c r="O256" s="3" t="s">
        <v>2374</v>
      </c>
      <c r="P256" s="3" t="s">
        <v>2380</v>
      </c>
      <c r="Q256" s="3">
        <v>2.0</v>
      </c>
      <c r="R256" s="3">
        <v>553.0</v>
      </c>
      <c r="S256" s="3">
        <v>130.831169</v>
      </c>
      <c r="T256" s="3">
        <v>9.312385</v>
      </c>
      <c r="U256" s="3" t="s">
        <v>2376</v>
      </c>
      <c r="V256" s="3">
        <v>0.0</v>
      </c>
      <c r="W256" s="3">
        <v>1612.0</v>
      </c>
      <c r="X256" s="3">
        <v>9515.0</v>
      </c>
      <c r="Y256" s="3">
        <v>3.0</v>
      </c>
      <c r="Z256" s="3">
        <v>13.0</v>
      </c>
      <c r="AA256" s="3">
        <v>320.0</v>
      </c>
      <c r="AB256" s="3">
        <v>836.0</v>
      </c>
      <c r="AC256" s="3">
        <v>700.0</v>
      </c>
    </row>
    <row r="257">
      <c r="A257" s="3">
        <v>255.0</v>
      </c>
      <c r="B257" s="3" t="s">
        <v>2373</v>
      </c>
      <c r="C257" s="3">
        <v>215.0</v>
      </c>
      <c r="D257" s="3" t="s">
        <v>2007</v>
      </c>
      <c r="E257" s="3">
        <v>13.983226</v>
      </c>
      <c r="F257" s="3">
        <v>-89.671258</v>
      </c>
      <c r="G257" s="3">
        <v>15.0</v>
      </c>
      <c r="H257" s="3">
        <v>2.0</v>
      </c>
      <c r="I257" s="3" t="s">
        <v>737</v>
      </c>
      <c r="J257" s="3">
        <v>120.0</v>
      </c>
      <c r="K257" s="3">
        <v>122.0</v>
      </c>
      <c r="L257" s="3" t="s">
        <v>77</v>
      </c>
      <c r="M257" s="3">
        <v>3.0</v>
      </c>
      <c r="N257" s="3" t="s">
        <v>78</v>
      </c>
      <c r="O257" s="3" t="s">
        <v>2374</v>
      </c>
      <c r="P257" s="3" t="s">
        <v>2380</v>
      </c>
      <c r="Q257" s="3">
        <v>2.0</v>
      </c>
      <c r="R257" s="3">
        <v>553.0</v>
      </c>
      <c r="S257" s="3">
        <v>130.831169</v>
      </c>
      <c r="T257" s="3">
        <v>9.312385</v>
      </c>
      <c r="U257" s="3" t="s">
        <v>2376</v>
      </c>
      <c r="V257" s="3">
        <v>0.0</v>
      </c>
      <c r="W257" s="3">
        <v>1612.0</v>
      </c>
      <c r="X257" s="3">
        <v>9515.0</v>
      </c>
      <c r="Y257" s="3">
        <v>3.0</v>
      </c>
      <c r="Z257" s="3">
        <v>13.0</v>
      </c>
      <c r="AA257" s="3">
        <v>320.0</v>
      </c>
      <c r="AB257" s="3">
        <v>836.0</v>
      </c>
      <c r="AC257" s="3">
        <v>700.0</v>
      </c>
    </row>
    <row r="258">
      <c r="A258" s="3">
        <v>256.0</v>
      </c>
      <c r="B258" s="3" t="s">
        <v>2373</v>
      </c>
      <c r="C258" s="3">
        <v>216.0</v>
      </c>
      <c r="D258" s="3" t="s">
        <v>935</v>
      </c>
      <c r="E258" s="3">
        <v>13.983226</v>
      </c>
      <c r="F258" s="3">
        <v>-89.671258</v>
      </c>
      <c r="G258" s="3">
        <v>15.0</v>
      </c>
      <c r="H258" s="3">
        <v>2.0</v>
      </c>
      <c r="I258" s="3" t="s">
        <v>737</v>
      </c>
      <c r="J258" s="3">
        <v>120.0</v>
      </c>
      <c r="K258" s="3">
        <v>122.0</v>
      </c>
      <c r="L258" s="3" t="s">
        <v>77</v>
      </c>
      <c r="M258" s="3">
        <v>3.0</v>
      </c>
      <c r="N258" s="3" t="s">
        <v>78</v>
      </c>
      <c r="O258" s="3" t="s">
        <v>2374</v>
      </c>
      <c r="P258" s="3" t="s">
        <v>2380</v>
      </c>
      <c r="Q258" s="3">
        <v>2.0</v>
      </c>
      <c r="R258" s="3">
        <v>553.0</v>
      </c>
      <c r="S258" s="3">
        <v>130.831169</v>
      </c>
      <c r="T258" s="3">
        <v>9.312385</v>
      </c>
      <c r="U258" s="3" t="s">
        <v>2376</v>
      </c>
      <c r="V258" s="3">
        <v>0.0</v>
      </c>
      <c r="W258" s="3">
        <v>1612.0</v>
      </c>
      <c r="X258" s="3">
        <v>9515.0</v>
      </c>
      <c r="Y258" s="3">
        <v>3.0</v>
      </c>
      <c r="Z258" s="3">
        <v>13.0</v>
      </c>
      <c r="AA258" s="3">
        <v>320.0</v>
      </c>
      <c r="AB258" s="3">
        <v>836.0</v>
      </c>
      <c r="AC258" s="3">
        <v>700.0</v>
      </c>
    </row>
    <row r="259">
      <c r="A259" s="3">
        <v>257.0</v>
      </c>
      <c r="B259" s="3" t="s">
        <v>2373</v>
      </c>
      <c r="C259" s="3">
        <v>217.0</v>
      </c>
      <c r="D259" s="3" t="s">
        <v>938</v>
      </c>
      <c r="E259" s="3">
        <v>13.983226</v>
      </c>
      <c r="F259" s="3">
        <v>-89.671258</v>
      </c>
      <c r="G259" s="3">
        <v>15.0</v>
      </c>
      <c r="H259" s="3">
        <v>2.0</v>
      </c>
      <c r="I259" s="3" t="s">
        <v>737</v>
      </c>
      <c r="J259" s="3">
        <v>120.0</v>
      </c>
      <c r="K259" s="3">
        <v>122.0</v>
      </c>
      <c r="L259" s="3" t="s">
        <v>77</v>
      </c>
      <c r="M259" s="3">
        <v>3.0</v>
      </c>
      <c r="N259" s="3" t="s">
        <v>78</v>
      </c>
      <c r="O259" s="3" t="s">
        <v>2374</v>
      </c>
      <c r="P259" s="3" t="s">
        <v>2380</v>
      </c>
      <c r="Q259" s="3">
        <v>2.0</v>
      </c>
      <c r="R259" s="3">
        <v>553.0</v>
      </c>
      <c r="S259" s="3">
        <v>130.831169</v>
      </c>
      <c r="T259" s="3">
        <v>9.312385</v>
      </c>
      <c r="U259" s="3" t="s">
        <v>2376</v>
      </c>
      <c r="V259" s="3">
        <v>0.0</v>
      </c>
      <c r="W259" s="3">
        <v>1612.0</v>
      </c>
      <c r="X259" s="3">
        <v>9515.0</v>
      </c>
      <c r="Y259" s="3">
        <v>3.0</v>
      </c>
      <c r="Z259" s="3">
        <v>13.0</v>
      </c>
      <c r="AA259" s="3">
        <v>320.0</v>
      </c>
      <c r="AB259" s="3">
        <v>836.0</v>
      </c>
      <c r="AC259" s="3">
        <v>700.0</v>
      </c>
    </row>
    <row r="260">
      <c r="A260" s="3">
        <v>258.0</v>
      </c>
      <c r="B260" s="3" t="s">
        <v>2373</v>
      </c>
      <c r="C260" s="3">
        <v>218.0</v>
      </c>
      <c r="D260" s="3" t="s">
        <v>2010</v>
      </c>
      <c r="E260" s="3">
        <v>13.983226</v>
      </c>
      <c r="F260" s="3">
        <v>-89.671258</v>
      </c>
      <c r="G260" s="3">
        <v>15.0</v>
      </c>
      <c r="H260" s="3">
        <v>2.0</v>
      </c>
      <c r="I260" s="3" t="s">
        <v>737</v>
      </c>
      <c r="J260" s="3">
        <v>120.0</v>
      </c>
      <c r="K260" s="3">
        <v>122.0</v>
      </c>
      <c r="L260" s="3" t="s">
        <v>77</v>
      </c>
      <c r="M260" s="3">
        <v>3.0</v>
      </c>
      <c r="N260" s="3" t="s">
        <v>78</v>
      </c>
      <c r="O260" s="3" t="s">
        <v>2374</v>
      </c>
      <c r="P260" s="3" t="s">
        <v>2380</v>
      </c>
      <c r="Q260" s="3">
        <v>2.0</v>
      </c>
      <c r="R260" s="3">
        <v>553.0</v>
      </c>
      <c r="S260" s="3">
        <v>130.831169</v>
      </c>
      <c r="T260" s="3">
        <v>9.312385</v>
      </c>
      <c r="U260" s="3" t="s">
        <v>2376</v>
      </c>
      <c r="V260" s="3">
        <v>0.0</v>
      </c>
      <c r="W260" s="3">
        <v>1612.0</v>
      </c>
      <c r="X260" s="3">
        <v>9515.0</v>
      </c>
      <c r="Y260" s="3">
        <v>3.0</v>
      </c>
      <c r="Z260" s="3">
        <v>13.0</v>
      </c>
      <c r="AA260" s="3">
        <v>320.0</v>
      </c>
      <c r="AB260" s="3">
        <v>836.0</v>
      </c>
      <c r="AC260" s="3">
        <v>700.0</v>
      </c>
    </row>
    <row r="261">
      <c r="A261" s="3">
        <v>259.0</v>
      </c>
      <c r="B261" s="3" t="s">
        <v>2373</v>
      </c>
      <c r="C261" s="3">
        <v>553.0</v>
      </c>
      <c r="D261" s="3" t="s">
        <v>1862</v>
      </c>
      <c r="E261" s="3">
        <v>13.192232</v>
      </c>
      <c r="F261" s="3">
        <v>-88.398807</v>
      </c>
      <c r="G261" s="3">
        <v>17.0</v>
      </c>
      <c r="H261" s="3">
        <v>2.0</v>
      </c>
      <c r="I261" s="3" t="s">
        <v>737</v>
      </c>
      <c r="J261" s="3">
        <v>678.0</v>
      </c>
      <c r="K261" s="3">
        <v>683.0</v>
      </c>
      <c r="L261" s="3" t="s">
        <v>1162</v>
      </c>
      <c r="M261" s="3">
        <v>14.0</v>
      </c>
      <c r="N261" s="3" t="s">
        <v>659</v>
      </c>
      <c r="O261" s="3" t="s">
        <v>2374</v>
      </c>
      <c r="P261" s="3" t="s">
        <v>2377</v>
      </c>
      <c r="Q261" s="3">
        <v>1.0</v>
      </c>
      <c r="R261" s="3">
        <v>617.0</v>
      </c>
      <c r="S261" s="3">
        <v>46.35933</v>
      </c>
      <c r="T261" s="3">
        <v>0.651802</v>
      </c>
      <c r="U261" s="3" t="s">
        <v>2376</v>
      </c>
      <c r="V261" s="3">
        <v>0.0</v>
      </c>
      <c r="W261" s="3">
        <v>1897.0</v>
      </c>
      <c r="X261" s="3">
        <v>9916.0</v>
      </c>
      <c r="Y261" s="3">
        <v>0.0</v>
      </c>
      <c r="Z261" s="3">
        <v>7.0</v>
      </c>
      <c r="AA261" s="3">
        <v>408.0</v>
      </c>
      <c r="AB261" s="3">
        <v>1018.0</v>
      </c>
      <c r="AC261" s="3">
        <v>3.0</v>
      </c>
    </row>
    <row r="262">
      <c r="A262" s="3">
        <v>260.0</v>
      </c>
      <c r="B262" s="3" t="s">
        <v>2373</v>
      </c>
      <c r="C262" s="3">
        <v>554.0</v>
      </c>
      <c r="D262" s="3" t="s">
        <v>1866</v>
      </c>
      <c r="E262" s="3">
        <v>13.256202</v>
      </c>
      <c r="F262" s="3">
        <v>-88.493592</v>
      </c>
      <c r="G262" s="3">
        <v>17.0</v>
      </c>
      <c r="H262" s="3">
        <v>2.0</v>
      </c>
      <c r="I262" s="3" t="s">
        <v>737</v>
      </c>
      <c r="J262" s="3">
        <v>678.0</v>
      </c>
      <c r="K262" s="3">
        <v>683.0</v>
      </c>
      <c r="L262" s="3" t="s">
        <v>1162</v>
      </c>
      <c r="M262" s="3">
        <v>14.0</v>
      </c>
      <c r="N262" s="3" t="s">
        <v>659</v>
      </c>
      <c r="O262" s="3" t="s">
        <v>2374</v>
      </c>
      <c r="P262" s="3" t="s">
        <v>2377</v>
      </c>
      <c r="Q262" s="3">
        <v>1.0</v>
      </c>
      <c r="R262" s="3">
        <v>617.0</v>
      </c>
      <c r="S262" s="3">
        <v>46.35933</v>
      </c>
      <c r="T262" s="3">
        <v>0.651802</v>
      </c>
      <c r="U262" s="3" t="s">
        <v>2376</v>
      </c>
      <c r="V262" s="3">
        <v>0.0</v>
      </c>
      <c r="W262" s="3">
        <v>1898.0</v>
      </c>
      <c r="X262" s="3">
        <v>9893.0</v>
      </c>
      <c r="Y262" s="3">
        <v>1.0</v>
      </c>
      <c r="Z262" s="3">
        <v>7.0</v>
      </c>
      <c r="AA262" s="3">
        <v>407.0</v>
      </c>
      <c r="AB262" s="3">
        <v>1014.0</v>
      </c>
      <c r="AC262" s="3">
        <v>13.0</v>
      </c>
    </row>
    <row r="263">
      <c r="A263" s="3">
        <v>261.0</v>
      </c>
      <c r="B263" s="3" t="s">
        <v>2373</v>
      </c>
      <c r="C263" s="3">
        <v>602.0</v>
      </c>
      <c r="D263" s="3" t="s">
        <v>2135</v>
      </c>
      <c r="E263" s="3">
        <v>15.456779</v>
      </c>
      <c r="F263" s="3">
        <v>-89.357641</v>
      </c>
      <c r="G263" s="3">
        <v>18.0</v>
      </c>
      <c r="H263" s="3">
        <v>3.0</v>
      </c>
      <c r="I263" s="3" t="s">
        <v>167</v>
      </c>
      <c r="J263" s="3">
        <v>117.0</v>
      </c>
      <c r="K263" s="3">
        <v>119.0</v>
      </c>
      <c r="L263" s="3" t="s">
        <v>1232</v>
      </c>
      <c r="M263" s="3">
        <v>1.0</v>
      </c>
      <c r="N263" s="3" t="s">
        <v>121</v>
      </c>
      <c r="O263" s="3" t="s">
        <v>2374</v>
      </c>
      <c r="P263" s="3" t="s">
        <v>2378</v>
      </c>
      <c r="Q263" s="3">
        <v>2.0</v>
      </c>
      <c r="R263" s="3">
        <v>450.0</v>
      </c>
      <c r="S263" s="3">
        <v>68.539906</v>
      </c>
      <c r="T263" s="3">
        <v>7.495782</v>
      </c>
      <c r="U263" s="3" t="s">
        <v>2376</v>
      </c>
      <c r="V263" s="3">
        <v>0.0</v>
      </c>
      <c r="W263" s="3">
        <v>2538.0</v>
      </c>
      <c r="X263" s="3">
        <v>6715.0</v>
      </c>
      <c r="Y263" s="3">
        <v>59.0</v>
      </c>
      <c r="Z263" s="3">
        <v>205.0</v>
      </c>
      <c r="AA263" s="3">
        <v>470.0</v>
      </c>
      <c r="AB263" s="3">
        <v>1212.0</v>
      </c>
      <c r="AC263" s="3">
        <v>2.0</v>
      </c>
    </row>
    <row r="264">
      <c r="A264" s="3">
        <v>262.0</v>
      </c>
      <c r="B264" s="3" t="s">
        <v>2373</v>
      </c>
      <c r="C264" s="3">
        <v>603.0</v>
      </c>
      <c r="D264" s="3" t="s">
        <v>2138</v>
      </c>
      <c r="E264" s="3">
        <v>15.456779</v>
      </c>
      <c r="F264" s="3">
        <v>-89.357641</v>
      </c>
      <c r="G264" s="3">
        <v>18.0</v>
      </c>
      <c r="H264" s="3">
        <v>3.0</v>
      </c>
      <c r="I264" s="3" t="s">
        <v>167</v>
      </c>
      <c r="J264" s="3">
        <v>117.0</v>
      </c>
      <c r="K264" s="3">
        <v>119.0</v>
      </c>
      <c r="L264" s="3" t="s">
        <v>1232</v>
      </c>
      <c r="M264" s="3">
        <v>1.0</v>
      </c>
      <c r="N264" s="3" t="s">
        <v>121</v>
      </c>
      <c r="O264" s="3" t="s">
        <v>2374</v>
      </c>
      <c r="P264" s="3" t="s">
        <v>2378</v>
      </c>
      <c r="Q264" s="3">
        <v>2.0</v>
      </c>
      <c r="R264" s="3">
        <v>450.0</v>
      </c>
      <c r="S264" s="3">
        <v>68.539906</v>
      </c>
      <c r="T264" s="3">
        <v>7.495782</v>
      </c>
      <c r="U264" s="3" t="s">
        <v>2376</v>
      </c>
      <c r="V264" s="3">
        <v>0.0</v>
      </c>
      <c r="W264" s="3">
        <v>2538.0</v>
      </c>
      <c r="X264" s="3">
        <v>6715.0</v>
      </c>
      <c r="Y264" s="3">
        <v>59.0</v>
      </c>
      <c r="Z264" s="3">
        <v>205.0</v>
      </c>
      <c r="AA264" s="3">
        <v>470.0</v>
      </c>
      <c r="AB264" s="3">
        <v>1212.0</v>
      </c>
      <c r="AC264" s="3">
        <v>2.0</v>
      </c>
    </row>
    <row r="265">
      <c r="A265" s="3">
        <v>263.0</v>
      </c>
      <c r="B265" s="3" t="s">
        <v>2373</v>
      </c>
      <c r="C265" s="3">
        <v>604.0</v>
      </c>
      <c r="D265" s="3" t="s">
        <v>2139</v>
      </c>
      <c r="E265" s="3">
        <v>15.456779</v>
      </c>
      <c r="F265" s="3">
        <v>-89.357641</v>
      </c>
      <c r="G265" s="3">
        <v>18.0</v>
      </c>
      <c r="H265" s="3">
        <v>3.0</v>
      </c>
      <c r="I265" s="3" t="s">
        <v>167</v>
      </c>
      <c r="J265" s="3">
        <v>117.0</v>
      </c>
      <c r="K265" s="3">
        <v>119.0</v>
      </c>
      <c r="L265" s="3" t="s">
        <v>1232</v>
      </c>
      <c r="M265" s="3">
        <v>1.0</v>
      </c>
      <c r="N265" s="3" t="s">
        <v>121</v>
      </c>
      <c r="O265" s="3" t="s">
        <v>2374</v>
      </c>
      <c r="P265" s="3" t="s">
        <v>2378</v>
      </c>
      <c r="Q265" s="3">
        <v>2.0</v>
      </c>
      <c r="R265" s="3">
        <v>450.0</v>
      </c>
      <c r="S265" s="3">
        <v>68.539906</v>
      </c>
      <c r="T265" s="3">
        <v>7.495782</v>
      </c>
      <c r="U265" s="3" t="s">
        <v>2376</v>
      </c>
      <c r="V265" s="3">
        <v>0.0</v>
      </c>
      <c r="W265" s="3">
        <v>2538.0</v>
      </c>
      <c r="X265" s="3">
        <v>6715.0</v>
      </c>
      <c r="Y265" s="3">
        <v>59.0</v>
      </c>
      <c r="Z265" s="3">
        <v>205.0</v>
      </c>
      <c r="AA265" s="3">
        <v>470.0</v>
      </c>
      <c r="AB265" s="3">
        <v>1212.0</v>
      </c>
      <c r="AC265" s="3">
        <v>2.0</v>
      </c>
    </row>
    <row r="266">
      <c r="A266" s="3">
        <v>264.0</v>
      </c>
      <c r="B266" s="3" t="s">
        <v>2373</v>
      </c>
      <c r="C266" s="3">
        <v>605.0</v>
      </c>
      <c r="D266" s="3" t="s">
        <v>2140</v>
      </c>
      <c r="E266" s="3">
        <v>15.456779</v>
      </c>
      <c r="F266" s="3">
        <v>-89.357641</v>
      </c>
      <c r="G266" s="3">
        <v>18.0</v>
      </c>
      <c r="H266" s="3">
        <v>3.0</v>
      </c>
      <c r="I266" s="3" t="s">
        <v>167</v>
      </c>
      <c r="J266" s="3">
        <v>117.0</v>
      </c>
      <c r="K266" s="3">
        <v>119.0</v>
      </c>
      <c r="L266" s="3" t="s">
        <v>1232</v>
      </c>
      <c r="M266" s="3">
        <v>1.0</v>
      </c>
      <c r="N266" s="3" t="s">
        <v>121</v>
      </c>
      <c r="O266" s="3" t="s">
        <v>2374</v>
      </c>
      <c r="P266" s="3" t="s">
        <v>2378</v>
      </c>
      <c r="Q266" s="3">
        <v>2.0</v>
      </c>
      <c r="R266" s="3">
        <v>450.0</v>
      </c>
      <c r="S266" s="3">
        <v>68.539906</v>
      </c>
      <c r="T266" s="3">
        <v>7.495782</v>
      </c>
      <c r="U266" s="3" t="s">
        <v>2376</v>
      </c>
      <c r="V266" s="3">
        <v>0.0</v>
      </c>
      <c r="W266" s="3">
        <v>2538.0</v>
      </c>
      <c r="X266" s="3">
        <v>6715.0</v>
      </c>
      <c r="Y266" s="3">
        <v>59.0</v>
      </c>
      <c r="Z266" s="3">
        <v>205.0</v>
      </c>
      <c r="AA266" s="3">
        <v>470.0</v>
      </c>
      <c r="AB266" s="3">
        <v>1212.0</v>
      </c>
      <c r="AC266" s="3">
        <v>2.0</v>
      </c>
    </row>
    <row r="267">
      <c r="A267" s="3">
        <v>265.0</v>
      </c>
      <c r="B267" s="3" t="s">
        <v>2373</v>
      </c>
      <c r="C267" s="3">
        <v>195.0</v>
      </c>
      <c r="D267" s="3" t="s">
        <v>1167</v>
      </c>
      <c r="E267" s="3">
        <v>14.540503</v>
      </c>
      <c r="F267" s="3">
        <v>-92.188883</v>
      </c>
      <c r="G267" s="3">
        <v>19.0</v>
      </c>
      <c r="H267" s="3">
        <v>3.0</v>
      </c>
      <c r="I267" s="3" t="s">
        <v>167</v>
      </c>
      <c r="J267" s="3">
        <v>118.0</v>
      </c>
      <c r="K267" s="3">
        <v>120.0</v>
      </c>
      <c r="L267" s="3" t="s">
        <v>525</v>
      </c>
      <c r="M267" s="3">
        <v>2.0</v>
      </c>
      <c r="N267" s="3" t="s">
        <v>104</v>
      </c>
      <c r="O267" s="3" t="s">
        <v>2374</v>
      </c>
      <c r="P267" s="3" t="s">
        <v>2379</v>
      </c>
      <c r="Q267" s="3">
        <v>3.0</v>
      </c>
      <c r="R267" s="3">
        <v>527.0</v>
      </c>
      <c r="S267" s="3">
        <v>96.749052</v>
      </c>
      <c r="T267" s="3">
        <v>5.65478</v>
      </c>
      <c r="U267" s="3" t="s">
        <v>2376</v>
      </c>
      <c r="V267" s="3">
        <v>0.0</v>
      </c>
      <c r="W267" s="3">
        <v>1381.0</v>
      </c>
      <c r="X267" s="3">
        <v>9500.0</v>
      </c>
      <c r="Y267" s="3">
        <v>1.0</v>
      </c>
      <c r="Z267" s="3">
        <v>10.0</v>
      </c>
      <c r="AA267" s="3">
        <v>292.0</v>
      </c>
      <c r="AB267" s="3">
        <v>693.0</v>
      </c>
      <c r="AC267" s="3">
        <v>4.0</v>
      </c>
    </row>
    <row r="268">
      <c r="A268" s="3">
        <v>266.0</v>
      </c>
      <c r="B268" s="3" t="s">
        <v>2373</v>
      </c>
      <c r="C268" s="3">
        <v>198.0</v>
      </c>
      <c r="D268" s="3" t="s">
        <v>1181</v>
      </c>
      <c r="E268" s="3">
        <v>14.540503</v>
      </c>
      <c r="F268" s="3">
        <v>-92.188883</v>
      </c>
      <c r="G268" s="3">
        <v>19.0</v>
      </c>
      <c r="H268" s="3">
        <v>3.0</v>
      </c>
      <c r="I268" s="3" t="s">
        <v>167</v>
      </c>
      <c r="J268" s="3">
        <v>118.0</v>
      </c>
      <c r="K268" s="3">
        <v>120.0</v>
      </c>
      <c r="L268" s="3" t="s">
        <v>525</v>
      </c>
      <c r="M268" s="3">
        <v>2.0</v>
      </c>
      <c r="N268" s="3" t="s">
        <v>104</v>
      </c>
      <c r="O268" s="3" t="s">
        <v>2374</v>
      </c>
      <c r="P268" s="3" t="s">
        <v>2379</v>
      </c>
      <c r="Q268" s="3">
        <v>3.0</v>
      </c>
      <c r="R268" s="3">
        <v>527.0</v>
      </c>
      <c r="S268" s="3">
        <v>96.749052</v>
      </c>
      <c r="T268" s="3">
        <v>5.65478</v>
      </c>
      <c r="U268" s="3" t="s">
        <v>2376</v>
      </c>
      <c r="V268" s="3">
        <v>0.0</v>
      </c>
      <c r="W268" s="3">
        <v>1381.0</v>
      </c>
      <c r="X268" s="3">
        <v>9500.0</v>
      </c>
      <c r="Y268" s="3">
        <v>1.0</v>
      </c>
      <c r="Z268" s="3">
        <v>10.0</v>
      </c>
      <c r="AA268" s="3">
        <v>292.0</v>
      </c>
      <c r="AB268" s="3">
        <v>693.0</v>
      </c>
      <c r="AC268" s="3">
        <v>4.0</v>
      </c>
    </row>
    <row r="269">
      <c r="A269" s="3">
        <v>267.0</v>
      </c>
      <c r="B269" s="3" t="s">
        <v>2373</v>
      </c>
      <c r="C269" s="3">
        <v>204.0</v>
      </c>
      <c r="D269" s="3" t="s">
        <v>1197</v>
      </c>
      <c r="E269" s="3">
        <v>14.540503</v>
      </c>
      <c r="F269" s="3">
        <v>-92.188883</v>
      </c>
      <c r="G269" s="3">
        <v>19.0</v>
      </c>
      <c r="H269" s="3">
        <v>3.0</v>
      </c>
      <c r="I269" s="3" t="s">
        <v>167</v>
      </c>
      <c r="J269" s="3">
        <v>118.0</v>
      </c>
      <c r="K269" s="3">
        <v>120.0</v>
      </c>
      <c r="L269" s="3" t="s">
        <v>525</v>
      </c>
      <c r="M269" s="3">
        <v>2.0</v>
      </c>
      <c r="N269" s="3" t="s">
        <v>104</v>
      </c>
      <c r="O269" s="3" t="s">
        <v>2374</v>
      </c>
      <c r="P269" s="3" t="s">
        <v>2379</v>
      </c>
      <c r="Q269" s="3">
        <v>3.0</v>
      </c>
      <c r="R269" s="3">
        <v>527.0</v>
      </c>
      <c r="S269" s="3">
        <v>96.749052</v>
      </c>
      <c r="T269" s="3">
        <v>5.65478</v>
      </c>
      <c r="U269" s="3" t="s">
        <v>2376</v>
      </c>
      <c r="V269" s="3">
        <v>0.0</v>
      </c>
      <c r="W269" s="3">
        <v>1381.0</v>
      </c>
      <c r="X269" s="3">
        <v>9500.0</v>
      </c>
      <c r="Y269" s="3">
        <v>1.0</v>
      </c>
      <c r="Z269" s="3">
        <v>10.0</v>
      </c>
      <c r="AA269" s="3">
        <v>292.0</v>
      </c>
      <c r="AB269" s="3">
        <v>693.0</v>
      </c>
      <c r="AC269" s="3">
        <v>4.0</v>
      </c>
    </row>
    <row r="270">
      <c r="A270" s="3">
        <v>268.0</v>
      </c>
      <c r="B270" s="3" t="s">
        <v>2373</v>
      </c>
      <c r="C270" s="3">
        <v>333.0</v>
      </c>
      <c r="D270" s="3" t="s">
        <v>1295</v>
      </c>
      <c r="E270" s="3">
        <v>15.423444</v>
      </c>
      <c r="F270" s="3">
        <v>-91.438694</v>
      </c>
      <c r="G270" s="3">
        <v>20.0</v>
      </c>
      <c r="H270" s="3">
        <v>3.0</v>
      </c>
      <c r="I270" s="3" t="s">
        <v>167</v>
      </c>
      <c r="J270" s="3">
        <v>119.0</v>
      </c>
      <c r="K270" s="3">
        <v>121.0</v>
      </c>
      <c r="L270" s="3" t="s">
        <v>758</v>
      </c>
      <c r="M270" s="3">
        <v>1.0</v>
      </c>
      <c r="N270" s="3" t="s">
        <v>121</v>
      </c>
      <c r="O270" s="3" t="s">
        <v>2374</v>
      </c>
      <c r="P270" s="3" t="s">
        <v>2378</v>
      </c>
      <c r="Q270" s="3">
        <v>3.0</v>
      </c>
      <c r="R270" s="3">
        <v>451.0</v>
      </c>
      <c r="S270" s="3">
        <v>46.090911</v>
      </c>
      <c r="T270" s="3">
        <v>1.112008</v>
      </c>
      <c r="U270" s="3" t="s">
        <v>2376</v>
      </c>
      <c r="V270" s="3">
        <v>0.0</v>
      </c>
      <c r="W270" s="3">
        <v>1420.0</v>
      </c>
      <c r="X270" s="3">
        <v>8358.0</v>
      </c>
      <c r="Y270" s="3">
        <v>10.0</v>
      </c>
      <c r="Z270" s="3">
        <v>40.0</v>
      </c>
      <c r="AA270" s="3">
        <v>269.0</v>
      </c>
      <c r="AB270" s="3">
        <v>672.0</v>
      </c>
      <c r="AC270" s="3">
        <v>3077.0</v>
      </c>
    </row>
    <row r="271">
      <c r="A271" s="3">
        <v>269.0</v>
      </c>
      <c r="B271" s="3" t="s">
        <v>2373</v>
      </c>
      <c r="C271" s="3">
        <v>334.0</v>
      </c>
      <c r="D271" s="3" t="s">
        <v>1297</v>
      </c>
      <c r="E271" s="3">
        <v>15.423444</v>
      </c>
      <c r="F271" s="3">
        <v>-91.438694</v>
      </c>
      <c r="G271" s="3">
        <v>20.0</v>
      </c>
      <c r="H271" s="3">
        <v>3.0</v>
      </c>
      <c r="I271" s="3" t="s">
        <v>167</v>
      </c>
      <c r="J271" s="3">
        <v>119.0</v>
      </c>
      <c r="K271" s="3">
        <v>121.0</v>
      </c>
      <c r="L271" s="3" t="s">
        <v>758</v>
      </c>
      <c r="M271" s="3">
        <v>1.0</v>
      </c>
      <c r="N271" s="3" t="s">
        <v>121</v>
      </c>
      <c r="O271" s="3" t="s">
        <v>2374</v>
      </c>
      <c r="P271" s="3" t="s">
        <v>2378</v>
      </c>
      <c r="Q271" s="3">
        <v>3.0</v>
      </c>
      <c r="R271" s="3">
        <v>451.0</v>
      </c>
      <c r="S271" s="3">
        <v>46.090911</v>
      </c>
      <c r="T271" s="3">
        <v>1.112008</v>
      </c>
      <c r="U271" s="3" t="s">
        <v>2376</v>
      </c>
      <c r="V271" s="3">
        <v>0.0</v>
      </c>
      <c r="W271" s="3">
        <v>1420.0</v>
      </c>
      <c r="X271" s="3">
        <v>8358.0</v>
      </c>
      <c r="Y271" s="3">
        <v>10.0</v>
      </c>
      <c r="Z271" s="3">
        <v>40.0</v>
      </c>
      <c r="AA271" s="3">
        <v>269.0</v>
      </c>
      <c r="AB271" s="3">
        <v>672.0</v>
      </c>
      <c r="AC271" s="3">
        <v>3077.0</v>
      </c>
    </row>
    <row r="272">
      <c r="A272" s="3">
        <v>270.0</v>
      </c>
      <c r="B272" s="3" t="s">
        <v>2373</v>
      </c>
      <c r="C272" s="3">
        <v>335.0</v>
      </c>
      <c r="D272" s="3" t="s">
        <v>1299</v>
      </c>
      <c r="E272" s="3">
        <v>15.423444</v>
      </c>
      <c r="F272" s="3">
        <v>-91.438694</v>
      </c>
      <c r="G272" s="3">
        <v>20.0</v>
      </c>
      <c r="H272" s="3">
        <v>3.0</v>
      </c>
      <c r="I272" s="3" t="s">
        <v>167</v>
      </c>
      <c r="J272" s="3">
        <v>119.0</v>
      </c>
      <c r="K272" s="3">
        <v>121.0</v>
      </c>
      <c r="L272" s="3" t="s">
        <v>758</v>
      </c>
      <c r="M272" s="3">
        <v>1.0</v>
      </c>
      <c r="N272" s="3" t="s">
        <v>121</v>
      </c>
      <c r="O272" s="3" t="s">
        <v>2374</v>
      </c>
      <c r="P272" s="3" t="s">
        <v>2378</v>
      </c>
      <c r="Q272" s="3">
        <v>3.0</v>
      </c>
      <c r="R272" s="3">
        <v>451.0</v>
      </c>
      <c r="S272" s="3">
        <v>46.090911</v>
      </c>
      <c r="T272" s="3">
        <v>1.112008</v>
      </c>
      <c r="U272" s="3" t="s">
        <v>2376</v>
      </c>
      <c r="V272" s="3">
        <v>0.0</v>
      </c>
      <c r="W272" s="3">
        <v>1420.0</v>
      </c>
      <c r="X272" s="3">
        <v>8358.0</v>
      </c>
      <c r="Y272" s="3">
        <v>10.0</v>
      </c>
      <c r="Z272" s="3">
        <v>40.0</v>
      </c>
      <c r="AA272" s="3">
        <v>269.0</v>
      </c>
      <c r="AB272" s="3">
        <v>672.0</v>
      </c>
      <c r="AC272" s="3">
        <v>3077.0</v>
      </c>
    </row>
    <row r="273">
      <c r="A273" s="3">
        <v>271.0</v>
      </c>
      <c r="B273" s="3" t="s">
        <v>2373</v>
      </c>
      <c r="C273" s="3">
        <v>336.0</v>
      </c>
      <c r="D273" s="3" t="s">
        <v>1300</v>
      </c>
      <c r="E273" s="3">
        <v>15.423444</v>
      </c>
      <c r="F273" s="3">
        <v>-91.438694</v>
      </c>
      <c r="G273" s="3">
        <v>20.0</v>
      </c>
      <c r="H273" s="3">
        <v>3.0</v>
      </c>
      <c r="I273" s="3" t="s">
        <v>167</v>
      </c>
      <c r="J273" s="3">
        <v>119.0</v>
      </c>
      <c r="K273" s="3">
        <v>121.0</v>
      </c>
      <c r="L273" s="3" t="s">
        <v>758</v>
      </c>
      <c r="M273" s="3">
        <v>1.0</v>
      </c>
      <c r="N273" s="3" t="s">
        <v>121</v>
      </c>
      <c r="O273" s="3" t="s">
        <v>2374</v>
      </c>
      <c r="P273" s="3" t="s">
        <v>2378</v>
      </c>
      <c r="Q273" s="3">
        <v>3.0</v>
      </c>
      <c r="R273" s="3">
        <v>451.0</v>
      </c>
      <c r="S273" s="3">
        <v>46.090911</v>
      </c>
      <c r="T273" s="3">
        <v>1.112008</v>
      </c>
      <c r="U273" s="3" t="s">
        <v>2376</v>
      </c>
      <c r="V273" s="3">
        <v>0.0</v>
      </c>
      <c r="W273" s="3">
        <v>1420.0</v>
      </c>
      <c r="X273" s="3">
        <v>8358.0</v>
      </c>
      <c r="Y273" s="3">
        <v>10.0</v>
      </c>
      <c r="Z273" s="3">
        <v>40.0</v>
      </c>
      <c r="AA273" s="3">
        <v>269.0</v>
      </c>
      <c r="AB273" s="3">
        <v>672.0</v>
      </c>
      <c r="AC273" s="3">
        <v>3077.0</v>
      </c>
    </row>
    <row r="274">
      <c r="A274" s="3">
        <v>272.0</v>
      </c>
      <c r="B274" s="3" t="s">
        <v>2373</v>
      </c>
      <c r="C274" s="3">
        <v>337.0</v>
      </c>
      <c r="D274" s="3" t="s">
        <v>786</v>
      </c>
      <c r="E274" s="3">
        <v>15.423444</v>
      </c>
      <c r="F274" s="3">
        <v>-91.438694</v>
      </c>
      <c r="G274" s="3">
        <v>20.0</v>
      </c>
      <c r="H274" s="3">
        <v>3.0</v>
      </c>
      <c r="I274" s="3" t="s">
        <v>167</v>
      </c>
      <c r="J274" s="3">
        <v>119.0</v>
      </c>
      <c r="K274" s="3">
        <v>121.0</v>
      </c>
      <c r="L274" s="3" t="s">
        <v>758</v>
      </c>
      <c r="M274" s="3">
        <v>1.0</v>
      </c>
      <c r="N274" s="3" t="s">
        <v>121</v>
      </c>
      <c r="O274" s="3" t="s">
        <v>2374</v>
      </c>
      <c r="P274" s="3" t="s">
        <v>2378</v>
      </c>
      <c r="Q274" s="3">
        <v>3.0</v>
      </c>
      <c r="R274" s="3">
        <v>451.0</v>
      </c>
      <c r="S274" s="3">
        <v>46.090911</v>
      </c>
      <c r="T274" s="3">
        <v>1.112008</v>
      </c>
      <c r="U274" s="3" t="s">
        <v>2376</v>
      </c>
      <c r="V274" s="3">
        <v>0.0</v>
      </c>
      <c r="W274" s="3">
        <v>1420.0</v>
      </c>
      <c r="X274" s="3">
        <v>8358.0</v>
      </c>
      <c r="Y274" s="3">
        <v>10.0</v>
      </c>
      <c r="Z274" s="3">
        <v>40.0</v>
      </c>
      <c r="AA274" s="3">
        <v>269.0</v>
      </c>
      <c r="AB274" s="3">
        <v>672.0</v>
      </c>
      <c r="AC274" s="3">
        <v>3077.0</v>
      </c>
    </row>
    <row r="275">
      <c r="A275" s="3">
        <v>273.0</v>
      </c>
      <c r="B275" s="3" t="s">
        <v>2373</v>
      </c>
      <c r="C275" s="3">
        <v>338.0</v>
      </c>
      <c r="D275" s="78" t="s">
        <v>802</v>
      </c>
      <c r="E275" s="3">
        <v>15.423444</v>
      </c>
      <c r="F275" s="3">
        <v>-91.438694</v>
      </c>
      <c r="G275" s="3">
        <v>20.0</v>
      </c>
      <c r="H275" s="3">
        <v>3.0</v>
      </c>
      <c r="I275" s="3" t="s">
        <v>167</v>
      </c>
      <c r="J275" s="3">
        <v>119.0</v>
      </c>
      <c r="K275" s="3">
        <v>121.0</v>
      </c>
      <c r="L275" s="3" t="s">
        <v>758</v>
      </c>
      <c r="M275" s="3">
        <v>1.0</v>
      </c>
      <c r="N275" s="3" t="s">
        <v>121</v>
      </c>
      <c r="O275" s="3" t="s">
        <v>2374</v>
      </c>
      <c r="P275" s="3" t="s">
        <v>2378</v>
      </c>
      <c r="Q275" s="3">
        <v>3.0</v>
      </c>
      <c r="R275" s="3">
        <v>451.0</v>
      </c>
      <c r="S275" s="3">
        <v>46.090911</v>
      </c>
      <c r="T275" s="3">
        <v>1.112008</v>
      </c>
      <c r="U275" s="3" t="s">
        <v>2376</v>
      </c>
      <c r="V275" s="3">
        <v>0.0</v>
      </c>
      <c r="W275" s="3">
        <v>1420.0</v>
      </c>
      <c r="X275" s="3">
        <v>8358.0</v>
      </c>
      <c r="Y275" s="3">
        <v>10.0</v>
      </c>
      <c r="Z275" s="3">
        <v>40.0</v>
      </c>
      <c r="AA275" s="3">
        <v>269.0</v>
      </c>
      <c r="AB275" s="3">
        <v>672.0</v>
      </c>
      <c r="AC275" s="3">
        <v>3077.0</v>
      </c>
    </row>
    <row r="276">
      <c r="A276" s="3">
        <v>274.0</v>
      </c>
      <c r="B276" s="3" t="s">
        <v>2373</v>
      </c>
      <c r="C276" s="3">
        <v>346.0</v>
      </c>
      <c r="D276" s="3" t="s">
        <v>375</v>
      </c>
      <c r="E276" s="3">
        <v>14.456389</v>
      </c>
      <c r="F276" s="3">
        <v>-90.566111</v>
      </c>
      <c r="G276" s="3">
        <v>21.0</v>
      </c>
      <c r="H276" s="3">
        <v>3.0</v>
      </c>
      <c r="I276" s="3" t="s">
        <v>167</v>
      </c>
      <c r="J276" s="3">
        <v>120.0</v>
      </c>
      <c r="K276" s="3">
        <v>122.0</v>
      </c>
      <c r="L276" s="3" t="s">
        <v>77</v>
      </c>
      <c r="M276" s="3">
        <v>3.0</v>
      </c>
      <c r="N276" s="3" t="s">
        <v>78</v>
      </c>
      <c r="O276" s="3" t="s">
        <v>2374</v>
      </c>
      <c r="P276" s="3" t="s">
        <v>2380</v>
      </c>
      <c r="Q276" s="3">
        <v>2.0</v>
      </c>
      <c r="R276" s="3">
        <v>553.0</v>
      </c>
      <c r="S276" s="3">
        <v>130.831169</v>
      </c>
      <c r="T276" s="3">
        <v>9.312385</v>
      </c>
      <c r="U276" s="3" t="s">
        <v>2376</v>
      </c>
      <c r="V276" s="3">
        <v>0.0</v>
      </c>
      <c r="W276" s="3">
        <v>1344.0</v>
      </c>
      <c r="X276" s="3">
        <v>10277.0</v>
      </c>
      <c r="Y276" s="3">
        <v>1.0</v>
      </c>
      <c r="Z276" s="3">
        <v>7.0</v>
      </c>
      <c r="AA276" s="3">
        <v>306.0</v>
      </c>
      <c r="AB276" s="3">
        <v>729.0</v>
      </c>
      <c r="AC276" s="3">
        <v>1198.0</v>
      </c>
    </row>
    <row r="277">
      <c r="A277" s="3">
        <v>275.0</v>
      </c>
      <c r="B277" s="3" t="s">
        <v>2373</v>
      </c>
      <c r="C277" s="3">
        <v>347.0</v>
      </c>
      <c r="D277" s="3" t="s">
        <v>378</v>
      </c>
      <c r="E277" s="3">
        <v>14.456389</v>
      </c>
      <c r="F277" s="3">
        <v>-90.566111</v>
      </c>
      <c r="G277" s="3">
        <v>21.0</v>
      </c>
      <c r="H277" s="3">
        <v>3.0</v>
      </c>
      <c r="I277" s="3" t="s">
        <v>167</v>
      </c>
      <c r="J277" s="3">
        <v>120.0</v>
      </c>
      <c r="K277" s="3">
        <v>122.0</v>
      </c>
      <c r="L277" s="3" t="s">
        <v>77</v>
      </c>
      <c r="M277" s="3">
        <v>3.0</v>
      </c>
      <c r="N277" s="3" t="s">
        <v>78</v>
      </c>
      <c r="O277" s="3" t="s">
        <v>2374</v>
      </c>
      <c r="P277" s="3" t="s">
        <v>2380</v>
      </c>
      <c r="Q277" s="3">
        <v>2.0</v>
      </c>
      <c r="R277" s="3">
        <v>553.0</v>
      </c>
      <c r="S277" s="3">
        <v>130.831169</v>
      </c>
      <c r="T277" s="3">
        <v>9.312385</v>
      </c>
      <c r="U277" s="3" t="s">
        <v>2376</v>
      </c>
      <c r="V277" s="3">
        <v>0.0</v>
      </c>
      <c r="W277" s="3">
        <v>1344.0</v>
      </c>
      <c r="X277" s="3">
        <v>10277.0</v>
      </c>
      <c r="Y277" s="3">
        <v>1.0</v>
      </c>
      <c r="Z277" s="3">
        <v>7.0</v>
      </c>
      <c r="AA277" s="3">
        <v>306.0</v>
      </c>
      <c r="AB277" s="3">
        <v>729.0</v>
      </c>
      <c r="AC277" s="3">
        <v>1198.0</v>
      </c>
    </row>
    <row r="278">
      <c r="A278" s="3">
        <v>276.0</v>
      </c>
      <c r="B278" s="3" t="s">
        <v>2373</v>
      </c>
      <c r="C278" s="3">
        <v>348.0</v>
      </c>
      <c r="D278" s="3" t="s">
        <v>381</v>
      </c>
      <c r="E278" s="3">
        <v>14.456389</v>
      </c>
      <c r="F278" s="3">
        <v>-90.566111</v>
      </c>
      <c r="G278" s="3">
        <v>21.0</v>
      </c>
      <c r="H278" s="3">
        <v>3.0</v>
      </c>
      <c r="I278" s="3" t="s">
        <v>167</v>
      </c>
      <c r="J278" s="3">
        <v>120.0</v>
      </c>
      <c r="K278" s="3">
        <v>122.0</v>
      </c>
      <c r="L278" s="3" t="s">
        <v>77</v>
      </c>
      <c r="M278" s="3">
        <v>3.0</v>
      </c>
      <c r="N278" s="3" t="s">
        <v>78</v>
      </c>
      <c r="O278" s="3" t="s">
        <v>2374</v>
      </c>
      <c r="P278" s="3" t="s">
        <v>2380</v>
      </c>
      <c r="Q278" s="3">
        <v>2.0</v>
      </c>
      <c r="R278" s="3">
        <v>553.0</v>
      </c>
      <c r="S278" s="3">
        <v>130.831169</v>
      </c>
      <c r="T278" s="3">
        <v>9.312385</v>
      </c>
      <c r="U278" s="3" t="s">
        <v>2376</v>
      </c>
      <c r="V278" s="3">
        <v>0.0</v>
      </c>
      <c r="W278" s="3">
        <v>1344.0</v>
      </c>
      <c r="X278" s="3">
        <v>10277.0</v>
      </c>
      <c r="Y278" s="3">
        <v>1.0</v>
      </c>
      <c r="Z278" s="3">
        <v>7.0</v>
      </c>
      <c r="AA278" s="3">
        <v>306.0</v>
      </c>
      <c r="AB278" s="3">
        <v>729.0</v>
      </c>
      <c r="AC278" s="3">
        <v>1198.0</v>
      </c>
    </row>
    <row r="279">
      <c r="A279" s="3">
        <v>277.0</v>
      </c>
      <c r="B279" s="3" t="s">
        <v>2373</v>
      </c>
      <c r="C279" s="3">
        <v>349.0</v>
      </c>
      <c r="D279" s="3" t="s">
        <v>385</v>
      </c>
      <c r="E279" s="3">
        <v>14.456389</v>
      </c>
      <c r="F279" s="3">
        <v>-90.566111</v>
      </c>
      <c r="G279" s="3">
        <v>21.0</v>
      </c>
      <c r="H279" s="3">
        <v>3.0</v>
      </c>
      <c r="I279" s="3" t="s">
        <v>167</v>
      </c>
      <c r="J279" s="3">
        <v>120.0</v>
      </c>
      <c r="K279" s="3">
        <v>122.0</v>
      </c>
      <c r="L279" s="3" t="s">
        <v>77</v>
      </c>
      <c r="M279" s="3">
        <v>3.0</v>
      </c>
      <c r="N279" s="3" t="s">
        <v>78</v>
      </c>
      <c r="O279" s="3" t="s">
        <v>2374</v>
      </c>
      <c r="P279" s="3" t="s">
        <v>2380</v>
      </c>
      <c r="Q279" s="3">
        <v>2.0</v>
      </c>
      <c r="R279" s="3">
        <v>553.0</v>
      </c>
      <c r="S279" s="3">
        <v>130.831169</v>
      </c>
      <c r="T279" s="3">
        <v>9.312385</v>
      </c>
      <c r="U279" s="3" t="s">
        <v>2376</v>
      </c>
      <c r="V279" s="3">
        <v>0.0</v>
      </c>
      <c r="W279" s="3">
        <v>1344.0</v>
      </c>
      <c r="X279" s="3">
        <v>10277.0</v>
      </c>
      <c r="Y279" s="3">
        <v>1.0</v>
      </c>
      <c r="Z279" s="3">
        <v>7.0</v>
      </c>
      <c r="AA279" s="3">
        <v>306.0</v>
      </c>
      <c r="AB279" s="3">
        <v>729.0</v>
      </c>
      <c r="AC279" s="3">
        <v>1198.0</v>
      </c>
    </row>
    <row r="280">
      <c r="A280" s="3">
        <v>278.0</v>
      </c>
      <c r="B280" s="3" t="s">
        <v>2373</v>
      </c>
      <c r="C280" s="3">
        <v>350.0</v>
      </c>
      <c r="D280" s="3" t="s">
        <v>387</v>
      </c>
      <c r="E280" s="3">
        <v>14.456389</v>
      </c>
      <c r="F280" s="3">
        <v>-90.566111</v>
      </c>
      <c r="G280" s="3">
        <v>21.0</v>
      </c>
      <c r="H280" s="3">
        <v>3.0</v>
      </c>
      <c r="I280" s="3" t="s">
        <v>167</v>
      </c>
      <c r="J280" s="3">
        <v>120.0</v>
      </c>
      <c r="K280" s="3">
        <v>122.0</v>
      </c>
      <c r="L280" s="3" t="s">
        <v>77</v>
      </c>
      <c r="M280" s="3">
        <v>3.0</v>
      </c>
      <c r="N280" s="3" t="s">
        <v>78</v>
      </c>
      <c r="O280" s="3" t="s">
        <v>2374</v>
      </c>
      <c r="P280" s="3" t="s">
        <v>2380</v>
      </c>
      <c r="Q280" s="3">
        <v>2.0</v>
      </c>
      <c r="R280" s="3">
        <v>553.0</v>
      </c>
      <c r="S280" s="3">
        <v>130.831169</v>
      </c>
      <c r="T280" s="3">
        <v>9.312385</v>
      </c>
      <c r="U280" s="3" t="s">
        <v>2376</v>
      </c>
      <c r="V280" s="3">
        <v>0.0</v>
      </c>
      <c r="W280" s="3">
        <v>1344.0</v>
      </c>
      <c r="X280" s="3">
        <v>10277.0</v>
      </c>
      <c r="Y280" s="3">
        <v>1.0</v>
      </c>
      <c r="Z280" s="3">
        <v>7.0</v>
      </c>
      <c r="AA280" s="3">
        <v>306.0</v>
      </c>
      <c r="AB280" s="3">
        <v>729.0</v>
      </c>
      <c r="AC280" s="3">
        <v>1198.0</v>
      </c>
    </row>
    <row r="281">
      <c r="A281" s="3">
        <v>279.0</v>
      </c>
      <c r="B281" s="3" t="s">
        <v>2373</v>
      </c>
      <c r="C281" s="3">
        <v>420.0</v>
      </c>
      <c r="D281" s="3" t="s">
        <v>217</v>
      </c>
      <c r="E281" s="3">
        <v>15.51</v>
      </c>
      <c r="F281" s="3">
        <v>-91.6</v>
      </c>
      <c r="G281" s="3">
        <v>21.0</v>
      </c>
      <c r="H281" s="3">
        <v>3.0</v>
      </c>
      <c r="I281" s="3" t="s">
        <v>167</v>
      </c>
      <c r="J281" s="3">
        <v>120.0</v>
      </c>
      <c r="K281" s="3">
        <v>122.0</v>
      </c>
      <c r="L281" s="3" t="s">
        <v>77</v>
      </c>
      <c r="M281" s="3">
        <v>3.0</v>
      </c>
      <c r="N281" s="3" t="s">
        <v>78</v>
      </c>
      <c r="O281" s="3" t="s">
        <v>2374</v>
      </c>
      <c r="P281" s="3" t="s">
        <v>2380</v>
      </c>
      <c r="Q281" s="3">
        <v>2.0</v>
      </c>
      <c r="R281" s="3">
        <v>553.0</v>
      </c>
      <c r="S281" s="3">
        <v>130.831169</v>
      </c>
      <c r="T281" s="3">
        <v>9.312385</v>
      </c>
      <c r="U281" s="3" t="s">
        <v>2376</v>
      </c>
      <c r="V281" s="3">
        <v>0.0</v>
      </c>
      <c r="W281" s="3">
        <v>1378.0</v>
      </c>
      <c r="X281" s="3">
        <v>8430.0</v>
      </c>
      <c r="Y281" s="3">
        <v>9.0</v>
      </c>
      <c r="Z281" s="3">
        <v>42.0</v>
      </c>
      <c r="AA281" s="3">
        <v>267.0</v>
      </c>
      <c r="AB281" s="3">
        <v>648.0</v>
      </c>
      <c r="AC281" s="3">
        <v>2720.0</v>
      </c>
    </row>
    <row r="282">
      <c r="A282" s="3">
        <v>280.0</v>
      </c>
      <c r="B282" s="3" t="s">
        <v>2373</v>
      </c>
      <c r="C282" s="3">
        <v>560.0</v>
      </c>
      <c r="D282" s="3" t="s">
        <v>343</v>
      </c>
      <c r="E282" s="3">
        <v>16.000583</v>
      </c>
      <c r="F282" s="3">
        <v>-91.554216</v>
      </c>
      <c r="G282" s="3">
        <v>21.0</v>
      </c>
      <c r="H282" s="3">
        <v>3.0</v>
      </c>
      <c r="I282" s="3" t="s">
        <v>167</v>
      </c>
      <c r="J282" s="3">
        <v>120.0</v>
      </c>
      <c r="K282" s="3">
        <v>122.0</v>
      </c>
      <c r="L282" s="3" t="s">
        <v>77</v>
      </c>
      <c r="M282" s="3">
        <v>3.0</v>
      </c>
      <c r="N282" s="3" t="s">
        <v>78</v>
      </c>
      <c r="O282" s="3" t="s">
        <v>2374</v>
      </c>
      <c r="P282" s="3" t="s">
        <v>2380</v>
      </c>
      <c r="Q282" s="3">
        <v>2.0</v>
      </c>
      <c r="R282" s="3">
        <v>553.0</v>
      </c>
      <c r="S282" s="3">
        <v>130.831169</v>
      </c>
      <c r="T282" s="3">
        <v>9.312385</v>
      </c>
      <c r="U282" s="3" t="s">
        <v>2376</v>
      </c>
      <c r="V282" s="3">
        <v>0.0</v>
      </c>
      <c r="W282" s="3">
        <v>3417.0</v>
      </c>
      <c r="X282" s="3">
        <v>6710.0</v>
      </c>
      <c r="Y282" s="3">
        <v>75.0</v>
      </c>
      <c r="Z282" s="3">
        <v>258.0</v>
      </c>
      <c r="AA282" s="3">
        <v>563.0</v>
      </c>
      <c r="AB282" s="3">
        <v>1566.0</v>
      </c>
      <c r="AC282" s="3">
        <v>1520.0</v>
      </c>
    </row>
    <row r="283">
      <c r="A283" s="3">
        <v>281.0</v>
      </c>
      <c r="B283" s="3" t="s">
        <v>2373</v>
      </c>
      <c r="C283" s="3">
        <v>561.0</v>
      </c>
      <c r="D283" s="3" t="s">
        <v>347</v>
      </c>
      <c r="E283" s="3">
        <v>16.000583</v>
      </c>
      <c r="F283" s="3">
        <v>-91.554216</v>
      </c>
      <c r="G283" s="3">
        <v>21.0</v>
      </c>
      <c r="H283" s="3">
        <v>3.0</v>
      </c>
      <c r="I283" s="3" t="s">
        <v>167</v>
      </c>
      <c r="J283" s="3">
        <v>120.0</v>
      </c>
      <c r="K283" s="3">
        <v>122.0</v>
      </c>
      <c r="L283" s="3" t="s">
        <v>77</v>
      </c>
      <c r="M283" s="3">
        <v>3.0</v>
      </c>
      <c r="N283" s="3" t="s">
        <v>78</v>
      </c>
      <c r="O283" s="3" t="s">
        <v>2374</v>
      </c>
      <c r="P283" s="3" t="s">
        <v>2380</v>
      </c>
      <c r="Q283" s="3">
        <v>2.0</v>
      </c>
      <c r="R283" s="3">
        <v>553.0</v>
      </c>
      <c r="S283" s="3">
        <v>130.831169</v>
      </c>
      <c r="T283" s="3">
        <v>9.312385</v>
      </c>
      <c r="U283" s="3" t="s">
        <v>2376</v>
      </c>
      <c r="V283" s="3">
        <v>0.0</v>
      </c>
      <c r="W283" s="3">
        <v>3417.0</v>
      </c>
      <c r="X283" s="3">
        <v>6710.0</v>
      </c>
      <c r="Y283" s="3">
        <v>75.0</v>
      </c>
      <c r="Z283" s="3">
        <v>258.0</v>
      </c>
      <c r="AA283" s="3">
        <v>563.0</v>
      </c>
      <c r="AB283" s="3">
        <v>1566.0</v>
      </c>
      <c r="AC283" s="3">
        <v>1520.0</v>
      </c>
    </row>
    <row r="284">
      <c r="A284" s="3">
        <v>282.0</v>
      </c>
      <c r="B284" s="3" t="s">
        <v>2373</v>
      </c>
      <c r="C284" s="3">
        <v>562.0</v>
      </c>
      <c r="D284" s="3" t="s">
        <v>350</v>
      </c>
      <c r="E284" s="3">
        <v>16.000583</v>
      </c>
      <c r="F284" s="3">
        <v>-91.554216</v>
      </c>
      <c r="G284" s="3">
        <v>21.0</v>
      </c>
      <c r="H284" s="3">
        <v>3.0</v>
      </c>
      <c r="I284" s="3" t="s">
        <v>167</v>
      </c>
      <c r="J284" s="3">
        <v>120.0</v>
      </c>
      <c r="K284" s="3">
        <v>122.0</v>
      </c>
      <c r="L284" s="3" t="s">
        <v>77</v>
      </c>
      <c r="M284" s="3">
        <v>3.0</v>
      </c>
      <c r="N284" s="3" t="s">
        <v>78</v>
      </c>
      <c r="O284" s="3" t="s">
        <v>2374</v>
      </c>
      <c r="P284" s="3" t="s">
        <v>2380</v>
      </c>
      <c r="Q284" s="3">
        <v>2.0</v>
      </c>
      <c r="R284" s="3">
        <v>553.0</v>
      </c>
      <c r="S284" s="3">
        <v>130.831169</v>
      </c>
      <c r="T284" s="3">
        <v>9.312385</v>
      </c>
      <c r="U284" s="3" t="s">
        <v>2376</v>
      </c>
      <c r="V284" s="3">
        <v>0.0</v>
      </c>
      <c r="W284" s="3">
        <v>3417.0</v>
      </c>
      <c r="X284" s="3">
        <v>6710.0</v>
      </c>
      <c r="Y284" s="3">
        <v>75.0</v>
      </c>
      <c r="Z284" s="3">
        <v>258.0</v>
      </c>
      <c r="AA284" s="3">
        <v>563.0</v>
      </c>
      <c r="AB284" s="3">
        <v>1566.0</v>
      </c>
      <c r="AC284" s="3">
        <v>1520.0</v>
      </c>
    </row>
    <row r="285">
      <c r="A285" s="3">
        <v>283.0</v>
      </c>
      <c r="B285" s="3" t="s">
        <v>2373</v>
      </c>
      <c r="C285" s="3">
        <v>563.0</v>
      </c>
      <c r="D285" s="3" t="s">
        <v>351</v>
      </c>
      <c r="E285" s="3">
        <v>16.000583</v>
      </c>
      <c r="F285" s="3">
        <v>-91.554216</v>
      </c>
      <c r="G285" s="3">
        <v>21.0</v>
      </c>
      <c r="H285" s="3">
        <v>3.0</v>
      </c>
      <c r="I285" s="3" t="s">
        <v>167</v>
      </c>
      <c r="J285" s="3">
        <v>120.0</v>
      </c>
      <c r="K285" s="3">
        <v>122.0</v>
      </c>
      <c r="L285" s="3" t="s">
        <v>77</v>
      </c>
      <c r="M285" s="3">
        <v>3.0</v>
      </c>
      <c r="N285" s="3" t="s">
        <v>78</v>
      </c>
      <c r="O285" s="3" t="s">
        <v>2374</v>
      </c>
      <c r="P285" s="3" t="s">
        <v>2380</v>
      </c>
      <c r="Q285" s="3">
        <v>2.0</v>
      </c>
      <c r="R285" s="3">
        <v>553.0</v>
      </c>
      <c r="S285" s="3">
        <v>130.831169</v>
      </c>
      <c r="T285" s="3">
        <v>9.312385</v>
      </c>
      <c r="U285" s="3" t="s">
        <v>2376</v>
      </c>
      <c r="V285" s="3">
        <v>0.0</v>
      </c>
      <c r="W285" s="3">
        <v>3417.0</v>
      </c>
      <c r="X285" s="3">
        <v>6710.0</v>
      </c>
      <c r="Y285" s="3">
        <v>75.0</v>
      </c>
      <c r="Z285" s="3">
        <v>258.0</v>
      </c>
      <c r="AA285" s="3">
        <v>563.0</v>
      </c>
      <c r="AB285" s="3">
        <v>1566.0</v>
      </c>
      <c r="AC285" s="3">
        <v>1520.0</v>
      </c>
    </row>
    <row r="286">
      <c r="A286" s="3">
        <v>284.0</v>
      </c>
      <c r="B286" s="3" t="s">
        <v>2373</v>
      </c>
      <c r="C286" s="3">
        <v>618.0</v>
      </c>
      <c r="D286" s="3" t="s">
        <v>1895</v>
      </c>
      <c r="E286" s="3">
        <v>16.000583</v>
      </c>
      <c r="F286" s="3">
        <v>-91.554216</v>
      </c>
      <c r="G286" s="3">
        <v>21.0</v>
      </c>
      <c r="H286" s="3">
        <v>3.0</v>
      </c>
      <c r="I286" s="3" t="s">
        <v>167</v>
      </c>
      <c r="J286" s="3">
        <v>120.0</v>
      </c>
      <c r="K286" s="3">
        <v>122.0</v>
      </c>
      <c r="L286" s="3" t="s">
        <v>77</v>
      </c>
      <c r="M286" s="3">
        <v>3.0</v>
      </c>
      <c r="N286" s="3" t="s">
        <v>78</v>
      </c>
      <c r="O286" s="3" t="s">
        <v>2374</v>
      </c>
      <c r="P286" s="3" t="s">
        <v>2380</v>
      </c>
      <c r="Q286" s="3">
        <v>2.0</v>
      </c>
      <c r="R286" s="3">
        <v>553.0</v>
      </c>
      <c r="S286" s="3">
        <v>130.831169</v>
      </c>
      <c r="T286" s="3">
        <v>9.312385</v>
      </c>
      <c r="U286" s="3" t="s">
        <v>2376</v>
      </c>
      <c r="V286" s="3">
        <v>0.0</v>
      </c>
      <c r="W286" s="3">
        <v>3417.0</v>
      </c>
      <c r="X286" s="3">
        <v>6710.0</v>
      </c>
      <c r="Y286" s="3">
        <v>75.0</v>
      </c>
      <c r="Z286" s="3">
        <v>258.0</v>
      </c>
      <c r="AA286" s="3">
        <v>563.0</v>
      </c>
      <c r="AB286" s="3">
        <v>1566.0</v>
      </c>
      <c r="AC286" s="3">
        <v>1520.0</v>
      </c>
    </row>
    <row r="287">
      <c r="A287" s="3">
        <v>285.0</v>
      </c>
      <c r="B287" s="3" t="s">
        <v>2373</v>
      </c>
      <c r="C287" s="3">
        <v>619.0</v>
      </c>
      <c r="D287" s="3" t="s">
        <v>1896</v>
      </c>
      <c r="E287" s="3">
        <v>16.000583</v>
      </c>
      <c r="F287" s="3">
        <v>-91.554216</v>
      </c>
      <c r="G287" s="3">
        <v>21.0</v>
      </c>
      <c r="H287" s="3">
        <v>3.0</v>
      </c>
      <c r="I287" s="3" t="s">
        <v>167</v>
      </c>
      <c r="J287" s="3">
        <v>120.0</v>
      </c>
      <c r="K287" s="3">
        <v>122.0</v>
      </c>
      <c r="L287" s="3" t="s">
        <v>77</v>
      </c>
      <c r="M287" s="3">
        <v>3.0</v>
      </c>
      <c r="N287" s="3" t="s">
        <v>78</v>
      </c>
      <c r="O287" s="3" t="s">
        <v>2374</v>
      </c>
      <c r="P287" s="3" t="s">
        <v>2380</v>
      </c>
      <c r="Q287" s="3">
        <v>2.0</v>
      </c>
      <c r="R287" s="3">
        <v>553.0</v>
      </c>
      <c r="S287" s="3">
        <v>130.831169</v>
      </c>
      <c r="T287" s="3">
        <v>9.312385</v>
      </c>
      <c r="U287" s="3" t="s">
        <v>2376</v>
      </c>
      <c r="V287" s="3">
        <v>0.0</v>
      </c>
      <c r="W287" s="3">
        <v>3417.0</v>
      </c>
      <c r="X287" s="3">
        <v>6710.0</v>
      </c>
      <c r="Y287" s="3">
        <v>75.0</v>
      </c>
      <c r="Z287" s="3">
        <v>258.0</v>
      </c>
      <c r="AA287" s="3">
        <v>563.0</v>
      </c>
      <c r="AB287" s="3">
        <v>1566.0</v>
      </c>
      <c r="AC287" s="3">
        <v>1520.0</v>
      </c>
    </row>
    <row r="288">
      <c r="A288" s="3">
        <v>286.0</v>
      </c>
      <c r="B288" s="3" t="s">
        <v>2373</v>
      </c>
      <c r="C288" s="3">
        <v>620.0</v>
      </c>
      <c r="D288" s="3" t="s">
        <v>1897</v>
      </c>
      <c r="E288" s="3">
        <v>16.000583</v>
      </c>
      <c r="F288" s="3">
        <v>-91.554216</v>
      </c>
      <c r="G288" s="3">
        <v>21.0</v>
      </c>
      <c r="H288" s="3">
        <v>3.0</v>
      </c>
      <c r="I288" s="3" t="s">
        <v>167</v>
      </c>
      <c r="J288" s="3">
        <v>120.0</v>
      </c>
      <c r="K288" s="3">
        <v>122.0</v>
      </c>
      <c r="L288" s="3" t="s">
        <v>77</v>
      </c>
      <c r="M288" s="3">
        <v>3.0</v>
      </c>
      <c r="N288" s="3" t="s">
        <v>78</v>
      </c>
      <c r="O288" s="3" t="s">
        <v>2374</v>
      </c>
      <c r="P288" s="3" t="s">
        <v>2380</v>
      </c>
      <c r="Q288" s="3">
        <v>2.0</v>
      </c>
      <c r="R288" s="3">
        <v>553.0</v>
      </c>
      <c r="S288" s="3">
        <v>130.831169</v>
      </c>
      <c r="T288" s="3">
        <v>9.312385</v>
      </c>
      <c r="U288" s="3" t="s">
        <v>2376</v>
      </c>
      <c r="V288" s="3">
        <v>0.0</v>
      </c>
      <c r="W288" s="3">
        <v>3417.0</v>
      </c>
      <c r="X288" s="3">
        <v>6710.0</v>
      </c>
      <c r="Y288" s="3">
        <v>75.0</v>
      </c>
      <c r="Z288" s="3">
        <v>258.0</v>
      </c>
      <c r="AA288" s="3">
        <v>563.0</v>
      </c>
      <c r="AB288" s="3">
        <v>1566.0</v>
      </c>
      <c r="AC288" s="3">
        <v>1520.0</v>
      </c>
    </row>
    <row r="289">
      <c r="A289" s="3">
        <v>287.0</v>
      </c>
      <c r="B289" s="3" t="s">
        <v>2373</v>
      </c>
      <c r="C289" s="3">
        <v>621.0</v>
      </c>
      <c r="D289" s="3" t="s">
        <v>1898</v>
      </c>
      <c r="E289" s="3">
        <v>16.000583</v>
      </c>
      <c r="F289" s="3">
        <v>-91.554216</v>
      </c>
      <c r="G289" s="3">
        <v>21.0</v>
      </c>
      <c r="H289" s="3">
        <v>3.0</v>
      </c>
      <c r="I289" s="3" t="s">
        <v>167</v>
      </c>
      <c r="J289" s="3">
        <v>120.0</v>
      </c>
      <c r="K289" s="3">
        <v>122.0</v>
      </c>
      <c r="L289" s="3" t="s">
        <v>77</v>
      </c>
      <c r="M289" s="3">
        <v>3.0</v>
      </c>
      <c r="N289" s="3" t="s">
        <v>78</v>
      </c>
      <c r="O289" s="3" t="s">
        <v>2374</v>
      </c>
      <c r="P289" s="3" t="s">
        <v>2380</v>
      </c>
      <c r="Q289" s="3">
        <v>2.0</v>
      </c>
      <c r="R289" s="3">
        <v>553.0</v>
      </c>
      <c r="S289" s="3">
        <v>130.831169</v>
      </c>
      <c r="T289" s="3">
        <v>9.312385</v>
      </c>
      <c r="U289" s="3" t="s">
        <v>2376</v>
      </c>
      <c r="V289" s="3">
        <v>0.0</v>
      </c>
      <c r="W289" s="3">
        <v>3417.0</v>
      </c>
      <c r="X289" s="3">
        <v>6710.0</v>
      </c>
      <c r="Y289" s="3">
        <v>75.0</v>
      </c>
      <c r="Z289" s="3">
        <v>258.0</v>
      </c>
      <c r="AA289" s="3">
        <v>563.0</v>
      </c>
      <c r="AB289" s="3">
        <v>1566.0</v>
      </c>
      <c r="AC289" s="3">
        <v>1520.0</v>
      </c>
    </row>
    <row r="290">
      <c r="A290" s="3">
        <v>288.0</v>
      </c>
      <c r="B290" s="3" t="s">
        <v>2373</v>
      </c>
      <c r="C290" s="3">
        <v>633.0</v>
      </c>
      <c r="D290" s="3" t="s">
        <v>262</v>
      </c>
      <c r="E290" s="3">
        <v>16.000583</v>
      </c>
      <c r="F290" s="3">
        <v>-91.554216</v>
      </c>
      <c r="G290" s="3">
        <v>21.0</v>
      </c>
      <c r="H290" s="3">
        <v>3.0</v>
      </c>
      <c r="I290" s="3" t="s">
        <v>167</v>
      </c>
      <c r="J290" s="3">
        <v>120.0</v>
      </c>
      <c r="K290" s="3">
        <v>122.0</v>
      </c>
      <c r="L290" s="3" t="s">
        <v>77</v>
      </c>
      <c r="M290" s="3">
        <v>3.0</v>
      </c>
      <c r="N290" s="3" t="s">
        <v>78</v>
      </c>
      <c r="O290" s="3" t="s">
        <v>2374</v>
      </c>
      <c r="P290" s="3" t="s">
        <v>2380</v>
      </c>
      <c r="Q290" s="3">
        <v>2.0</v>
      </c>
      <c r="R290" s="3">
        <v>553.0</v>
      </c>
      <c r="S290" s="3">
        <v>130.831169</v>
      </c>
      <c r="T290" s="3">
        <v>9.312385</v>
      </c>
      <c r="U290" s="3" t="s">
        <v>2376</v>
      </c>
      <c r="V290" s="3">
        <v>0.0</v>
      </c>
      <c r="W290" s="3">
        <v>3417.0</v>
      </c>
      <c r="X290" s="3">
        <v>6710.0</v>
      </c>
      <c r="Y290" s="3">
        <v>75.0</v>
      </c>
      <c r="Z290" s="3">
        <v>258.0</v>
      </c>
      <c r="AA290" s="3">
        <v>563.0</v>
      </c>
      <c r="AB290" s="3">
        <v>1566.0</v>
      </c>
      <c r="AC290" s="3">
        <v>1520.0</v>
      </c>
    </row>
    <row r="291">
      <c r="A291" s="3">
        <v>289.0</v>
      </c>
      <c r="B291" s="3" t="s">
        <v>2373</v>
      </c>
      <c r="C291" s="3">
        <v>634.0</v>
      </c>
      <c r="D291" s="3" t="s">
        <v>282</v>
      </c>
      <c r="E291" s="3">
        <v>16.000583</v>
      </c>
      <c r="F291" s="3">
        <v>-91.554216</v>
      </c>
      <c r="G291" s="3">
        <v>21.0</v>
      </c>
      <c r="H291" s="3">
        <v>3.0</v>
      </c>
      <c r="I291" s="3" t="s">
        <v>167</v>
      </c>
      <c r="J291" s="3">
        <v>120.0</v>
      </c>
      <c r="K291" s="3">
        <v>122.0</v>
      </c>
      <c r="L291" s="3" t="s">
        <v>77</v>
      </c>
      <c r="M291" s="3">
        <v>3.0</v>
      </c>
      <c r="N291" s="3" t="s">
        <v>78</v>
      </c>
      <c r="O291" s="3" t="s">
        <v>2374</v>
      </c>
      <c r="P291" s="3" t="s">
        <v>2380</v>
      </c>
      <c r="Q291" s="3">
        <v>2.0</v>
      </c>
      <c r="R291" s="3">
        <v>553.0</v>
      </c>
      <c r="S291" s="3">
        <v>130.831169</v>
      </c>
      <c r="T291" s="3">
        <v>9.312385</v>
      </c>
      <c r="U291" s="3" t="s">
        <v>2376</v>
      </c>
      <c r="V291" s="3">
        <v>0.0</v>
      </c>
      <c r="W291" s="3">
        <v>3417.0</v>
      </c>
      <c r="X291" s="3">
        <v>6710.0</v>
      </c>
      <c r="Y291" s="3">
        <v>75.0</v>
      </c>
      <c r="Z291" s="3">
        <v>258.0</v>
      </c>
      <c r="AA291" s="3">
        <v>563.0</v>
      </c>
      <c r="AB291" s="3">
        <v>1566.0</v>
      </c>
      <c r="AC291" s="3">
        <v>1520.0</v>
      </c>
    </row>
    <row r="292">
      <c r="A292" s="3">
        <v>290.0</v>
      </c>
      <c r="B292" s="3" t="s">
        <v>2373</v>
      </c>
      <c r="C292" s="3">
        <v>635.0</v>
      </c>
      <c r="D292" s="3" t="s">
        <v>283</v>
      </c>
      <c r="E292" s="3">
        <v>16.000583</v>
      </c>
      <c r="F292" s="3">
        <v>-91.554216</v>
      </c>
      <c r="G292" s="3">
        <v>21.0</v>
      </c>
      <c r="H292" s="3">
        <v>3.0</v>
      </c>
      <c r="I292" s="3" t="s">
        <v>167</v>
      </c>
      <c r="J292" s="3">
        <v>120.0</v>
      </c>
      <c r="K292" s="3">
        <v>122.0</v>
      </c>
      <c r="L292" s="3" t="s">
        <v>77</v>
      </c>
      <c r="M292" s="3">
        <v>3.0</v>
      </c>
      <c r="N292" s="3" t="s">
        <v>78</v>
      </c>
      <c r="O292" s="3" t="s">
        <v>2374</v>
      </c>
      <c r="P292" s="3" t="s">
        <v>2380</v>
      </c>
      <c r="Q292" s="3">
        <v>2.0</v>
      </c>
      <c r="R292" s="3">
        <v>553.0</v>
      </c>
      <c r="S292" s="3">
        <v>130.831169</v>
      </c>
      <c r="T292" s="3">
        <v>9.312385</v>
      </c>
      <c r="U292" s="3" t="s">
        <v>2376</v>
      </c>
      <c r="V292" s="3">
        <v>0.0</v>
      </c>
      <c r="W292" s="3">
        <v>3417.0</v>
      </c>
      <c r="X292" s="3">
        <v>6710.0</v>
      </c>
      <c r="Y292" s="3">
        <v>75.0</v>
      </c>
      <c r="Z292" s="3">
        <v>258.0</v>
      </c>
      <c r="AA292" s="3">
        <v>563.0</v>
      </c>
      <c r="AB292" s="3">
        <v>1566.0</v>
      </c>
      <c r="AC292" s="3">
        <v>1520.0</v>
      </c>
    </row>
    <row r="293">
      <c r="A293" s="3">
        <v>291.0</v>
      </c>
      <c r="B293" s="3" t="s">
        <v>2373</v>
      </c>
      <c r="C293" s="3">
        <v>636.0</v>
      </c>
      <c r="D293" s="3" t="s">
        <v>285</v>
      </c>
      <c r="E293" s="3">
        <v>16.000583</v>
      </c>
      <c r="F293" s="3">
        <v>-91.554216</v>
      </c>
      <c r="G293" s="3">
        <v>21.0</v>
      </c>
      <c r="H293" s="3">
        <v>3.0</v>
      </c>
      <c r="I293" s="3" t="s">
        <v>167</v>
      </c>
      <c r="J293" s="3">
        <v>120.0</v>
      </c>
      <c r="K293" s="3">
        <v>122.0</v>
      </c>
      <c r="L293" s="3" t="s">
        <v>77</v>
      </c>
      <c r="M293" s="3">
        <v>3.0</v>
      </c>
      <c r="N293" s="3" t="s">
        <v>78</v>
      </c>
      <c r="O293" s="3" t="s">
        <v>2374</v>
      </c>
      <c r="P293" s="3" t="s">
        <v>2380</v>
      </c>
      <c r="Q293" s="3">
        <v>2.0</v>
      </c>
      <c r="R293" s="3">
        <v>553.0</v>
      </c>
      <c r="S293" s="3">
        <v>130.831169</v>
      </c>
      <c r="T293" s="3">
        <v>9.312385</v>
      </c>
      <c r="U293" s="3" t="s">
        <v>2376</v>
      </c>
      <c r="V293" s="3">
        <v>0.0</v>
      </c>
      <c r="W293" s="3">
        <v>3417.0</v>
      </c>
      <c r="X293" s="3">
        <v>6710.0</v>
      </c>
      <c r="Y293" s="3">
        <v>75.0</v>
      </c>
      <c r="Z293" s="3">
        <v>258.0</v>
      </c>
      <c r="AA293" s="3">
        <v>563.0</v>
      </c>
      <c r="AB293" s="3">
        <v>1566.0</v>
      </c>
      <c r="AC293" s="3">
        <v>1520.0</v>
      </c>
    </row>
    <row r="294">
      <c r="A294" s="3">
        <v>292.0</v>
      </c>
      <c r="B294" s="3" t="s">
        <v>2373</v>
      </c>
      <c r="C294" s="3">
        <v>1.0</v>
      </c>
      <c r="D294" s="3" t="s">
        <v>1820</v>
      </c>
      <c r="E294" s="3">
        <v>17.062554</v>
      </c>
      <c r="F294" s="3">
        <v>-89.405279</v>
      </c>
      <c r="G294" s="3">
        <v>26.0</v>
      </c>
      <c r="H294" s="3">
        <v>3.0</v>
      </c>
      <c r="I294" s="3" t="s">
        <v>167</v>
      </c>
      <c r="J294" s="3">
        <v>564.0</v>
      </c>
      <c r="K294" s="3">
        <v>569.0</v>
      </c>
      <c r="L294" s="3" t="s">
        <v>133</v>
      </c>
      <c r="M294" s="3">
        <v>1.0</v>
      </c>
      <c r="N294" s="3" t="s">
        <v>121</v>
      </c>
      <c r="O294" s="3" t="s">
        <v>2374</v>
      </c>
      <c r="P294" s="3" t="s">
        <v>2378</v>
      </c>
      <c r="Q294" s="3">
        <v>2.0</v>
      </c>
      <c r="R294" s="3">
        <v>494.0</v>
      </c>
      <c r="S294" s="3">
        <v>57.480003</v>
      </c>
      <c r="T294" s="3">
        <v>12.625324</v>
      </c>
      <c r="U294" s="3" t="s">
        <v>2376</v>
      </c>
      <c r="V294" s="3">
        <v>0.0</v>
      </c>
      <c r="W294" s="3">
        <v>1794.0</v>
      </c>
      <c r="X294" s="3">
        <v>5515.0</v>
      </c>
      <c r="Y294" s="3">
        <v>40.0</v>
      </c>
      <c r="Z294" s="3">
        <v>146.0</v>
      </c>
      <c r="AA294" s="3">
        <v>259.0</v>
      </c>
      <c r="AB294" s="3">
        <v>723.0</v>
      </c>
      <c r="AC294" s="3">
        <v>265.0</v>
      </c>
    </row>
    <row r="295">
      <c r="A295" s="3">
        <v>293.0</v>
      </c>
      <c r="B295" s="3" t="s">
        <v>2373</v>
      </c>
      <c r="C295" s="3">
        <v>2.0</v>
      </c>
      <c r="D295" s="3" t="s">
        <v>1822</v>
      </c>
      <c r="E295" s="3">
        <v>17.061405</v>
      </c>
      <c r="F295" s="3">
        <v>-89.363565</v>
      </c>
      <c r="G295" s="3">
        <v>26.0</v>
      </c>
      <c r="H295" s="3">
        <v>3.0</v>
      </c>
      <c r="I295" s="3" t="s">
        <v>167</v>
      </c>
      <c r="J295" s="3">
        <v>564.0</v>
      </c>
      <c r="K295" s="3">
        <v>569.0</v>
      </c>
      <c r="L295" s="3" t="s">
        <v>133</v>
      </c>
      <c r="M295" s="3">
        <v>1.0</v>
      </c>
      <c r="N295" s="3" t="s">
        <v>121</v>
      </c>
      <c r="O295" s="3" t="s">
        <v>2374</v>
      </c>
      <c r="P295" s="3" t="s">
        <v>2378</v>
      </c>
      <c r="Q295" s="3">
        <v>2.0</v>
      </c>
      <c r="R295" s="3">
        <v>494.0</v>
      </c>
      <c r="S295" s="3">
        <v>57.480003</v>
      </c>
      <c r="T295" s="3">
        <v>12.625324</v>
      </c>
      <c r="U295" s="3" t="s">
        <v>2376</v>
      </c>
      <c r="V295" s="3">
        <v>0.0</v>
      </c>
      <c r="W295" s="3">
        <v>1804.0</v>
      </c>
      <c r="X295" s="3">
        <v>5487.0</v>
      </c>
      <c r="Y295" s="3">
        <v>40.0</v>
      </c>
      <c r="Z295" s="3">
        <v>147.0</v>
      </c>
      <c r="AA295" s="3">
        <v>263.0</v>
      </c>
      <c r="AB295" s="3">
        <v>728.0</v>
      </c>
      <c r="AC295" s="3">
        <v>275.0</v>
      </c>
    </row>
    <row r="296">
      <c r="A296" s="3">
        <v>294.0</v>
      </c>
      <c r="B296" s="3" t="s">
        <v>2373</v>
      </c>
      <c r="C296" s="3">
        <v>3.0</v>
      </c>
      <c r="D296" s="3" t="s">
        <v>1824</v>
      </c>
      <c r="E296" s="3">
        <v>17.061405</v>
      </c>
      <c r="F296" s="3">
        <v>-89.363565</v>
      </c>
      <c r="G296" s="3">
        <v>26.0</v>
      </c>
      <c r="H296" s="3">
        <v>3.0</v>
      </c>
      <c r="I296" s="3" t="s">
        <v>167</v>
      </c>
      <c r="J296" s="3">
        <v>564.0</v>
      </c>
      <c r="K296" s="3">
        <v>569.0</v>
      </c>
      <c r="L296" s="3" t="s">
        <v>133</v>
      </c>
      <c r="M296" s="3">
        <v>1.0</v>
      </c>
      <c r="N296" s="3" t="s">
        <v>121</v>
      </c>
      <c r="O296" s="3" t="s">
        <v>2374</v>
      </c>
      <c r="P296" s="3" t="s">
        <v>2378</v>
      </c>
      <c r="Q296" s="3">
        <v>2.0</v>
      </c>
      <c r="R296" s="3">
        <v>494.0</v>
      </c>
      <c r="S296" s="3">
        <v>57.480003</v>
      </c>
      <c r="T296" s="3">
        <v>12.625324</v>
      </c>
      <c r="U296" s="3" t="s">
        <v>2376</v>
      </c>
      <c r="V296" s="3">
        <v>0.0</v>
      </c>
      <c r="W296" s="3">
        <v>1804.0</v>
      </c>
      <c r="X296" s="3">
        <v>5487.0</v>
      </c>
      <c r="Y296" s="3">
        <v>40.0</v>
      </c>
      <c r="Z296" s="3">
        <v>147.0</v>
      </c>
      <c r="AA296" s="3">
        <v>263.0</v>
      </c>
      <c r="AB296" s="3">
        <v>728.0</v>
      </c>
      <c r="AC296" s="3">
        <v>275.0</v>
      </c>
    </row>
    <row r="297">
      <c r="A297" s="3">
        <v>295.0</v>
      </c>
      <c r="B297" s="3" t="s">
        <v>2373</v>
      </c>
      <c r="C297" s="3">
        <v>4.0</v>
      </c>
      <c r="D297" s="3" t="s">
        <v>1827</v>
      </c>
      <c r="E297" s="3">
        <v>17.061405</v>
      </c>
      <c r="F297" s="3">
        <v>-89.363565</v>
      </c>
      <c r="G297" s="3">
        <v>26.0</v>
      </c>
      <c r="H297" s="3">
        <v>3.0</v>
      </c>
      <c r="I297" s="3" t="s">
        <v>167</v>
      </c>
      <c r="J297" s="3">
        <v>564.0</v>
      </c>
      <c r="K297" s="3">
        <v>569.0</v>
      </c>
      <c r="L297" s="3" t="s">
        <v>133</v>
      </c>
      <c r="M297" s="3">
        <v>1.0</v>
      </c>
      <c r="N297" s="3" t="s">
        <v>121</v>
      </c>
      <c r="O297" s="3" t="s">
        <v>2374</v>
      </c>
      <c r="P297" s="3" t="s">
        <v>2378</v>
      </c>
      <c r="Q297" s="3">
        <v>2.0</v>
      </c>
      <c r="R297" s="3">
        <v>494.0</v>
      </c>
      <c r="S297" s="3">
        <v>57.480003</v>
      </c>
      <c r="T297" s="3">
        <v>12.625324</v>
      </c>
      <c r="U297" s="3" t="s">
        <v>2376</v>
      </c>
      <c r="V297" s="3">
        <v>0.0</v>
      </c>
      <c r="W297" s="3">
        <v>1804.0</v>
      </c>
      <c r="X297" s="3">
        <v>5487.0</v>
      </c>
      <c r="Y297" s="3">
        <v>40.0</v>
      </c>
      <c r="Z297" s="3">
        <v>147.0</v>
      </c>
      <c r="AA297" s="3">
        <v>263.0</v>
      </c>
      <c r="AB297" s="3">
        <v>728.0</v>
      </c>
      <c r="AC297" s="3">
        <v>275.0</v>
      </c>
    </row>
    <row r="298">
      <c r="A298" s="3">
        <v>296.0</v>
      </c>
      <c r="B298" s="3" t="s">
        <v>2373</v>
      </c>
      <c r="C298" s="3">
        <v>5.0</v>
      </c>
      <c r="D298" s="3" t="s">
        <v>1828</v>
      </c>
      <c r="E298" s="3">
        <v>17.062554</v>
      </c>
      <c r="F298" s="3">
        <v>-89.405279</v>
      </c>
      <c r="G298" s="3">
        <v>26.0</v>
      </c>
      <c r="H298" s="3">
        <v>3.0</v>
      </c>
      <c r="I298" s="3" t="s">
        <v>167</v>
      </c>
      <c r="J298" s="3">
        <v>564.0</v>
      </c>
      <c r="K298" s="3">
        <v>569.0</v>
      </c>
      <c r="L298" s="3" t="s">
        <v>133</v>
      </c>
      <c r="M298" s="3">
        <v>1.0</v>
      </c>
      <c r="N298" s="3" t="s">
        <v>121</v>
      </c>
      <c r="O298" s="3" t="s">
        <v>2374</v>
      </c>
      <c r="P298" s="3" t="s">
        <v>2378</v>
      </c>
      <c r="Q298" s="3">
        <v>2.0</v>
      </c>
      <c r="R298" s="3">
        <v>494.0</v>
      </c>
      <c r="S298" s="3">
        <v>57.480003</v>
      </c>
      <c r="T298" s="3">
        <v>12.625324</v>
      </c>
      <c r="U298" s="3" t="s">
        <v>2376</v>
      </c>
      <c r="V298" s="3">
        <v>0.0</v>
      </c>
      <c r="W298" s="3">
        <v>1794.0</v>
      </c>
      <c r="X298" s="3">
        <v>5515.0</v>
      </c>
      <c r="Y298" s="3">
        <v>40.0</v>
      </c>
      <c r="Z298" s="3">
        <v>146.0</v>
      </c>
      <c r="AA298" s="3">
        <v>259.0</v>
      </c>
      <c r="AB298" s="3">
        <v>723.0</v>
      </c>
      <c r="AC298" s="3">
        <v>265.0</v>
      </c>
    </row>
    <row r="299">
      <c r="A299" s="3">
        <v>297.0</v>
      </c>
      <c r="B299" s="3" t="s">
        <v>2373</v>
      </c>
      <c r="C299" s="3">
        <v>6.0</v>
      </c>
      <c r="D299" s="78" t="s">
        <v>1829</v>
      </c>
      <c r="E299" s="3">
        <v>17.061405</v>
      </c>
      <c r="F299" s="3">
        <v>-89.363565</v>
      </c>
      <c r="G299" s="3">
        <v>26.0</v>
      </c>
      <c r="H299" s="3">
        <v>3.0</v>
      </c>
      <c r="I299" s="3" t="s">
        <v>167</v>
      </c>
      <c r="J299" s="3">
        <v>564.0</v>
      </c>
      <c r="K299" s="3">
        <v>569.0</v>
      </c>
      <c r="L299" s="3" t="s">
        <v>133</v>
      </c>
      <c r="M299" s="3">
        <v>1.0</v>
      </c>
      <c r="N299" s="3" t="s">
        <v>121</v>
      </c>
      <c r="O299" s="3" t="s">
        <v>2374</v>
      </c>
      <c r="P299" s="3" t="s">
        <v>2378</v>
      </c>
      <c r="Q299" s="3">
        <v>2.0</v>
      </c>
      <c r="R299" s="3">
        <v>494.0</v>
      </c>
      <c r="S299" s="3">
        <v>57.480003</v>
      </c>
      <c r="T299" s="3">
        <v>12.625324</v>
      </c>
      <c r="U299" s="3" t="s">
        <v>2376</v>
      </c>
      <c r="V299" s="3">
        <v>0.0</v>
      </c>
      <c r="W299" s="3">
        <v>1804.0</v>
      </c>
      <c r="X299" s="3">
        <v>5487.0</v>
      </c>
      <c r="Y299" s="3">
        <v>40.0</v>
      </c>
      <c r="Z299" s="3">
        <v>147.0</v>
      </c>
      <c r="AA299" s="3">
        <v>263.0</v>
      </c>
      <c r="AB299" s="3">
        <v>728.0</v>
      </c>
      <c r="AC299" s="3">
        <v>275.0</v>
      </c>
    </row>
    <row r="300">
      <c r="A300" s="3">
        <v>298.0</v>
      </c>
      <c r="B300" s="3" t="s">
        <v>2373</v>
      </c>
      <c r="C300" s="3">
        <v>7.0</v>
      </c>
      <c r="D300" s="3" t="s">
        <v>1515</v>
      </c>
      <c r="E300" s="3">
        <v>16.983333</v>
      </c>
      <c r="F300" s="3">
        <v>-89.666667</v>
      </c>
      <c r="G300" s="3">
        <v>26.0</v>
      </c>
      <c r="H300" s="3">
        <v>3.0</v>
      </c>
      <c r="I300" s="3" t="s">
        <v>167</v>
      </c>
      <c r="J300" s="3">
        <v>564.0</v>
      </c>
      <c r="K300" s="3">
        <v>569.0</v>
      </c>
      <c r="L300" s="3" t="s">
        <v>133</v>
      </c>
      <c r="M300" s="3">
        <v>1.0</v>
      </c>
      <c r="N300" s="3" t="s">
        <v>121</v>
      </c>
      <c r="O300" s="3" t="s">
        <v>2374</v>
      </c>
      <c r="P300" s="3" t="s">
        <v>2378</v>
      </c>
      <c r="Q300" s="3">
        <v>2.0</v>
      </c>
      <c r="R300" s="3">
        <v>494.0</v>
      </c>
      <c r="S300" s="3">
        <v>57.480003</v>
      </c>
      <c r="T300" s="3">
        <v>12.625324</v>
      </c>
      <c r="U300" s="3" t="s">
        <v>2376</v>
      </c>
      <c r="V300" s="3">
        <v>0.0</v>
      </c>
      <c r="W300" s="3">
        <v>1756.0</v>
      </c>
      <c r="X300" s="3">
        <v>5736.0</v>
      </c>
      <c r="Y300" s="3">
        <v>37.0</v>
      </c>
      <c r="Z300" s="3">
        <v>139.0</v>
      </c>
      <c r="AA300" s="3">
        <v>252.0</v>
      </c>
      <c r="AB300" s="3">
        <v>708.0</v>
      </c>
      <c r="AC300" s="3">
        <v>114.0</v>
      </c>
    </row>
    <row r="301">
      <c r="A301" s="3">
        <v>299.0</v>
      </c>
      <c r="B301" s="3" t="s">
        <v>2373</v>
      </c>
      <c r="C301" s="3">
        <v>10.0</v>
      </c>
      <c r="D301" s="3" t="s">
        <v>811</v>
      </c>
      <c r="E301" s="3">
        <v>16.85</v>
      </c>
      <c r="F301" s="3">
        <v>-90.133333</v>
      </c>
      <c r="G301" s="3">
        <v>26.0</v>
      </c>
      <c r="H301" s="3">
        <v>3.0</v>
      </c>
      <c r="I301" s="3" t="s">
        <v>167</v>
      </c>
      <c r="J301" s="3">
        <v>564.0</v>
      </c>
      <c r="K301" s="3">
        <v>569.0</v>
      </c>
      <c r="L301" s="3" t="s">
        <v>133</v>
      </c>
      <c r="M301" s="3">
        <v>1.0</v>
      </c>
      <c r="N301" s="3" t="s">
        <v>121</v>
      </c>
      <c r="O301" s="3" t="s">
        <v>2374</v>
      </c>
      <c r="P301" s="3" t="s">
        <v>2378</v>
      </c>
      <c r="Q301" s="3">
        <v>2.0</v>
      </c>
      <c r="R301" s="3">
        <v>494.0</v>
      </c>
      <c r="S301" s="3">
        <v>57.480003</v>
      </c>
      <c r="T301" s="3">
        <v>12.625324</v>
      </c>
      <c r="U301" s="3" t="s">
        <v>2376</v>
      </c>
      <c r="V301" s="3">
        <v>0.0</v>
      </c>
      <c r="W301" s="3">
        <v>2170.0</v>
      </c>
      <c r="X301" s="3">
        <v>5759.0</v>
      </c>
      <c r="Y301" s="3">
        <v>50.0</v>
      </c>
      <c r="Z301" s="3">
        <v>177.0</v>
      </c>
      <c r="AA301" s="3">
        <v>330.0</v>
      </c>
      <c r="AB301" s="3">
        <v>883.0</v>
      </c>
      <c r="AC301" s="3">
        <v>188.0</v>
      </c>
    </row>
    <row r="302">
      <c r="A302" s="3">
        <v>300.0</v>
      </c>
      <c r="B302" s="3" t="s">
        <v>2373</v>
      </c>
      <c r="C302" s="3">
        <v>11.0</v>
      </c>
      <c r="D302" s="3" t="s">
        <v>815</v>
      </c>
      <c r="E302" s="3">
        <v>16.8</v>
      </c>
      <c r="F302" s="3">
        <v>-90.033333</v>
      </c>
      <c r="G302" s="3">
        <v>26.0</v>
      </c>
      <c r="H302" s="3">
        <v>3.0</v>
      </c>
      <c r="I302" s="3" t="s">
        <v>167</v>
      </c>
      <c r="J302" s="3">
        <v>564.0</v>
      </c>
      <c r="K302" s="3">
        <v>569.0</v>
      </c>
      <c r="L302" s="3" t="s">
        <v>133</v>
      </c>
      <c r="M302" s="3">
        <v>1.0</v>
      </c>
      <c r="N302" s="3" t="s">
        <v>121</v>
      </c>
      <c r="O302" s="3" t="s">
        <v>2374</v>
      </c>
      <c r="P302" s="3" t="s">
        <v>2378</v>
      </c>
      <c r="Q302" s="3">
        <v>2.0</v>
      </c>
      <c r="R302" s="3">
        <v>494.0</v>
      </c>
      <c r="S302" s="3">
        <v>57.480003</v>
      </c>
      <c r="T302" s="3">
        <v>12.625324</v>
      </c>
      <c r="U302" s="3" t="s">
        <v>2376</v>
      </c>
      <c r="V302" s="3">
        <v>0.0</v>
      </c>
      <c r="W302" s="3">
        <v>2162.0</v>
      </c>
      <c r="X302" s="3">
        <v>5673.0</v>
      </c>
      <c r="Y302" s="3">
        <v>49.0</v>
      </c>
      <c r="Z302" s="3">
        <v>180.0</v>
      </c>
      <c r="AA302" s="3">
        <v>319.0</v>
      </c>
      <c r="AB302" s="3">
        <v>878.0</v>
      </c>
      <c r="AC302" s="3">
        <v>248.0</v>
      </c>
    </row>
    <row r="303">
      <c r="A303" s="3">
        <v>301.0</v>
      </c>
      <c r="B303" s="3" t="s">
        <v>2373</v>
      </c>
      <c r="C303" s="3">
        <v>12.0</v>
      </c>
      <c r="D303" s="3" t="s">
        <v>817</v>
      </c>
      <c r="E303" s="3">
        <v>16.85</v>
      </c>
      <c r="F303" s="3">
        <v>-90.133333</v>
      </c>
      <c r="G303" s="3">
        <v>26.0</v>
      </c>
      <c r="H303" s="3">
        <v>3.0</v>
      </c>
      <c r="I303" s="3" t="s">
        <v>167</v>
      </c>
      <c r="J303" s="3">
        <v>564.0</v>
      </c>
      <c r="K303" s="3">
        <v>569.0</v>
      </c>
      <c r="L303" s="3" t="s">
        <v>133</v>
      </c>
      <c r="M303" s="3">
        <v>1.0</v>
      </c>
      <c r="N303" s="3" t="s">
        <v>121</v>
      </c>
      <c r="O303" s="3" t="s">
        <v>2374</v>
      </c>
      <c r="P303" s="3" t="s">
        <v>2378</v>
      </c>
      <c r="Q303" s="3">
        <v>2.0</v>
      </c>
      <c r="R303" s="3">
        <v>494.0</v>
      </c>
      <c r="S303" s="3">
        <v>57.480003</v>
      </c>
      <c r="T303" s="3">
        <v>12.625324</v>
      </c>
      <c r="U303" s="3" t="s">
        <v>2376</v>
      </c>
      <c r="V303" s="3">
        <v>0.0</v>
      </c>
      <c r="W303" s="3">
        <v>2170.0</v>
      </c>
      <c r="X303" s="3">
        <v>5759.0</v>
      </c>
      <c r="Y303" s="3">
        <v>50.0</v>
      </c>
      <c r="Z303" s="3">
        <v>177.0</v>
      </c>
      <c r="AA303" s="3">
        <v>330.0</v>
      </c>
      <c r="AB303" s="3">
        <v>883.0</v>
      </c>
      <c r="AC303" s="3">
        <v>188.0</v>
      </c>
    </row>
    <row r="304">
      <c r="A304" s="3">
        <v>302.0</v>
      </c>
      <c r="B304" s="3" t="s">
        <v>2373</v>
      </c>
      <c r="C304" s="3">
        <v>13.0</v>
      </c>
      <c r="D304" s="3" t="s">
        <v>820</v>
      </c>
      <c r="E304" s="3">
        <v>16.8</v>
      </c>
      <c r="F304" s="3">
        <v>-90.033333</v>
      </c>
      <c r="G304" s="3">
        <v>26.0</v>
      </c>
      <c r="H304" s="3">
        <v>3.0</v>
      </c>
      <c r="I304" s="3" t="s">
        <v>167</v>
      </c>
      <c r="J304" s="3">
        <v>564.0</v>
      </c>
      <c r="K304" s="3">
        <v>569.0</v>
      </c>
      <c r="L304" s="3" t="s">
        <v>133</v>
      </c>
      <c r="M304" s="3">
        <v>1.0</v>
      </c>
      <c r="N304" s="3" t="s">
        <v>121</v>
      </c>
      <c r="O304" s="3" t="s">
        <v>2374</v>
      </c>
      <c r="P304" s="3" t="s">
        <v>2378</v>
      </c>
      <c r="Q304" s="3">
        <v>2.0</v>
      </c>
      <c r="R304" s="3">
        <v>494.0</v>
      </c>
      <c r="S304" s="3">
        <v>57.480003</v>
      </c>
      <c r="T304" s="3">
        <v>12.625324</v>
      </c>
      <c r="U304" s="3" t="s">
        <v>2376</v>
      </c>
      <c r="V304" s="3">
        <v>0.0</v>
      </c>
      <c r="W304" s="3">
        <v>2162.0</v>
      </c>
      <c r="X304" s="3">
        <v>5673.0</v>
      </c>
      <c r="Y304" s="3">
        <v>49.0</v>
      </c>
      <c r="Z304" s="3">
        <v>180.0</v>
      </c>
      <c r="AA304" s="3">
        <v>319.0</v>
      </c>
      <c r="AB304" s="3">
        <v>878.0</v>
      </c>
      <c r="AC304" s="3">
        <v>248.0</v>
      </c>
    </row>
    <row r="305">
      <c r="A305" s="3">
        <v>303.0</v>
      </c>
      <c r="B305" s="3" t="s">
        <v>2373</v>
      </c>
      <c r="C305" s="3">
        <v>14.0</v>
      </c>
      <c r="D305" s="3" t="s">
        <v>821</v>
      </c>
      <c r="E305" s="3">
        <v>16.648694</v>
      </c>
      <c r="F305" s="3">
        <v>-89.750195</v>
      </c>
      <c r="G305" s="3">
        <v>26.0</v>
      </c>
      <c r="H305" s="3">
        <v>3.0</v>
      </c>
      <c r="I305" s="3" t="s">
        <v>167</v>
      </c>
      <c r="J305" s="3">
        <v>564.0</v>
      </c>
      <c r="K305" s="3">
        <v>569.0</v>
      </c>
      <c r="L305" s="3" t="s">
        <v>133</v>
      </c>
      <c r="M305" s="3">
        <v>1.0</v>
      </c>
      <c r="N305" s="3" t="s">
        <v>121</v>
      </c>
      <c r="O305" s="3" t="s">
        <v>2374</v>
      </c>
      <c r="P305" s="3" t="s">
        <v>2378</v>
      </c>
      <c r="Q305" s="3">
        <v>2.0</v>
      </c>
      <c r="R305" s="3">
        <v>494.0</v>
      </c>
      <c r="S305" s="3">
        <v>57.480003</v>
      </c>
      <c r="T305" s="3">
        <v>12.625324</v>
      </c>
      <c r="U305" s="3" t="s">
        <v>2376</v>
      </c>
      <c r="V305" s="3">
        <v>0.0</v>
      </c>
      <c r="W305" s="3">
        <v>2384.0</v>
      </c>
      <c r="X305" s="3">
        <v>5843.0</v>
      </c>
      <c r="Y305" s="3">
        <v>52.0</v>
      </c>
      <c r="Z305" s="3">
        <v>198.0</v>
      </c>
      <c r="AA305" s="3">
        <v>363.0</v>
      </c>
      <c r="AB305" s="3">
        <v>1014.0</v>
      </c>
      <c r="AC305" s="3">
        <v>150.0</v>
      </c>
    </row>
    <row r="306">
      <c r="A306" s="3">
        <v>304.0</v>
      </c>
      <c r="B306" s="3" t="s">
        <v>2373</v>
      </c>
      <c r="C306" s="3">
        <v>15.0</v>
      </c>
      <c r="D306" s="78" t="s">
        <v>836</v>
      </c>
      <c r="E306" s="3">
        <v>16.85</v>
      </c>
      <c r="F306" s="3">
        <v>-90.133333</v>
      </c>
      <c r="G306" s="3">
        <v>26.0</v>
      </c>
      <c r="H306" s="3">
        <v>3.0</v>
      </c>
      <c r="I306" s="3" t="s">
        <v>167</v>
      </c>
      <c r="J306" s="3">
        <v>564.0</v>
      </c>
      <c r="K306" s="3">
        <v>569.0</v>
      </c>
      <c r="L306" s="3" t="s">
        <v>133</v>
      </c>
      <c r="M306" s="3">
        <v>1.0</v>
      </c>
      <c r="N306" s="3" t="s">
        <v>121</v>
      </c>
      <c r="O306" s="3" t="s">
        <v>2374</v>
      </c>
      <c r="P306" s="3" t="s">
        <v>2378</v>
      </c>
      <c r="Q306" s="3">
        <v>2.0</v>
      </c>
      <c r="R306" s="3">
        <v>494.0</v>
      </c>
      <c r="S306" s="3">
        <v>57.480003</v>
      </c>
      <c r="T306" s="3">
        <v>12.625324</v>
      </c>
      <c r="U306" s="3" t="s">
        <v>2376</v>
      </c>
      <c r="V306" s="3">
        <v>0.0</v>
      </c>
      <c r="W306" s="3">
        <v>2170.0</v>
      </c>
      <c r="X306" s="3">
        <v>5759.0</v>
      </c>
      <c r="Y306" s="3">
        <v>50.0</v>
      </c>
      <c r="Z306" s="3">
        <v>177.0</v>
      </c>
      <c r="AA306" s="3">
        <v>330.0</v>
      </c>
      <c r="AB306" s="3">
        <v>883.0</v>
      </c>
      <c r="AC306" s="3">
        <v>188.0</v>
      </c>
    </row>
    <row r="307">
      <c r="A307" s="3">
        <v>305.0</v>
      </c>
      <c r="B307" s="3" t="s">
        <v>2373</v>
      </c>
      <c r="C307" s="3">
        <v>16.0</v>
      </c>
      <c r="D307" s="3" t="s">
        <v>841</v>
      </c>
      <c r="E307" s="3">
        <v>16.8</v>
      </c>
      <c r="F307" s="3">
        <v>-90.033333</v>
      </c>
      <c r="G307" s="3">
        <v>26.0</v>
      </c>
      <c r="H307" s="3">
        <v>3.0</v>
      </c>
      <c r="I307" s="3" t="s">
        <v>167</v>
      </c>
      <c r="J307" s="3">
        <v>564.0</v>
      </c>
      <c r="K307" s="3">
        <v>569.0</v>
      </c>
      <c r="L307" s="3" t="s">
        <v>133</v>
      </c>
      <c r="M307" s="3">
        <v>1.0</v>
      </c>
      <c r="N307" s="3" t="s">
        <v>121</v>
      </c>
      <c r="O307" s="3" t="s">
        <v>2374</v>
      </c>
      <c r="P307" s="3" t="s">
        <v>2378</v>
      </c>
      <c r="Q307" s="3">
        <v>2.0</v>
      </c>
      <c r="R307" s="3">
        <v>494.0</v>
      </c>
      <c r="S307" s="3">
        <v>57.480003</v>
      </c>
      <c r="T307" s="3">
        <v>12.625324</v>
      </c>
      <c r="U307" s="3" t="s">
        <v>2376</v>
      </c>
      <c r="V307" s="3">
        <v>0.0</v>
      </c>
      <c r="W307" s="3">
        <v>2162.0</v>
      </c>
      <c r="X307" s="3">
        <v>5673.0</v>
      </c>
      <c r="Y307" s="3">
        <v>49.0</v>
      </c>
      <c r="Z307" s="3">
        <v>180.0</v>
      </c>
      <c r="AA307" s="3">
        <v>319.0</v>
      </c>
      <c r="AB307" s="3">
        <v>878.0</v>
      </c>
      <c r="AC307" s="3">
        <v>248.0</v>
      </c>
    </row>
    <row r="308">
      <c r="A308" s="3">
        <v>306.0</v>
      </c>
      <c r="B308" s="3" t="s">
        <v>2373</v>
      </c>
      <c r="C308" s="3">
        <v>17.0</v>
      </c>
      <c r="D308" s="3" t="s">
        <v>842</v>
      </c>
      <c r="E308" s="3">
        <v>16.85</v>
      </c>
      <c r="F308" s="3">
        <v>-90.133333</v>
      </c>
      <c r="G308" s="3">
        <v>26.0</v>
      </c>
      <c r="H308" s="3">
        <v>3.0</v>
      </c>
      <c r="I308" s="3" t="s">
        <v>167</v>
      </c>
      <c r="J308" s="3">
        <v>564.0</v>
      </c>
      <c r="K308" s="3">
        <v>569.0</v>
      </c>
      <c r="L308" s="3" t="s">
        <v>133</v>
      </c>
      <c r="M308" s="3">
        <v>1.0</v>
      </c>
      <c r="N308" s="3" t="s">
        <v>121</v>
      </c>
      <c r="O308" s="3" t="s">
        <v>2374</v>
      </c>
      <c r="P308" s="3" t="s">
        <v>2378</v>
      </c>
      <c r="Q308" s="3">
        <v>2.0</v>
      </c>
      <c r="R308" s="3">
        <v>494.0</v>
      </c>
      <c r="S308" s="3">
        <v>57.480003</v>
      </c>
      <c r="T308" s="3">
        <v>12.625324</v>
      </c>
      <c r="U308" s="3" t="s">
        <v>2376</v>
      </c>
      <c r="V308" s="3">
        <v>0.0</v>
      </c>
      <c r="W308" s="3">
        <v>2170.0</v>
      </c>
      <c r="X308" s="3">
        <v>5759.0</v>
      </c>
      <c r="Y308" s="3">
        <v>50.0</v>
      </c>
      <c r="Z308" s="3">
        <v>177.0</v>
      </c>
      <c r="AA308" s="3">
        <v>330.0</v>
      </c>
      <c r="AB308" s="3">
        <v>883.0</v>
      </c>
      <c r="AC308" s="3">
        <v>188.0</v>
      </c>
    </row>
    <row r="309">
      <c r="A309" s="3">
        <v>307.0</v>
      </c>
      <c r="B309" s="3" t="s">
        <v>2373</v>
      </c>
      <c r="C309" s="3">
        <v>18.0</v>
      </c>
      <c r="D309" s="3" t="s">
        <v>845</v>
      </c>
      <c r="E309" s="3">
        <v>16.8</v>
      </c>
      <c r="F309" s="3">
        <v>-90.033333</v>
      </c>
      <c r="G309" s="3">
        <v>26.0</v>
      </c>
      <c r="H309" s="3">
        <v>3.0</v>
      </c>
      <c r="I309" s="3" t="s">
        <v>167</v>
      </c>
      <c r="J309" s="3">
        <v>564.0</v>
      </c>
      <c r="K309" s="3">
        <v>569.0</v>
      </c>
      <c r="L309" s="3" t="s">
        <v>133</v>
      </c>
      <c r="M309" s="3">
        <v>1.0</v>
      </c>
      <c r="N309" s="3" t="s">
        <v>121</v>
      </c>
      <c r="O309" s="3" t="s">
        <v>2374</v>
      </c>
      <c r="P309" s="3" t="s">
        <v>2378</v>
      </c>
      <c r="Q309" s="3">
        <v>2.0</v>
      </c>
      <c r="R309" s="3">
        <v>494.0</v>
      </c>
      <c r="S309" s="3">
        <v>57.480003</v>
      </c>
      <c r="T309" s="3">
        <v>12.625324</v>
      </c>
      <c r="U309" s="3" t="s">
        <v>2376</v>
      </c>
      <c r="V309" s="3">
        <v>0.0</v>
      </c>
      <c r="W309" s="3">
        <v>2162.0</v>
      </c>
      <c r="X309" s="3">
        <v>5673.0</v>
      </c>
      <c r="Y309" s="3">
        <v>49.0</v>
      </c>
      <c r="Z309" s="3">
        <v>180.0</v>
      </c>
      <c r="AA309" s="3">
        <v>319.0</v>
      </c>
      <c r="AB309" s="3">
        <v>878.0</v>
      </c>
      <c r="AC309" s="3">
        <v>248.0</v>
      </c>
    </row>
    <row r="310">
      <c r="A310" s="3">
        <v>308.0</v>
      </c>
      <c r="B310" s="3" t="s">
        <v>2373</v>
      </c>
      <c r="C310" s="3">
        <v>19.0</v>
      </c>
      <c r="D310" s="3" t="s">
        <v>846</v>
      </c>
      <c r="E310" s="3">
        <v>16.648694</v>
      </c>
      <c r="F310" s="3">
        <v>-89.750195</v>
      </c>
      <c r="G310" s="3">
        <v>26.0</v>
      </c>
      <c r="H310" s="3">
        <v>3.0</v>
      </c>
      <c r="I310" s="3" t="s">
        <v>167</v>
      </c>
      <c r="J310" s="3">
        <v>564.0</v>
      </c>
      <c r="K310" s="3">
        <v>569.0</v>
      </c>
      <c r="L310" s="3" t="s">
        <v>133</v>
      </c>
      <c r="M310" s="3">
        <v>1.0</v>
      </c>
      <c r="N310" s="3" t="s">
        <v>121</v>
      </c>
      <c r="O310" s="3" t="s">
        <v>2374</v>
      </c>
      <c r="P310" s="3" t="s">
        <v>2378</v>
      </c>
      <c r="Q310" s="3">
        <v>2.0</v>
      </c>
      <c r="R310" s="3">
        <v>494.0</v>
      </c>
      <c r="S310" s="3">
        <v>57.480003</v>
      </c>
      <c r="T310" s="3">
        <v>12.625324</v>
      </c>
      <c r="U310" s="3" t="s">
        <v>2376</v>
      </c>
      <c r="V310" s="3">
        <v>0.0</v>
      </c>
      <c r="W310" s="3">
        <v>2384.0</v>
      </c>
      <c r="X310" s="3">
        <v>5843.0</v>
      </c>
      <c r="Y310" s="3">
        <v>52.0</v>
      </c>
      <c r="Z310" s="3">
        <v>198.0</v>
      </c>
      <c r="AA310" s="3">
        <v>363.0</v>
      </c>
      <c r="AB310" s="3">
        <v>1014.0</v>
      </c>
      <c r="AC310" s="3">
        <v>150.0</v>
      </c>
    </row>
    <row r="311">
      <c r="A311" s="3">
        <v>309.0</v>
      </c>
      <c r="B311" s="3" t="s">
        <v>2373</v>
      </c>
      <c r="C311" s="3">
        <v>20.0</v>
      </c>
      <c r="D311" s="3" t="s">
        <v>848</v>
      </c>
      <c r="E311" s="3">
        <v>16.85</v>
      </c>
      <c r="F311" s="3">
        <v>-90.133333</v>
      </c>
      <c r="G311" s="3">
        <v>26.0</v>
      </c>
      <c r="H311" s="3">
        <v>3.0</v>
      </c>
      <c r="I311" s="3" t="s">
        <v>167</v>
      </c>
      <c r="J311" s="3">
        <v>564.0</v>
      </c>
      <c r="K311" s="3">
        <v>569.0</v>
      </c>
      <c r="L311" s="3" t="s">
        <v>133</v>
      </c>
      <c r="M311" s="3">
        <v>1.0</v>
      </c>
      <c r="N311" s="3" t="s">
        <v>121</v>
      </c>
      <c r="O311" s="3" t="s">
        <v>2374</v>
      </c>
      <c r="P311" s="3" t="s">
        <v>2378</v>
      </c>
      <c r="Q311" s="3">
        <v>2.0</v>
      </c>
      <c r="R311" s="3">
        <v>494.0</v>
      </c>
      <c r="S311" s="3">
        <v>57.480003</v>
      </c>
      <c r="T311" s="3">
        <v>12.625324</v>
      </c>
      <c r="U311" s="3" t="s">
        <v>2376</v>
      </c>
      <c r="V311" s="3">
        <v>0.0</v>
      </c>
      <c r="W311" s="3">
        <v>2170.0</v>
      </c>
      <c r="X311" s="3">
        <v>5759.0</v>
      </c>
      <c r="Y311" s="3">
        <v>50.0</v>
      </c>
      <c r="Z311" s="3">
        <v>177.0</v>
      </c>
      <c r="AA311" s="3">
        <v>330.0</v>
      </c>
      <c r="AB311" s="3">
        <v>883.0</v>
      </c>
      <c r="AC311" s="3">
        <v>188.0</v>
      </c>
    </row>
    <row r="312">
      <c r="A312" s="3">
        <v>310.0</v>
      </c>
      <c r="B312" s="3" t="s">
        <v>2373</v>
      </c>
      <c r="C312" s="3">
        <v>21.0</v>
      </c>
      <c r="D312" s="3" t="s">
        <v>849</v>
      </c>
      <c r="E312" s="3">
        <v>16.8</v>
      </c>
      <c r="F312" s="3">
        <v>-90.033333</v>
      </c>
      <c r="G312" s="3">
        <v>26.0</v>
      </c>
      <c r="H312" s="3">
        <v>3.0</v>
      </c>
      <c r="I312" s="3" t="s">
        <v>167</v>
      </c>
      <c r="J312" s="3">
        <v>564.0</v>
      </c>
      <c r="K312" s="3">
        <v>569.0</v>
      </c>
      <c r="L312" s="3" t="s">
        <v>133</v>
      </c>
      <c r="M312" s="3">
        <v>1.0</v>
      </c>
      <c r="N312" s="3" t="s">
        <v>121</v>
      </c>
      <c r="O312" s="3" t="s">
        <v>2374</v>
      </c>
      <c r="P312" s="3" t="s">
        <v>2378</v>
      </c>
      <c r="Q312" s="3">
        <v>2.0</v>
      </c>
      <c r="R312" s="3">
        <v>494.0</v>
      </c>
      <c r="S312" s="3">
        <v>57.480003</v>
      </c>
      <c r="T312" s="3">
        <v>12.625324</v>
      </c>
      <c r="U312" s="3" t="s">
        <v>2376</v>
      </c>
      <c r="V312" s="3">
        <v>0.0</v>
      </c>
      <c r="W312" s="3">
        <v>2162.0</v>
      </c>
      <c r="X312" s="3">
        <v>5673.0</v>
      </c>
      <c r="Y312" s="3">
        <v>49.0</v>
      </c>
      <c r="Z312" s="3">
        <v>180.0</v>
      </c>
      <c r="AA312" s="3">
        <v>319.0</v>
      </c>
      <c r="AB312" s="3">
        <v>878.0</v>
      </c>
      <c r="AC312" s="3">
        <v>248.0</v>
      </c>
    </row>
    <row r="313">
      <c r="A313" s="3">
        <v>311.0</v>
      </c>
      <c r="B313" s="3" t="s">
        <v>2373</v>
      </c>
      <c r="C313" s="3">
        <v>57.0</v>
      </c>
      <c r="D313" s="3" t="s">
        <v>1950</v>
      </c>
      <c r="E313" s="3">
        <v>16.916667</v>
      </c>
      <c r="F313" s="3">
        <v>-89.833333</v>
      </c>
      <c r="G313" s="3">
        <v>26.0</v>
      </c>
      <c r="H313" s="3">
        <v>3.0</v>
      </c>
      <c r="I313" s="3" t="s">
        <v>167</v>
      </c>
      <c r="J313" s="3">
        <v>564.0</v>
      </c>
      <c r="K313" s="3">
        <v>569.0</v>
      </c>
      <c r="L313" s="3" t="s">
        <v>133</v>
      </c>
      <c r="M313" s="3">
        <v>1.0</v>
      </c>
      <c r="N313" s="3" t="s">
        <v>121</v>
      </c>
      <c r="O313" s="3" t="s">
        <v>2374</v>
      </c>
      <c r="P313" s="3" t="s">
        <v>2378</v>
      </c>
      <c r="Q313" s="3">
        <v>2.0</v>
      </c>
      <c r="R313" s="3">
        <v>494.0</v>
      </c>
      <c r="S313" s="3">
        <v>57.480003</v>
      </c>
      <c r="T313" s="3">
        <v>12.625324</v>
      </c>
      <c r="U313" s="3" t="s">
        <v>2376</v>
      </c>
      <c r="V313" s="3">
        <v>0.0</v>
      </c>
      <c r="W313" s="3">
        <v>1738.0</v>
      </c>
      <c r="X313" s="3">
        <v>5677.0</v>
      </c>
      <c r="Y313" s="3">
        <v>36.0</v>
      </c>
      <c r="Z313" s="3">
        <v>144.0</v>
      </c>
      <c r="AA313" s="3">
        <v>255.0</v>
      </c>
      <c r="AB313" s="3">
        <v>690.0</v>
      </c>
      <c r="AC313" s="3">
        <v>131.0</v>
      </c>
    </row>
    <row r="314">
      <c r="A314" s="3">
        <v>312.0</v>
      </c>
      <c r="B314" s="3" t="s">
        <v>2373</v>
      </c>
      <c r="C314" s="3">
        <v>58.0</v>
      </c>
      <c r="D314" s="3" t="s">
        <v>1952</v>
      </c>
      <c r="E314" s="3">
        <v>16.916667</v>
      </c>
      <c r="F314" s="3">
        <v>-89.833333</v>
      </c>
      <c r="G314" s="3">
        <v>26.0</v>
      </c>
      <c r="H314" s="3">
        <v>3.0</v>
      </c>
      <c r="I314" s="3" t="s">
        <v>167</v>
      </c>
      <c r="J314" s="3">
        <v>564.0</v>
      </c>
      <c r="K314" s="3">
        <v>569.0</v>
      </c>
      <c r="L314" s="3" t="s">
        <v>133</v>
      </c>
      <c r="M314" s="3">
        <v>1.0</v>
      </c>
      <c r="N314" s="3" t="s">
        <v>121</v>
      </c>
      <c r="O314" s="3" t="s">
        <v>2374</v>
      </c>
      <c r="P314" s="3" t="s">
        <v>2378</v>
      </c>
      <c r="Q314" s="3">
        <v>2.0</v>
      </c>
      <c r="R314" s="3">
        <v>494.0</v>
      </c>
      <c r="S314" s="3">
        <v>57.480003</v>
      </c>
      <c r="T314" s="3">
        <v>12.625324</v>
      </c>
      <c r="U314" s="3" t="s">
        <v>2376</v>
      </c>
      <c r="V314" s="3">
        <v>0.0</v>
      </c>
      <c r="W314" s="3">
        <v>1738.0</v>
      </c>
      <c r="X314" s="3">
        <v>5677.0</v>
      </c>
      <c r="Y314" s="3">
        <v>36.0</v>
      </c>
      <c r="Z314" s="3">
        <v>144.0</v>
      </c>
      <c r="AA314" s="3">
        <v>255.0</v>
      </c>
      <c r="AB314" s="3">
        <v>690.0</v>
      </c>
      <c r="AC314" s="3">
        <v>131.0</v>
      </c>
    </row>
    <row r="315">
      <c r="A315" s="3">
        <v>313.0</v>
      </c>
      <c r="B315" s="3" t="s">
        <v>2373</v>
      </c>
      <c r="C315" s="3">
        <v>59.0</v>
      </c>
      <c r="D315" s="3" t="s">
        <v>1954</v>
      </c>
      <c r="E315" s="3">
        <v>16.916667</v>
      </c>
      <c r="F315" s="3">
        <v>-89.833333</v>
      </c>
      <c r="G315" s="3">
        <v>26.0</v>
      </c>
      <c r="H315" s="3">
        <v>3.0</v>
      </c>
      <c r="I315" s="3" t="s">
        <v>167</v>
      </c>
      <c r="J315" s="3">
        <v>564.0</v>
      </c>
      <c r="K315" s="3">
        <v>569.0</v>
      </c>
      <c r="L315" s="3" t="s">
        <v>133</v>
      </c>
      <c r="M315" s="3">
        <v>1.0</v>
      </c>
      <c r="N315" s="3" t="s">
        <v>121</v>
      </c>
      <c r="O315" s="3" t="s">
        <v>2374</v>
      </c>
      <c r="P315" s="3" t="s">
        <v>2378</v>
      </c>
      <c r="Q315" s="3">
        <v>2.0</v>
      </c>
      <c r="R315" s="3">
        <v>494.0</v>
      </c>
      <c r="S315" s="3">
        <v>57.480003</v>
      </c>
      <c r="T315" s="3">
        <v>12.625324</v>
      </c>
      <c r="U315" s="3" t="s">
        <v>2376</v>
      </c>
      <c r="V315" s="3">
        <v>0.0</v>
      </c>
      <c r="W315" s="3">
        <v>1738.0</v>
      </c>
      <c r="X315" s="3">
        <v>5677.0</v>
      </c>
      <c r="Y315" s="3">
        <v>36.0</v>
      </c>
      <c r="Z315" s="3">
        <v>144.0</v>
      </c>
      <c r="AA315" s="3">
        <v>255.0</v>
      </c>
      <c r="AB315" s="3">
        <v>690.0</v>
      </c>
      <c r="AC315" s="3">
        <v>131.0</v>
      </c>
    </row>
    <row r="316">
      <c r="A316" s="3">
        <v>314.0</v>
      </c>
      <c r="B316" s="3" t="s">
        <v>2373</v>
      </c>
      <c r="C316" s="3">
        <v>84.0</v>
      </c>
      <c r="D316" s="3" t="s">
        <v>856</v>
      </c>
      <c r="E316" s="3">
        <v>16.916667</v>
      </c>
      <c r="F316" s="3">
        <v>-89.833333</v>
      </c>
      <c r="G316" s="3">
        <v>26.0</v>
      </c>
      <c r="H316" s="3">
        <v>3.0</v>
      </c>
      <c r="I316" s="3" t="s">
        <v>167</v>
      </c>
      <c r="J316" s="3">
        <v>564.0</v>
      </c>
      <c r="K316" s="3">
        <v>569.0</v>
      </c>
      <c r="L316" s="3" t="s">
        <v>133</v>
      </c>
      <c r="M316" s="3">
        <v>1.0</v>
      </c>
      <c r="N316" s="3" t="s">
        <v>121</v>
      </c>
      <c r="O316" s="3" t="s">
        <v>2374</v>
      </c>
      <c r="P316" s="3" t="s">
        <v>2378</v>
      </c>
      <c r="Q316" s="3">
        <v>2.0</v>
      </c>
      <c r="R316" s="3">
        <v>494.0</v>
      </c>
      <c r="S316" s="3">
        <v>57.480003</v>
      </c>
      <c r="T316" s="3">
        <v>12.625324</v>
      </c>
      <c r="U316" s="3" t="s">
        <v>2376</v>
      </c>
      <c r="V316" s="3">
        <v>0.0</v>
      </c>
      <c r="W316" s="3">
        <v>1738.0</v>
      </c>
      <c r="X316" s="3">
        <v>5677.0</v>
      </c>
      <c r="Y316" s="3">
        <v>36.0</v>
      </c>
      <c r="Z316" s="3">
        <v>144.0</v>
      </c>
      <c r="AA316" s="3">
        <v>255.0</v>
      </c>
      <c r="AB316" s="3">
        <v>690.0</v>
      </c>
      <c r="AC316" s="3">
        <v>131.0</v>
      </c>
    </row>
    <row r="317">
      <c r="A317" s="3">
        <v>315.0</v>
      </c>
      <c r="B317" s="3" t="s">
        <v>2373</v>
      </c>
      <c r="C317" s="3">
        <v>85.0</v>
      </c>
      <c r="D317" s="3" t="s">
        <v>860</v>
      </c>
      <c r="E317" s="3">
        <v>16.916667</v>
      </c>
      <c r="F317" s="3">
        <v>-89.833333</v>
      </c>
      <c r="G317" s="3">
        <v>26.0</v>
      </c>
      <c r="H317" s="3">
        <v>3.0</v>
      </c>
      <c r="I317" s="3" t="s">
        <v>167</v>
      </c>
      <c r="J317" s="3">
        <v>564.0</v>
      </c>
      <c r="K317" s="3">
        <v>569.0</v>
      </c>
      <c r="L317" s="3" t="s">
        <v>133</v>
      </c>
      <c r="M317" s="3">
        <v>1.0</v>
      </c>
      <c r="N317" s="3" t="s">
        <v>121</v>
      </c>
      <c r="O317" s="3" t="s">
        <v>2374</v>
      </c>
      <c r="P317" s="3" t="s">
        <v>2378</v>
      </c>
      <c r="Q317" s="3">
        <v>2.0</v>
      </c>
      <c r="R317" s="3">
        <v>494.0</v>
      </c>
      <c r="S317" s="3">
        <v>57.480003</v>
      </c>
      <c r="T317" s="3">
        <v>12.625324</v>
      </c>
      <c r="U317" s="3" t="s">
        <v>2376</v>
      </c>
      <c r="V317" s="3">
        <v>0.0</v>
      </c>
      <c r="W317" s="3">
        <v>1738.0</v>
      </c>
      <c r="X317" s="3">
        <v>5677.0</v>
      </c>
      <c r="Y317" s="3">
        <v>36.0</v>
      </c>
      <c r="Z317" s="3">
        <v>144.0</v>
      </c>
      <c r="AA317" s="3">
        <v>255.0</v>
      </c>
      <c r="AB317" s="3">
        <v>690.0</v>
      </c>
      <c r="AC317" s="3">
        <v>131.0</v>
      </c>
    </row>
    <row r="318">
      <c r="A318" s="3">
        <v>316.0</v>
      </c>
      <c r="B318" s="3" t="s">
        <v>2373</v>
      </c>
      <c r="C318" s="3">
        <v>86.0</v>
      </c>
      <c r="D318" s="3" t="s">
        <v>862</v>
      </c>
      <c r="E318" s="3">
        <v>16.916667</v>
      </c>
      <c r="F318" s="3">
        <v>-89.833333</v>
      </c>
      <c r="G318" s="3">
        <v>26.0</v>
      </c>
      <c r="H318" s="3">
        <v>3.0</v>
      </c>
      <c r="I318" s="3" t="s">
        <v>167</v>
      </c>
      <c r="J318" s="3">
        <v>564.0</v>
      </c>
      <c r="K318" s="3">
        <v>569.0</v>
      </c>
      <c r="L318" s="3" t="s">
        <v>133</v>
      </c>
      <c r="M318" s="3">
        <v>1.0</v>
      </c>
      <c r="N318" s="3" t="s">
        <v>121</v>
      </c>
      <c r="O318" s="3" t="s">
        <v>2374</v>
      </c>
      <c r="P318" s="3" t="s">
        <v>2378</v>
      </c>
      <c r="Q318" s="3">
        <v>2.0</v>
      </c>
      <c r="R318" s="3">
        <v>494.0</v>
      </c>
      <c r="S318" s="3">
        <v>57.480003</v>
      </c>
      <c r="T318" s="3">
        <v>12.625324</v>
      </c>
      <c r="U318" s="3" t="s">
        <v>2376</v>
      </c>
      <c r="V318" s="3">
        <v>0.0</v>
      </c>
      <c r="W318" s="3">
        <v>1738.0</v>
      </c>
      <c r="X318" s="3">
        <v>5677.0</v>
      </c>
      <c r="Y318" s="3">
        <v>36.0</v>
      </c>
      <c r="Z318" s="3">
        <v>144.0</v>
      </c>
      <c r="AA318" s="3">
        <v>255.0</v>
      </c>
      <c r="AB318" s="3">
        <v>690.0</v>
      </c>
      <c r="AC318" s="3">
        <v>131.0</v>
      </c>
    </row>
    <row r="319">
      <c r="A319" s="3">
        <v>317.0</v>
      </c>
      <c r="B319" s="3" t="s">
        <v>2373</v>
      </c>
      <c r="C319" s="3">
        <v>87.0</v>
      </c>
      <c r="D319" s="3" t="s">
        <v>864</v>
      </c>
      <c r="E319" s="3">
        <v>16.916667</v>
      </c>
      <c r="F319" s="3">
        <v>-89.833333</v>
      </c>
      <c r="G319" s="3">
        <v>26.0</v>
      </c>
      <c r="H319" s="3">
        <v>3.0</v>
      </c>
      <c r="I319" s="3" t="s">
        <v>167</v>
      </c>
      <c r="J319" s="3">
        <v>564.0</v>
      </c>
      <c r="K319" s="3">
        <v>569.0</v>
      </c>
      <c r="L319" s="3" t="s">
        <v>133</v>
      </c>
      <c r="M319" s="3">
        <v>1.0</v>
      </c>
      <c r="N319" s="3" t="s">
        <v>121</v>
      </c>
      <c r="O319" s="3" t="s">
        <v>2374</v>
      </c>
      <c r="P319" s="3" t="s">
        <v>2378</v>
      </c>
      <c r="Q319" s="3">
        <v>2.0</v>
      </c>
      <c r="R319" s="3">
        <v>494.0</v>
      </c>
      <c r="S319" s="3">
        <v>57.480003</v>
      </c>
      <c r="T319" s="3">
        <v>12.625324</v>
      </c>
      <c r="U319" s="3" t="s">
        <v>2376</v>
      </c>
      <c r="V319" s="3">
        <v>0.0</v>
      </c>
      <c r="W319" s="3">
        <v>1738.0</v>
      </c>
      <c r="X319" s="3">
        <v>5677.0</v>
      </c>
      <c r="Y319" s="3">
        <v>36.0</v>
      </c>
      <c r="Z319" s="3">
        <v>144.0</v>
      </c>
      <c r="AA319" s="3">
        <v>255.0</v>
      </c>
      <c r="AB319" s="3">
        <v>690.0</v>
      </c>
      <c r="AC319" s="3">
        <v>131.0</v>
      </c>
    </row>
    <row r="320">
      <c r="A320" s="3">
        <v>318.0</v>
      </c>
      <c r="B320" s="3" t="s">
        <v>2373</v>
      </c>
      <c r="C320" s="3">
        <v>88.0</v>
      </c>
      <c r="D320" s="3" t="s">
        <v>866</v>
      </c>
      <c r="E320" s="3">
        <v>16.916667</v>
      </c>
      <c r="F320" s="3">
        <v>-89.833333</v>
      </c>
      <c r="G320" s="3">
        <v>26.0</v>
      </c>
      <c r="H320" s="3">
        <v>3.0</v>
      </c>
      <c r="I320" s="3" t="s">
        <v>167</v>
      </c>
      <c r="J320" s="3">
        <v>564.0</v>
      </c>
      <c r="K320" s="3">
        <v>569.0</v>
      </c>
      <c r="L320" s="3" t="s">
        <v>133</v>
      </c>
      <c r="M320" s="3">
        <v>1.0</v>
      </c>
      <c r="N320" s="3" t="s">
        <v>121</v>
      </c>
      <c r="O320" s="3" t="s">
        <v>2374</v>
      </c>
      <c r="P320" s="3" t="s">
        <v>2378</v>
      </c>
      <c r="Q320" s="3">
        <v>2.0</v>
      </c>
      <c r="R320" s="3">
        <v>494.0</v>
      </c>
      <c r="S320" s="3">
        <v>57.480003</v>
      </c>
      <c r="T320" s="3">
        <v>12.625324</v>
      </c>
      <c r="U320" s="3" t="s">
        <v>2376</v>
      </c>
      <c r="V320" s="3">
        <v>0.0</v>
      </c>
      <c r="W320" s="3">
        <v>1738.0</v>
      </c>
      <c r="X320" s="3">
        <v>5677.0</v>
      </c>
      <c r="Y320" s="3">
        <v>36.0</v>
      </c>
      <c r="Z320" s="3">
        <v>144.0</v>
      </c>
      <c r="AA320" s="3">
        <v>255.0</v>
      </c>
      <c r="AB320" s="3">
        <v>690.0</v>
      </c>
      <c r="AC320" s="3">
        <v>131.0</v>
      </c>
    </row>
    <row r="321">
      <c r="A321" s="3">
        <v>319.0</v>
      </c>
      <c r="B321" s="3" t="s">
        <v>2373</v>
      </c>
      <c r="C321" s="3">
        <v>89.0</v>
      </c>
      <c r="D321" s="78" t="s">
        <v>868</v>
      </c>
      <c r="E321" s="3">
        <v>16.916667</v>
      </c>
      <c r="F321" s="3">
        <v>-89.833333</v>
      </c>
      <c r="G321" s="3">
        <v>26.0</v>
      </c>
      <c r="H321" s="3">
        <v>3.0</v>
      </c>
      <c r="I321" s="3" t="s">
        <v>167</v>
      </c>
      <c r="J321" s="3">
        <v>564.0</v>
      </c>
      <c r="K321" s="3">
        <v>569.0</v>
      </c>
      <c r="L321" s="3" t="s">
        <v>133</v>
      </c>
      <c r="M321" s="3">
        <v>1.0</v>
      </c>
      <c r="N321" s="3" t="s">
        <v>121</v>
      </c>
      <c r="O321" s="3" t="s">
        <v>2374</v>
      </c>
      <c r="P321" s="3" t="s">
        <v>2378</v>
      </c>
      <c r="Q321" s="3">
        <v>2.0</v>
      </c>
      <c r="R321" s="3">
        <v>494.0</v>
      </c>
      <c r="S321" s="3">
        <v>57.480003</v>
      </c>
      <c r="T321" s="3">
        <v>12.625324</v>
      </c>
      <c r="U321" s="3" t="s">
        <v>2376</v>
      </c>
      <c r="V321" s="3">
        <v>0.0</v>
      </c>
      <c r="W321" s="3">
        <v>1738.0</v>
      </c>
      <c r="X321" s="3">
        <v>5677.0</v>
      </c>
      <c r="Y321" s="3">
        <v>36.0</v>
      </c>
      <c r="Z321" s="3">
        <v>144.0</v>
      </c>
      <c r="AA321" s="3">
        <v>255.0</v>
      </c>
      <c r="AB321" s="3">
        <v>690.0</v>
      </c>
      <c r="AC321" s="3">
        <v>131.0</v>
      </c>
    </row>
    <row r="322">
      <c r="A322" s="3">
        <v>320.0</v>
      </c>
      <c r="B322" s="3" t="s">
        <v>2373</v>
      </c>
      <c r="C322" s="3">
        <v>90.0</v>
      </c>
      <c r="D322" s="3" t="s">
        <v>869</v>
      </c>
      <c r="E322" s="3">
        <v>16.916667</v>
      </c>
      <c r="F322" s="3">
        <v>-89.833333</v>
      </c>
      <c r="G322" s="3">
        <v>26.0</v>
      </c>
      <c r="H322" s="3">
        <v>3.0</v>
      </c>
      <c r="I322" s="3" t="s">
        <v>167</v>
      </c>
      <c r="J322" s="3">
        <v>564.0</v>
      </c>
      <c r="K322" s="3">
        <v>569.0</v>
      </c>
      <c r="L322" s="3" t="s">
        <v>133</v>
      </c>
      <c r="M322" s="3">
        <v>1.0</v>
      </c>
      <c r="N322" s="3" t="s">
        <v>121</v>
      </c>
      <c r="O322" s="3" t="s">
        <v>2374</v>
      </c>
      <c r="P322" s="3" t="s">
        <v>2378</v>
      </c>
      <c r="Q322" s="3">
        <v>2.0</v>
      </c>
      <c r="R322" s="3">
        <v>494.0</v>
      </c>
      <c r="S322" s="3">
        <v>57.480003</v>
      </c>
      <c r="T322" s="3">
        <v>12.625324</v>
      </c>
      <c r="U322" s="3" t="s">
        <v>2376</v>
      </c>
      <c r="V322" s="3">
        <v>0.0</v>
      </c>
      <c r="W322" s="3">
        <v>1738.0</v>
      </c>
      <c r="X322" s="3">
        <v>5677.0</v>
      </c>
      <c r="Y322" s="3">
        <v>36.0</v>
      </c>
      <c r="Z322" s="3">
        <v>144.0</v>
      </c>
      <c r="AA322" s="3">
        <v>255.0</v>
      </c>
      <c r="AB322" s="3">
        <v>690.0</v>
      </c>
      <c r="AC322" s="3">
        <v>131.0</v>
      </c>
    </row>
    <row r="323">
      <c r="A323" s="3">
        <v>321.0</v>
      </c>
      <c r="B323" s="3" t="s">
        <v>2373</v>
      </c>
      <c r="C323" s="3">
        <v>91.0</v>
      </c>
      <c r="D323" s="3" t="s">
        <v>870</v>
      </c>
      <c r="E323" s="3">
        <v>16.916667</v>
      </c>
      <c r="F323" s="3">
        <v>-89.833333</v>
      </c>
      <c r="G323" s="3">
        <v>26.0</v>
      </c>
      <c r="H323" s="3">
        <v>3.0</v>
      </c>
      <c r="I323" s="3" t="s">
        <v>167</v>
      </c>
      <c r="J323" s="3">
        <v>564.0</v>
      </c>
      <c r="K323" s="3">
        <v>569.0</v>
      </c>
      <c r="L323" s="3" t="s">
        <v>133</v>
      </c>
      <c r="M323" s="3">
        <v>1.0</v>
      </c>
      <c r="N323" s="3" t="s">
        <v>121</v>
      </c>
      <c r="O323" s="3" t="s">
        <v>2374</v>
      </c>
      <c r="P323" s="3" t="s">
        <v>2378</v>
      </c>
      <c r="Q323" s="3">
        <v>2.0</v>
      </c>
      <c r="R323" s="3">
        <v>494.0</v>
      </c>
      <c r="S323" s="3">
        <v>57.480003</v>
      </c>
      <c r="T323" s="3">
        <v>12.625324</v>
      </c>
      <c r="U323" s="3" t="s">
        <v>2376</v>
      </c>
      <c r="V323" s="3">
        <v>0.0</v>
      </c>
      <c r="W323" s="3">
        <v>1738.0</v>
      </c>
      <c r="X323" s="3">
        <v>5677.0</v>
      </c>
      <c r="Y323" s="3">
        <v>36.0</v>
      </c>
      <c r="Z323" s="3">
        <v>144.0</v>
      </c>
      <c r="AA323" s="3">
        <v>255.0</v>
      </c>
      <c r="AB323" s="3">
        <v>690.0</v>
      </c>
      <c r="AC323" s="3">
        <v>131.0</v>
      </c>
    </row>
    <row r="324">
      <c r="A324" s="3">
        <v>322.0</v>
      </c>
      <c r="B324" s="3" t="s">
        <v>2373</v>
      </c>
      <c r="C324" s="3">
        <v>109.0</v>
      </c>
      <c r="D324" s="3" t="s">
        <v>635</v>
      </c>
      <c r="E324" s="3">
        <v>16.2</v>
      </c>
      <c r="F324" s="3">
        <v>-90.1</v>
      </c>
      <c r="G324" s="3">
        <v>26.0</v>
      </c>
      <c r="H324" s="3">
        <v>3.0</v>
      </c>
      <c r="I324" s="3" t="s">
        <v>167</v>
      </c>
      <c r="J324" s="3">
        <v>564.0</v>
      </c>
      <c r="K324" s="3">
        <v>569.0</v>
      </c>
      <c r="L324" s="3" t="s">
        <v>133</v>
      </c>
      <c r="M324" s="3">
        <v>1.0</v>
      </c>
      <c r="N324" s="3" t="s">
        <v>121</v>
      </c>
      <c r="O324" s="3" t="s">
        <v>2374</v>
      </c>
      <c r="P324" s="3" t="s">
        <v>2378</v>
      </c>
      <c r="Q324" s="3">
        <v>2.0</v>
      </c>
      <c r="R324" s="3">
        <v>494.0</v>
      </c>
      <c r="S324" s="3">
        <v>57.480003</v>
      </c>
      <c r="T324" s="3">
        <v>12.625324</v>
      </c>
      <c r="U324" s="3" t="s">
        <v>2376</v>
      </c>
      <c r="V324" s="3">
        <v>0.0</v>
      </c>
      <c r="W324" s="3">
        <v>3418.0</v>
      </c>
      <c r="X324" s="3">
        <v>5582.0</v>
      </c>
      <c r="Y324" s="3">
        <v>86.0</v>
      </c>
      <c r="Z324" s="3">
        <v>311.0</v>
      </c>
      <c r="AA324" s="3">
        <v>515.0</v>
      </c>
      <c r="AB324" s="3">
        <v>1440.0</v>
      </c>
      <c r="AC324" s="3">
        <v>136.0</v>
      </c>
    </row>
    <row r="325">
      <c r="A325" s="3">
        <v>323.0</v>
      </c>
      <c r="B325" s="3" t="s">
        <v>2373</v>
      </c>
      <c r="C325" s="3">
        <v>110.0</v>
      </c>
      <c r="D325" s="3" t="s">
        <v>1142</v>
      </c>
      <c r="E325" s="3">
        <v>16.2</v>
      </c>
      <c r="F325" s="3">
        <v>-90.1</v>
      </c>
      <c r="G325" s="3">
        <v>26.0</v>
      </c>
      <c r="H325" s="3">
        <v>3.0</v>
      </c>
      <c r="I325" s="3" t="s">
        <v>167</v>
      </c>
      <c r="J325" s="3">
        <v>564.0</v>
      </c>
      <c r="K325" s="3">
        <v>569.0</v>
      </c>
      <c r="L325" s="3" t="s">
        <v>133</v>
      </c>
      <c r="M325" s="3">
        <v>1.0</v>
      </c>
      <c r="N325" s="3" t="s">
        <v>121</v>
      </c>
      <c r="O325" s="3" t="s">
        <v>2374</v>
      </c>
      <c r="P325" s="3" t="s">
        <v>2378</v>
      </c>
      <c r="Q325" s="3">
        <v>2.0</v>
      </c>
      <c r="R325" s="3">
        <v>494.0</v>
      </c>
      <c r="S325" s="3">
        <v>57.480003</v>
      </c>
      <c r="T325" s="3">
        <v>12.625324</v>
      </c>
      <c r="U325" s="3" t="s">
        <v>2376</v>
      </c>
      <c r="V325" s="3">
        <v>0.0</v>
      </c>
      <c r="W325" s="3">
        <v>3418.0</v>
      </c>
      <c r="X325" s="3">
        <v>5582.0</v>
      </c>
      <c r="Y325" s="3">
        <v>86.0</v>
      </c>
      <c r="Z325" s="3">
        <v>311.0</v>
      </c>
      <c r="AA325" s="3">
        <v>515.0</v>
      </c>
      <c r="AB325" s="3">
        <v>1440.0</v>
      </c>
      <c r="AC325" s="3">
        <v>136.0</v>
      </c>
    </row>
    <row r="326">
      <c r="A326" s="3">
        <v>324.0</v>
      </c>
      <c r="B326" s="3" t="s">
        <v>2373</v>
      </c>
      <c r="C326" s="3">
        <v>111.0</v>
      </c>
      <c r="D326" s="3" t="s">
        <v>1144</v>
      </c>
      <c r="E326" s="3">
        <v>16.2</v>
      </c>
      <c r="F326" s="3">
        <v>-90.1</v>
      </c>
      <c r="G326" s="3">
        <v>26.0</v>
      </c>
      <c r="H326" s="3">
        <v>3.0</v>
      </c>
      <c r="I326" s="3" t="s">
        <v>167</v>
      </c>
      <c r="J326" s="3">
        <v>564.0</v>
      </c>
      <c r="K326" s="3">
        <v>569.0</v>
      </c>
      <c r="L326" s="3" t="s">
        <v>133</v>
      </c>
      <c r="M326" s="3">
        <v>1.0</v>
      </c>
      <c r="N326" s="3" t="s">
        <v>121</v>
      </c>
      <c r="O326" s="3" t="s">
        <v>2374</v>
      </c>
      <c r="P326" s="3" t="s">
        <v>2378</v>
      </c>
      <c r="Q326" s="3">
        <v>2.0</v>
      </c>
      <c r="R326" s="3">
        <v>494.0</v>
      </c>
      <c r="S326" s="3">
        <v>57.480003</v>
      </c>
      <c r="T326" s="3">
        <v>12.625324</v>
      </c>
      <c r="U326" s="3" t="s">
        <v>2376</v>
      </c>
      <c r="V326" s="3">
        <v>0.0</v>
      </c>
      <c r="W326" s="3">
        <v>3418.0</v>
      </c>
      <c r="X326" s="3">
        <v>5582.0</v>
      </c>
      <c r="Y326" s="3">
        <v>86.0</v>
      </c>
      <c r="Z326" s="3">
        <v>311.0</v>
      </c>
      <c r="AA326" s="3">
        <v>515.0</v>
      </c>
      <c r="AB326" s="3">
        <v>1440.0</v>
      </c>
      <c r="AC326" s="3">
        <v>136.0</v>
      </c>
    </row>
    <row r="327">
      <c r="A327" s="3">
        <v>325.0</v>
      </c>
      <c r="B327" s="3" t="s">
        <v>2373</v>
      </c>
      <c r="C327" s="3">
        <v>112.0</v>
      </c>
      <c r="D327" s="3" t="s">
        <v>1146</v>
      </c>
      <c r="E327" s="3">
        <v>16.2</v>
      </c>
      <c r="F327" s="3">
        <v>-90.1</v>
      </c>
      <c r="G327" s="3">
        <v>26.0</v>
      </c>
      <c r="H327" s="3">
        <v>3.0</v>
      </c>
      <c r="I327" s="3" t="s">
        <v>167</v>
      </c>
      <c r="J327" s="3">
        <v>564.0</v>
      </c>
      <c r="K327" s="3">
        <v>569.0</v>
      </c>
      <c r="L327" s="3" t="s">
        <v>133</v>
      </c>
      <c r="M327" s="3">
        <v>1.0</v>
      </c>
      <c r="N327" s="3" t="s">
        <v>121</v>
      </c>
      <c r="O327" s="3" t="s">
        <v>2374</v>
      </c>
      <c r="P327" s="3" t="s">
        <v>2378</v>
      </c>
      <c r="Q327" s="3">
        <v>2.0</v>
      </c>
      <c r="R327" s="3">
        <v>494.0</v>
      </c>
      <c r="S327" s="3">
        <v>57.480003</v>
      </c>
      <c r="T327" s="3">
        <v>12.625324</v>
      </c>
      <c r="U327" s="3" t="s">
        <v>2376</v>
      </c>
      <c r="V327" s="3">
        <v>0.0</v>
      </c>
      <c r="W327" s="3">
        <v>3418.0</v>
      </c>
      <c r="X327" s="3">
        <v>5582.0</v>
      </c>
      <c r="Y327" s="3">
        <v>86.0</v>
      </c>
      <c r="Z327" s="3">
        <v>311.0</v>
      </c>
      <c r="AA327" s="3">
        <v>515.0</v>
      </c>
      <c r="AB327" s="3">
        <v>1440.0</v>
      </c>
      <c r="AC327" s="3">
        <v>136.0</v>
      </c>
    </row>
    <row r="328">
      <c r="A328" s="3">
        <v>326.0</v>
      </c>
      <c r="B328" s="3" t="s">
        <v>2373</v>
      </c>
      <c r="C328" s="3">
        <v>113.0</v>
      </c>
      <c r="D328" s="3" t="s">
        <v>646</v>
      </c>
      <c r="E328" s="3">
        <v>16.2</v>
      </c>
      <c r="F328" s="3">
        <v>-90.1</v>
      </c>
      <c r="G328" s="3">
        <v>26.0</v>
      </c>
      <c r="H328" s="3">
        <v>3.0</v>
      </c>
      <c r="I328" s="3" t="s">
        <v>167</v>
      </c>
      <c r="J328" s="3">
        <v>564.0</v>
      </c>
      <c r="K328" s="3">
        <v>569.0</v>
      </c>
      <c r="L328" s="3" t="s">
        <v>133</v>
      </c>
      <c r="M328" s="3">
        <v>1.0</v>
      </c>
      <c r="N328" s="3" t="s">
        <v>121</v>
      </c>
      <c r="O328" s="3" t="s">
        <v>2374</v>
      </c>
      <c r="P328" s="3" t="s">
        <v>2378</v>
      </c>
      <c r="Q328" s="3">
        <v>2.0</v>
      </c>
      <c r="R328" s="3">
        <v>494.0</v>
      </c>
      <c r="S328" s="3">
        <v>57.480003</v>
      </c>
      <c r="T328" s="3">
        <v>12.625324</v>
      </c>
      <c r="U328" s="3" t="s">
        <v>2376</v>
      </c>
      <c r="V328" s="3">
        <v>0.0</v>
      </c>
      <c r="W328" s="3">
        <v>3418.0</v>
      </c>
      <c r="X328" s="3">
        <v>5582.0</v>
      </c>
      <c r="Y328" s="3">
        <v>86.0</v>
      </c>
      <c r="Z328" s="3">
        <v>311.0</v>
      </c>
      <c r="AA328" s="3">
        <v>515.0</v>
      </c>
      <c r="AB328" s="3">
        <v>1440.0</v>
      </c>
      <c r="AC328" s="3">
        <v>136.0</v>
      </c>
    </row>
    <row r="329">
      <c r="A329" s="3">
        <v>327.0</v>
      </c>
      <c r="B329" s="3" t="s">
        <v>2373</v>
      </c>
      <c r="C329" s="3">
        <v>114.0</v>
      </c>
      <c r="D329" s="78" t="s">
        <v>1148</v>
      </c>
      <c r="E329" s="3">
        <v>16.2</v>
      </c>
      <c r="F329" s="3">
        <v>-90.1</v>
      </c>
      <c r="G329" s="3">
        <v>26.0</v>
      </c>
      <c r="H329" s="3">
        <v>3.0</v>
      </c>
      <c r="I329" s="3" t="s">
        <v>167</v>
      </c>
      <c r="J329" s="3">
        <v>564.0</v>
      </c>
      <c r="K329" s="3">
        <v>569.0</v>
      </c>
      <c r="L329" s="3" t="s">
        <v>133</v>
      </c>
      <c r="M329" s="3">
        <v>1.0</v>
      </c>
      <c r="N329" s="3" t="s">
        <v>121</v>
      </c>
      <c r="O329" s="3" t="s">
        <v>2374</v>
      </c>
      <c r="P329" s="3" t="s">
        <v>2378</v>
      </c>
      <c r="Q329" s="3">
        <v>2.0</v>
      </c>
      <c r="R329" s="3">
        <v>494.0</v>
      </c>
      <c r="S329" s="3">
        <v>57.480003</v>
      </c>
      <c r="T329" s="3">
        <v>12.625324</v>
      </c>
      <c r="U329" s="3" t="s">
        <v>2376</v>
      </c>
      <c r="V329" s="3">
        <v>0.0</v>
      </c>
      <c r="W329" s="3">
        <v>3418.0</v>
      </c>
      <c r="X329" s="3">
        <v>5582.0</v>
      </c>
      <c r="Y329" s="3">
        <v>86.0</v>
      </c>
      <c r="Z329" s="3">
        <v>311.0</v>
      </c>
      <c r="AA329" s="3">
        <v>515.0</v>
      </c>
      <c r="AB329" s="3">
        <v>1440.0</v>
      </c>
      <c r="AC329" s="3">
        <v>136.0</v>
      </c>
    </row>
    <row r="330">
      <c r="A330" s="3">
        <v>328.0</v>
      </c>
      <c r="B330" s="3" t="s">
        <v>2373</v>
      </c>
      <c r="C330" s="3">
        <v>115.0</v>
      </c>
      <c r="D330" s="3" t="s">
        <v>1149</v>
      </c>
      <c r="E330" s="3">
        <v>16.2</v>
      </c>
      <c r="F330" s="3">
        <v>-90.1</v>
      </c>
      <c r="G330" s="3">
        <v>26.0</v>
      </c>
      <c r="H330" s="3">
        <v>3.0</v>
      </c>
      <c r="I330" s="3" t="s">
        <v>167</v>
      </c>
      <c r="J330" s="3">
        <v>564.0</v>
      </c>
      <c r="K330" s="3">
        <v>569.0</v>
      </c>
      <c r="L330" s="3" t="s">
        <v>133</v>
      </c>
      <c r="M330" s="3">
        <v>1.0</v>
      </c>
      <c r="N330" s="3" t="s">
        <v>121</v>
      </c>
      <c r="O330" s="3" t="s">
        <v>2374</v>
      </c>
      <c r="P330" s="3" t="s">
        <v>2378</v>
      </c>
      <c r="Q330" s="3">
        <v>2.0</v>
      </c>
      <c r="R330" s="3">
        <v>494.0</v>
      </c>
      <c r="S330" s="3">
        <v>57.480003</v>
      </c>
      <c r="T330" s="3">
        <v>12.625324</v>
      </c>
      <c r="U330" s="3" t="s">
        <v>2376</v>
      </c>
      <c r="V330" s="3">
        <v>0.0</v>
      </c>
      <c r="W330" s="3">
        <v>3418.0</v>
      </c>
      <c r="X330" s="3">
        <v>5582.0</v>
      </c>
      <c r="Y330" s="3">
        <v>86.0</v>
      </c>
      <c r="Z330" s="3">
        <v>311.0</v>
      </c>
      <c r="AA330" s="3">
        <v>515.0</v>
      </c>
      <c r="AB330" s="3">
        <v>1440.0</v>
      </c>
      <c r="AC330" s="3">
        <v>136.0</v>
      </c>
    </row>
    <row r="331">
      <c r="A331" s="3">
        <v>329.0</v>
      </c>
      <c r="B331" s="3" t="s">
        <v>2373</v>
      </c>
      <c r="C331" s="3">
        <v>116.0</v>
      </c>
      <c r="D331" s="3" t="s">
        <v>1152</v>
      </c>
      <c r="E331" s="3">
        <v>16.2</v>
      </c>
      <c r="F331" s="3">
        <v>-90.1</v>
      </c>
      <c r="G331" s="3">
        <v>26.0</v>
      </c>
      <c r="H331" s="3">
        <v>3.0</v>
      </c>
      <c r="I331" s="3" t="s">
        <v>167</v>
      </c>
      <c r="J331" s="3">
        <v>564.0</v>
      </c>
      <c r="K331" s="3">
        <v>569.0</v>
      </c>
      <c r="L331" s="3" t="s">
        <v>133</v>
      </c>
      <c r="M331" s="3">
        <v>1.0</v>
      </c>
      <c r="N331" s="3" t="s">
        <v>121</v>
      </c>
      <c r="O331" s="3" t="s">
        <v>2374</v>
      </c>
      <c r="P331" s="3" t="s">
        <v>2378</v>
      </c>
      <c r="Q331" s="3">
        <v>2.0</v>
      </c>
      <c r="R331" s="3">
        <v>494.0</v>
      </c>
      <c r="S331" s="3">
        <v>57.480003</v>
      </c>
      <c r="T331" s="3">
        <v>12.625324</v>
      </c>
      <c r="U331" s="3" t="s">
        <v>2376</v>
      </c>
      <c r="V331" s="3">
        <v>0.0</v>
      </c>
      <c r="W331" s="3">
        <v>3418.0</v>
      </c>
      <c r="X331" s="3">
        <v>5582.0</v>
      </c>
      <c r="Y331" s="3">
        <v>86.0</v>
      </c>
      <c r="Z331" s="3">
        <v>311.0</v>
      </c>
      <c r="AA331" s="3">
        <v>515.0</v>
      </c>
      <c r="AB331" s="3">
        <v>1440.0</v>
      </c>
      <c r="AC331" s="3">
        <v>136.0</v>
      </c>
    </row>
    <row r="332">
      <c r="A332" s="3">
        <v>330.0</v>
      </c>
      <c r="B332" s="3" t="s">
        <v>2373</v>
      </c>
      <c r="C332" s="3">
        <v>137.0</v>
      </c>
      <c r="D332" s="3" t="s">
        <v>1556</v>
      </c>
      <c r="E332" s="3">
        <v>16.98567</v>
      </c>
      <c r="F332" s="3">
        <v>-89.674358</v>
      </c>
      <c r="G332" s="3">
        <v>26.0</v>
      </c>
      <c r="H332" s="3">
        <v>3.0</v>
      </c>
      <c r="I332" s="3" t="s">
        <v>167</v>
      </c>
      <c r="J332" s="3">
        <v>564.0</v>
      </c>
      <c r="K332" s="3">
        <v>569.0</v>
      </c>
      <c r="L332" s="3" t="s">
        <v>133</v>
      </c>
      <c r="M332" s="3">
        <v>1.0</v>
      </c>
      <c r="N332" s="3" t="s">
        <v>121</v>
      </c>
      <c r="O332" s="3" t="s">
        <v>2374</v>
      </c>
      <c r="P332" s="3" t="s">
        <v>2378</v>
      </c>
      <c r="Q332" s="3">
        <v>2.0</v>
      </c>
      <c r="R332" s="3">
        <v>494.0</v>
      </c>
      <c r="S332" s="3">
        <v>57.480003</v>
      </c>
      <c r="T332" s="3">
        <v>12.625324</v>
      </c>
      <c r="U332" s="3" t="s">
        <v>2376</v>
      </c>
      <c r="V332" s="3">
        <v>0.0</v>
      </c>
      <c r="W332" s="3">
        <v>1757.0</v>
      </c>
      <c r="X332" s="3">
        <v>5662.0</v>
      </c>
      <c r="Y332" s="3">
        <v>37.0</v>
      </c>
      <c r="Z332" s="3">
        <v>141.0</v>
      </c>
      <c r="AA332" s="3">
        <v>251.0</v>
      </c>
      <c r="AB332" s="3">
        <v>704.0</v>
      </c>
      <c r="AC332" s="3">
        <v>118.0</v>
      </c>
    </row>
    <row r="333">
      <c r="A333" s="3">
        <v>331.0</v>
      </c>
      <c r="B333" s="3" t="s">
        <v>2373</v>
      </c>
      <c r="C333" s="3">
        <v>138.0</v>
      </c>
      <c r="D333" s="3" t="s">
        <v>1560</v>
      </c>
      <c r="E333" s="3">
        <v>16.98567</v>
      </c>
      <c r="F333" s="3">
        <v>-89.674358</v>
      </c>
      <c r="G333" s="3">
        <v>26.0</v>
      </c>
      <c r="H333" s="3">
        <v>3.0</v>
      </c>
      <c r="I333" s="3" t="s">
        <v>167</v>
      </c>
      <c r="J333" s="3">
        <v>564.0</v>
      </c>
      <c r="K333" s="3">
        <v>569.0</v>
      </c>
      <c r="L333" s="3" t="s">
        <v>133</v>
      </c>
      <c r="M333" s="3">
        <v>1.0</v>
      </c>
      <c r="N333" s="3" t="s">
        <v>121</v>
      </c>
      <c r="O333" s="3" t="s">
        <v>2374</v>
      </c>
      <c r="P333" s="3" t="s">
        <v>2378</v>
      </c>
      <c r="Q333" s="3">
        <v>2.0</v>
      </c>
      <c r="R333" s="3">
        <v>494.0</v>
      </c>
      <c r="S333" s="3">
        <v>57.480003</v>
      </c>
      <c r="T333" s="3">
        <v>12.625324</v>
      </c>
      <c r="U333" s="3" t="s">
        <v>2376</v>
      </c>
      <c r="V333" s="3">
        <v>0.0</v>
      </c>
      <c r="W333" s="3">
        <v>1757.0</v>
      </c>
      <c r="X333" s="3">
        <v>5662.0</v>
      </c>
      <c r="Y333" s="3">
        <v>37.0</v>
      </c>
      <c r="Z333" s="3">
        <v>141.0</v>
      </c>
      <c r="AA333" s="3">
        <v>251.0</v>
      </c>
      <c r="AB333" s="3">
        <v>704.0</v>
      </c>
      <c r="AC333" s="3">
        <v>118.0</v>
      </c>
    </row>
    <row r="334">
      <c r="A334" s="3">
        <v>332.0</v>
      </c>
      <c r="B334" s="3" t="s">
        <v>2373</v>
      </c>
      <c r="C334" s="3">
        <v>139.0</v>
      </c>
      <c r="D334" s="3" t="s">
        <v>1561</v>
      </c>
      <c r="E334" s="3">
        <v>16.98567</v>
      </c>
      <c r="F334" s="3">
        <v>-89.674358</v>
      </c>
      <c r="G334" s="3">
        <v>26.0</v>
      </c>
      <c r="H334" s="3">
        <v>3.0</v>
      </c>
      <c r="I334" s="3" t="s">
        <v>167</v>
      </c>
      <c r="J334" s="3">
        <v>564.0</v>
      </c>
      <c r="K334" s="3">
        <v>569.0</v>
      </c>
      <c r="L334" s="3" t="s">
        <v>133</v>
      </c>
      <c r="M334" s="3">
        <v>1.0</v>
      </c>
      <c r="N334" s="3" t="s">
        <v>121</v>
      </c>
      <c r="O334" s="3" t="s">
        <v>2374</v>
      </c>
      <c r="P334" s="3" t="s">
        <v>2378</v>
      </c>
      <c r="Q334" s="3">
        <v>2.0</v>
      </c>
      <c r="R334" s="3">
        <v>494.0</v>
      </c>
      <c r="S334" s="3">
        <v>57.480003</v>
      </c>
      <c r="T334" s="3">
        <v>12.625324</v>
      </c>
      <c r="U334" s="3" t="s">
        <v>2376</v>
      </c>
      <c r="V334" s="3">
        <v>0.0</v>
      </c>
      <c r="W334" s="3">
        <v>1757.0</v>
      </c>
      <c r="X334" s="3">
        <v>5662.0</v>
      </c>
      <c r="Y334" s="3">
        <v>37.0</v>
      </c>
      <c r="Z334" s="3">
        <v>141.0</v>
      </c>
      <c r="AA334" s="3">
        <v>251.0</v>
      </c>
      <c r="AB334" s="3">
        <v>704.0</v>
      </c>
      <c r="AC334" s="3">
        <v>118.0</v>
      </c>
    </row>
    <row r="335">
      <c r="A335" s="3">
        <v>333.0</v>
      </c>
      <c r="B335" s="3" t="s">
        <v>2373</v>
      </c>
      <c r="C335" s="3">
        <v>140.0</v>
      </c>
      <c r="D335" s="3" t="s">
        <v>877</v>
      </c>
      <c r="E335" s="3">
        <v>16.98567</v>
      </c>
      <c r="F335" s="3">
        <v>-89.674358</v>
      </c>
      <c r="G335" s="3">
        <v>26.0</v>
      </c>
      <c r="H335" s="3">
        <v>3.0</v>
      </c>
      <c r="I335" s="3" t="s">
        <v>167</v>
      </c>
      <c r="J335" s="3">
        <v>564.0</v>
      </c>
      <c r="K335" s="3">
        <v>569.0</v>
      </c>
      <c r="L335" s="3" t="s">
        <v>133</v>
      </c>
      <c r="M335" s="3">
        <v>1.0</v>
      </c>
      <c r="N335" s="3" t="s">
        <v>121</v>
      </c>
      <c r="O335" s="3" t="s">
        <v>2374</v>
      </c>
      <c r="P335" s="3" t="s">
        <v>2378</v>
      </c>
      <c r="Q335" s="3">
        <v>2.0</v>
      </c>
      <c r="R335" s="3">
        <v>494.0</v>
      </c>
      <c r="S335" s="3">
        <v>57.480003</v>
      </c>
      <c r="T335" s="3">
        <v>12.625324</v>
      </c>
      <c r="U335" s="3" t="s">
        <v>2376</v>
      </c>
      <c r="V335" s="3">
        <v>0.0</v>
      </c>
      <c r="W335" s="3">
        <v>1757.0</v>
      </c>
      <c r="X335" s="3">
        <v>5662.0</v>
      </c>
      <c r="Y335" s="3">
        <v>37.0</v>
      </c>
      <c r="Z335" s="3">
        <v>141.0</v>
      </c>
      <c r="AA335" s="3">
        <v>251.0</v>
      </c>
      <c r="AB335" s="3">
        <v>704.0</v>
      </c>
      <c r="AC335" s="3">
        <v>118.0</v>
      </c>
    </row>
    <row r="336">
      <c r="A336" s="3">
        <v>334.0</v>
      </c>
      <c r="B336" s="3" t="s">
        <v>2373</v>
      </c>
      <c r="C336" s="3">
        <v>141.0</v>
      </c>
      <c r="D336" s="3" t="s">
        <v>880</v>
      </c>
      <c r="E336" s="3">
        <v>16.98567</v>
      </c>
      <c r="F336" s="3">
        <v>-89.674358</v>
      </c>
      <c r="G336" s="3">
        <v>26.0</v>
      </c>
      <c r="H336" s="3">
        <v>3.0</v>
      </c>
      <c r="I336" s="3" t="s">
        <v>167</v>
      </c>
      <c r="J336" s="3">
        <v>564.0</v>
      </c>
      <c r="K336" s="3">
        <v>569.0</v>
      </c>
      <c r="L336" s="3" t="s">
        <v>133</v>
      </c>
      <c r="M336" s="3">
        <v>1.0</v>
      </c>
      <c r="N336" s="3" t="s">
        <v>121</v>
      </c>
      <c r="O336" s="3" t="s">
        <v>2374</v>
      </c>
      <c r="P336" s="3" t="s">
        <v>2378</v>
      </c>
      <c r="Q336" s="3">
        <v>2.0</v>
      </c>
      <c r="R336" s="3">
        <v>494.0</v>
      </c>
      <c r="S336" s="3">
        <v>57.480003</v>
      </c>
      <c r="T336" s="3">
        <v>12.625324</v>
      </c>
      <c r="U336" s="3" t="s">
        <v>2376</v>
      </c>
      <c r="V336" s="3">
        <v>0.0</v>
      </c>
      <c r="W336" s="3">
        <v>1757.0</v>
      </c>
      <c r="X336" s="3">
        <v>5662.0</v>
      </c>
      <c r="Y336" s="3">
        <v>37.0</v>
      </c>
      <c r="Z336" s="3">
        <v>141.0</v>
      </c>
      <c r="AA336" s="3">
        <v>251.0</v>
      </c>
      <c r="AB336" s="3">
        <v>704.0</v>
      </c>
      <c r="AC336" s="3">
        <v>118.0</v>
      </c>
    </row>
    <row r="337">
      <c r="A337" s="3">
        <v>335.0</v>
      </c>
      <c r="B337" s="3" t="s">
        <v>2373</v>
      </c>
      <c r="C337" s="3">
        <v>142.0</v>
      </c>
      <c r="D337" s="3" t="s">
        <v>881</v>
      </c>
      <c r="E337" s="3">
        <v>16.98567</v>
      </c>
      <c r="F337" s="3">
        <v>-89.674358</v>
      </c>
      <c r="G337" s="3">
        <v>26.0</v>
      </c>
      <c r="H337" s="3">
        <v>3.0</v>
      </c>
      <c r="I337" s="3" t="s">
        <v>167</v>
      </c>
      <c r="J337" s="3">
        <v>564.0</v>
      </c>
      <c r="K337" s="3">
        <v>569.0</v>
      </c>
      <c r="L337" s="3" t="s">
        <v>133</v>
      </c>
      <c r="M337" s="3">
        <v>1.0</v>
      </c>
      <c r="N337" s="3" t="s">
        <v>121</v>
      </c>
      <c r="O337" s="3" t="s">
        <v>2374</v>
      </c>
      <c r="P337" s="3" t="s">
        <v>2378</v>
      </c>
      <c r="Q337" s="3">
        <v>2.0</v>
      </c>
      <c r="R337" s="3">
        <v>494.0</v>
      </c>
      <c r="S337" s="3">
        <v>57.480003</v>
      </c>
      <c r="T337" s="3">
        <v>12.625324</v>
      </c>
      <c r="U337" s="3" t="s">
        <v>2376</v>
      </c>
      <c r="V337" s="3">
        <v>0.0</v>
      </c>
      <c r="W337" s="3">
        <v>1757.0</v>
      </c>
      <c r="X337" s="3">
        <v>5662.0</v>
      </c>
      <c r="Y337" s="3">
        <v>37.0</v>
      </c>
      <c r="Z337" s="3">
        <v>141.0</v>
      </c>
      <c r="AA337" s="3">
        <v>251.0</v>
      </c>
      <c r="AB337" s="3">
        <v>704.0</v>
      </c>
      <c r="AC337" s="3">
        <v>118.0</v>
      </c>
    </row>
    <row r="338">
      <c r="A338" s="3">
        <v>336.0</v>
      </c>
      <c r="B338" s="3" t="s">
        <v>2373</v>
      </c>
      <c r="C338" s="3">
        <v>143.0</v>
      </c>
      <c r="D338" s="3" t="s">
        <v>883</v>
      </c>
      <c r="E338" s="3">
        <v>16.98567</v>
      </c>
      <c r="F338" s="3">
        <v>-89.674358</v>
      </c>
      <c r="G338" s="3">
        <v>26.0</v>
      </c>
      <c r="H338" s="3">
        <v>3.0</v>
      </c>
      <c r="I338" s="3" t="s">
        <v>167</v>
      </c>
      <c r="J338" s="3">
        <v>564.0</v>
      </c>
      <c r="K338" s="3">
        <v>569.0</v>
      </c>
      <c r="L338" s="3" t="s">
        <v>133</v>
      </c>
      <c r="M338" s="3">
        <v>1.0</v>
      </c>
      <c r="N338" s="3" t="s">
        <v>121</v>
      </c>
      <c r="O338" s="3" t="s">
        <v>2374</v>
      </c>
      <c r="P338" s="3" t="s">
        <v>2378</v>
      </c>
      <c r="Q338" s="3">
        <v>2.0</v>
      </c>
      <c r="R338" s="3">
        <v>494.0</v>
      </c>
      <c r="S338" s="3">
        <v>57.480003</v>
      </c>
      <c r="T338" s="3">
        <v>12.625324</v>
      </c>
      <c r="U338" s="3" t="s">
        <v>2376</v>
      </c>
      <c r="V338" s="3">
        <v>0.0</v>
      </c>
      <c r="W338" s="3">
        <v>1757.0</v>
      </c>
      <c r="X338" s="3">
        <v>5662.0</v>
      </c>
      <c r="Y338" s="3">
        <v>37.0</v>
      </c>
      <c r="Z338" s="3">
        <v>141.0</v>
      </c>
      <c r="AA338" s="3">
        <v>251.0</v>
      </c>
      <c r="AB338" s="3">
        <v>704.0</v>
      </c>
      <c r="AC338" s="3">
        <v>118.0</v>
      </c>
    </row>
    <row r="339">
      <c r="A339" s="3">
        <v>337.0</v>
      </c>
      <c r="B339" s="3" t="s">
        <v>2373</v>
      </c>
      <c r="C339" s="3">
        <v>144.0</v>
      </c>
      <c r="D339" s="3" t="s">
        <v>884</v>
      </c>
      <c r="E339" s="3">
        <v>16.98567</v>
      </c>
      <c r="F339" s="3">
        <v>-89.674358</v>
      </c>
      <c r="G339" s="3">
        <v>26.0</v>
      </c>
      <c r="H339" s="3">
        <v>3.0</v>
      </c>
      <c r="I339" s="3" t="s">
        <v>167</v>
      </c>
      <c r="J339" s="3">
        <v>564.0</v>
      </c>
      <c r="K339" s="3">
        <v>569.0</v>
      </c>
      <c r="L339" s="3" t="s">
        <v>133</v>
      </c>
      <c r="M339" s="3">
        <v>1.0</v>
      </c>
      <c r="N339" s="3" t="s">
        <v>121</v>
      </c>
      <c r="O339" s="3" t="s">
        <v>2374</v>
      </c>
      <c r="P339" s="3" t="s">
        <v>2378</v>
      </c>
      <c r="Q339" s="3">
        <v>2.0</v>
      </c>
      <c r="R339" s="3">
        <v>494.0</v>
      </c>
      <c r="S339" s="3">
        <v>57.480003</v>
      </c>
      <c r="T339" s="3">
        <v>12.625324</v>
      </c>
      <c r="U339" s="3" t="s">
        <v>2376</v>
      </c>
      <c r="V339" s="3">
        <v>0.0</v>
      </c>
      <c r="W339" s="3">
        <v>1757.0</v>
      </c>
      <c r="X339" s="3">
        <v>5662.0</v>
      </c>
      <c r="Y339" s="3">
        <v>37.0</v>
      </c>
      <c r="Z339" s="3">
        <v>141.0</v>
      </c>
      <c r="AA339" s="3">
        <v>251.0</v>
      </c>
      <c r="AB339" s="3">
        <v>704.0</v>
      </c>
      <c r="AC339" s="3">
        <v>118.0</v>
      </c>
    </row>
    <row r="340">
      <c r="A340" s="3">
        <v>338.0</v>
      </c>
      <c r="B340" s="3" t="s">
        <v>2373</v>
      </c>
      <c r="C340" s="3">
        <v>145.0</v>
      </c>
      <c r="D340" s="78" t="s">
        <v>886</v>
      </c>
      <c r="E340" s="3">
        <v>16.98567</v>
      </c>
      <c r="F340" s="3">
        <v>-89.674358</v>
      </c>
      <c r="G340" s="3">
        <v>26.0</v>
      </c>
      <c r="H340" s="3">
        <v>3.0</v>
      </c>
      <c r="I340" s="3" t="s">
        <v>167</v>
      </c>
      <c r="J340" s="3">
        <v>564.0</v>
      </c>
      <c r="K340" s="3">
        <v>569.0</v>
      </c>
      <c r="L340" s="3" t="s">
        <v>133</v>
      </c>
      <c r="M340" s="3">
        <v>1.0</v>
      </c>
      <c r="N340" s="3" t="s">
        <v>121</v>
      </c>
      <c r="O340" s="3" t="s">
        <v>2374</v>
      </c>
      <c r="P340" s="3" t="s">
        <v>2378</v>
      </c>
      <c r="Q340" s="3">
        <v>2.0</v>
      </c>
      <c r="R340" s="3">
        <v>494.0</v>
      </c>
      <c r="S340" s="3">
        <v>57.480003</v>
      </c>
      <c r="T340" s="3">
        <v>12.625324</v>
      </c>
      <c r="U340" s="3" t="s">
        <v>2376</v>
      </c>
      <c r="V340" s="3">
        <v>0.0</v>
      </c>
      <c r="W340" s="3">
        <v>1757.0</v>
      </c>
      <c r="X340" s="3">
        <v>5662.0</v>
      </c>
      <c r="Y340" s="3">
        <v>37.0</v>
      </c>
      <c r="Z340" s="3">
        <v>141.0</v>
      </c>
      <c r="AA340" s="3">
        <v>251.0</v>
      </c>
      <c r="AB340" s="3">
        <v>704.0</v>
      </c>
      <c r="AC340" s="3">
        <v>118.0</v>
      </c>
    </row>
    <row r="341">
      <c r="A341" s="3">
        <v>339.0</v>
      </c>
      <c r="B341" s="3" t="s">
        <v>2373</v>
      </c>
      <c r="C341" s="3">
        <v>146.0</v>
      </c>
      <c r="D341" s="3" t="s">
        <v>887</v>
      </c>
      <c r="E341" s="3">
        <v>16.98567</v>
      </c>
      <c r="F341" s="3">
        <v>-89.674358</v>
      </c>
      <c r="G341" s="3">
        <v>26.0</v>
      </c>
      <c r="H341" s="3">
        <v>3.0</v>
      </c>
      <c r="I341" s="3" t="s">
        <v>167</v>
      </c>
      <c r="J341" s="3">
        <v>564.0</v>
      </c>
      <c r="K341" s="3">
        <v>569.0</v>
      </c>
      <c r="L341" s="3" t="s">
        <v>133</v>
      </c>
      <c r="M341" s="3">
        <v>1.0</v>
      </c>
      <c r="N341" s="3" t="s">
        <v>121</v>
      </c>
      <c r="O341" s="3" t="s">
        <v>2374</v>
      </c>
      <c r="P341" s="3" t="s">
        <v>2378</v>
      </c>
      <c r="Q341" s="3">
        <v>2.0</v>
      </c>
      <c r="R341" s="3">
        <v>494.0</v>
      </c>
      <c r="S341" s="3">
        <v>57.480003</v>
      </c>
      <c r="T341" s="3">
        <v>12.625324</v>
      </c>
      <c r="U341" s="3" t="s">
        <v>2376</v>
      </c>
      <c r="V341" s="3">
        <v>0.0</v>
      </c>
      <c r="W341" s="3">
        <v>1757.0</v>
      </c>
      <c r="X341" s="3">
        <v>5662.0</v>
      </c>
      <c r="Y341" s="3">
        <v>37.0</v>
      </c>
      <c r="Z341" s="3">
        <v>141.0</v>
      </c>
      <c r="AA341" s="3">
        <v>251.0</v>
      </c>
      <c r="AB341" s="3">
        <v>704.0</v>
      </c>
      <c r="AC341" s="3">
        <v>118.0</v>
      </c>
    </row>
    <row r="342">
      <c r="A342" s="3">
        <v>340.0</v>
      </c>
      <c r="B342" s="3" t="s">
        <v>2373</v>
      </c>
      <c r="C342" s="3">
        <v>147.0</v>
      </c>
      <c r="D342" s="3" t="s">
        <v>889</v>
      </c>
      <c r="E342" s="3">
        <v>16.98567</v>
      </c>
      <c r="F342" s="3">
        <v>-89.674358</v>
      </c>
      <c r="G342" s="3">
        <v>26.0</v>
      </c>
      <c r="H342" s="3">
        <v>3.0</v>
      </c>
      <c r="I342" s="3" t="s">
        <v>167</v>
      </c>
      <c r="J342" s="3">
        <v>564.0</v>
      </c>
      <c r="K342" s="3">
        <v>569.0</v>
      </c>
      <c r="L342" s="3" t="s">
        <v>133</v>
      </c>
      <c r="M342" s="3">
        <v>1.0</v>
      </c>
      <c r="N342" s="3" t="s">
        <v>121</v>
      </c>
      <c r="O342" s="3" t="s">
        <v>2374</v>
      </c>
      <c r="P342" s="3" t="s">
        <v>2378</v>
      </c>
      <c r="Q342" s="3">
        <v>2.0</v>
      </c>
      <c r="R342" s="3">
        <v>494.0</v>
      </c>
      <c r="S342" s="3">
        <v>57.480003</v>
      </c>
      <c r="T342" s="3">
        <v>12.625324</v>
      </c>
      <c r="U342" s="3" t="s">
        <v>2376</v>
      </c>
      <c r="V342" s="3">
        <v>0.0</v>
      </c>
      <c r="W342" s="3">
        <v>1757.0</v>
      </c>
      <c r="X342" s="3">
        <v>5662.0</v>
      </c>
      <c r="Y342" s="3">
        <v>37.0</v>
      </c>
      <c r="Z342" s="3">
        <v>141.0</v>
      </c>
      <c r="AA342" s="3">
        <v>251.0</v>
      </c>
      <c r="AB342" s="3">
        <v>704.0</v>
      </c>
      <c r="AC342" s="3">
        <v>118.0</v>
      </c>
    </row>
    <row r="343">
      <c r="A343" s="3">
        <v>341.0</v>
      </c>
      <c r="B343" s="3" t="s">
        <v>2373</v>
      </c>
      <c r="C343" s="3">
        <v>175.0</v>
      </c>
      <c r="D343" s="3" t="s">
        <v>831</v>
      </c>
      <c r="E343" s="3">
        <v>17.0</v>
      </c>
      <c r="F343" s="3">
        <v>-89.779</v>
      </c>
      <c r="G343" s="3">
        <v>26.0</v>
      </c>
      <c r="H343" s="3">
        <v>3.0</v>
      </c>
      <c r="I343" s="3" t="s">
        <v>167</v>
      </c>
      <c r="J343" s="3">
        <v>564.0</v>
      </c>
      <c r="K343" s="3">
        <v>569.0</v>
      </c>
      <c r="L343" s="3" t="s">
        <v>133</v>
      </c>
      <c r="M343" s="3">
        <v>1.0</v>
      </c>
      <c r="N343" s="3" t="s">
        <v>121</v>
      </c>
      <c r="O343" s="3" t="s">
        <v>2374</v>
      </c>
      <c r="P343" s="3" t="s">
        <v>2378</v>
      </c>
      <c r="Q343" s="3">
        <v>2.0</v>
      </c>
      <c r="R343" s="3">
        <v>494.0</v>
      </c>
      <c r="S343" s="3">
        <v>57.480003</v>
      </c>
      <c r="T343" s="3">
        <v>12.625324</v>
      </c>
      <c r="U343" s="3" t="s">
        <v>2376</v>
      </c>
      <c r="V343" s="3">
        <v>0.0</v>
      </c>
      <c r="W343" s="3">
        <v>1675.0</v>
      </c>
      <c r="X343" s="3">
        <v>5856.0</v>
      </c>
      <c r="Y343" s="3">
        <v>36.0</v>
      </c>
      <c r="Z343" s="3">
        <v>133.0</v>
      </c>
      <c r="AA343" s="3">
        <v>250.0</v>
      </c>
      <c r="AB343" s="3">
        <v>675.0</v>
      </c>
      <c r="AC343" s="3">
        <v>110.0</v>
      </c>
    </row>
    <row r="344">
      <c r="A344" s="3">
        <v>342.0</v>
      </c>
      <c r="B344" s="3" t="s">
        <v>2373</v>
      </c>
      <c r="C344" s="3">
        <v>176.0</v>
      </c>
      <c r="D344" s="3" t="s">
        <v>834</v>
      </c>
      <c r="E344" s="3">
        <v>16.988</v>
      </c>
      <c r="F344" s="3">
        <v>-89.779</v>
      </c>
      <c r="G344" s="3">
        <v>26.0</v>
      </c>
      <c r="H344" s="3">
        <v>3.0</v>
      </c>
      <c r="I344" s="3" t="s">
        <v>167</v>
      </c>
      <c r="J344" s="3">
        <v>564.0</v>
      </c>
      <c r="K344" s="3">
        <v>569.0</v>
      </c>
      <c r="L344" s="3" t="s">
        <v>133</v>
      </c>
      <c r="M344" s="3">
        <v>1.0</v>
      </c>
      <c r="N344" s="3" t="s">
        <v>121</v>
      </c>
      <c r="O344" s="3" t="s">
        <v>2374</v>
      </c>
      <c r="P344" s="3" t="s">
        <v>2378</v>
      </c>
      <c r="Q344" s="3">
        <v>2.0</v>
      </c>
      <c r="R344" s="3">
        <v>494.0</v>
      </c>
      <c r="S344" s="3">
        <v>57.480003</v>
      </c>
      <c r="T344" s="3">
        <v>12.625324</v>
      </c>
      <c r="U344" s="3" t="s">
        <v>2376</v>
      </c>
      <c r="V344" s="3">
        <v>0.0</v>
      </c>
      <c r="W344" s="3">
        <v>1679.0</v>
      </c>
      <c r="X344" s="3">
        <v>5867.0</v>
      </c>
      <c r="Y344" s="3">
        <v>36.0</v>
      </c>
      <c r="Z344" s="3">
        <v>133.0</v>
      </c>
      <c r="AA344" s="3">
        <v>250.0</v>
      </c>
      <c r="AB344" s="3">
        <v>677.0</v>
      </c>
      <c r="AC344" s="3">
        <v>110.0</v>
      </c>
    </row>
    <row r="345">
      <c r="A345" s="3">
        <v>343.0</v>
      </c>
      <c r="B345" s="3" t="s">
        <v>2373</v>
      </c>
      <c r="C345" s="3">
        <v>177.0</v>
      </c>
      <c r="D345" s="3" t="s">
        <v>1076</v>
      </c>
      <c r="E345" s="3">
        <v>16.998</v>
      </c>
      <c r="F345" s="3">
        <v>-89.779</v>
      </c>
      <c r="G345" s="3">
        <v>26.0</v>
      </c>
      <c r="H345" s="3">
        <v>3.0</v>
      </c>
      <c r="I345" s="3" t="s">
        <v>167</v>
      </c>
      <c r="J345" s="3">
        <v>564.0</v>
      </c>
      <c r="K345" s="3">
        <v>569.0</v>
      </c>
      <c r="L345" s="3" t="s">
        <v>133</v>
      </c>
      <c r="M345" s="3">
        <v>1.0</v>
      </c>
      <c r="N345" s="3" t="s">
        <v>121</v>
      </c>
      <c r="O345" s="3" t="s">
        <v>2374</v>
      </c>
      <c r="P345" s="3" t="s">
        <v>2378</v>
      </c>
      <c r="Q345" s="3">
        <v>2.0</v>
      </c>
      <c r="R345" s="3">
        <v>494.0</v>
      </c>
      <c r="S345" s="3">
        <v>57.480003</v>
      </c>
      <c r="T345" s="3">
        <v>12.625324</v>
      </c>
      <c r="U345" s="3" t="s">
        <v>2376</v>
      </c>
      <c r="V345" s="3">
        <v>0.0</v>
      </c>
      <c r="W345" s="3">
        <v>1675.0</v>
      </c>
      <c r="X345" s="3">
        <v>5856.0</v>
      </c>
      <c r="Y345" s="3">
        <v>36.0</v>
      </c>
      <c r="Z345" s="3">
        <v>133.0</v>
      </c>
      <c r="AA345" s="3">
        <v>250.0</v>
      </c>
      <c r="AB345" s="3">
        <v>675.0</v>
      </c>
      <c r="AC345" s="3">
        <v>110.0</v>
      </c>
    </row>
    <row r="346">
      <c r="A346" s="3">
        <v>344.0</v>
      </c>
      <c r="B346" s="3" t="s">
        <v>2373</v>
      </c>
      <c r="C346" s="3">
        <v>178.0</v>
      </c>
      <c r="D346" s="3" t="s">
        <v>837</v>
      </c>
      <c r="E346" s="3">
        <v>16.988</v>
      </c>
      <c r="F346" s="3">
        <v>-89.779</v>
      </c>
      <c r="G346" s="3">
        <v>26.0</v>
      </c>
      <c r="H346" s="3">
        <v>3.0</v>
      </c>
      <c r="I346" s="3" t="s">
        <v>167</v>
      </c>
      <c r="J346" s="3">
        <v>564.0</v>
      </c>
      <c r="K346" s="3">
        <v>569.0</v>
      </c>
      <c r="L346" s="3" t="s">
        <v>133</v>
      </c>
      <c r="M346" s="3">
        <v>1.0</v>
      </c>
      <c r="N346" s="3" t="s">
        <v>121</v>
      </c>
      <c r="O346" s="3" t="s">
        <v>2374</v>
      </c>
      <c r="P346" s="3" t="s">
        <v>2378</v>
      </c>
      <c r="Q346" s="3">
        <v>2.0</v>
      </c>
      <c r="R346" s="3">
        <v>494.0</v>
      </c>
      <c r="S346" s="3">
        <v>57.480003</v>
      </c>
      <c r="T346" s="3">
        <v>12.625324</v>
      </c>
      <c r="U346" s="3" t="s">
        <v>2376</v>
      </c>
      <c r="V346" s="3">
        <v>0.0</v>
      </c>
      <c r="W346" s="3">
        <v>1679.0</v>
      </c>
      <c r="X346" s="3">
        <v>5867.0</v>
      </c>
      <c r="Y346" s="3">
        <v>36.0</v>
      </c>
      <c r="Z346" s="3">
        <v>133.0</v>
      </c>
      <c r="AA346" s="3">
        <v>250.0</v>
      </c>
      <c r="AB346" s="3">
        <v>677.0</v>
      </c>
      <c r="AC346" s="3">
        <v>110.0</v>
      </c>
    </row>
    <row r="347">
      <c r="A347" s="3">
        <v>345.0</v>
      </c>
      <c r="B347" s="3" t="s">
        <v>2373</v>
      </c>
      <c r="C347" s="3">
        <v>179.0</v>
      </c>
      <c r="D347" s="3" t="s">
        <v>840</v>
      </c>
      <c r="E347" s="3">
        <v>17.0</v>
      </c>
      <c r="F347" s="3">
        <v>-89.779</v>
      </c>
      <c r="G347" s="3">
        <v>26.0</v>
      </c>
      <c r="H347" s="3">
        <v>3.0</v>
      </c>
      <c r="I347" s="3" t="s">
        <v>167</v>
      </c>
      <c r="J347" s="3">
        <v>564.0</v>
      </c>
      <c r="K347" s="3">
        <v>569.0</v>
      </c>
      <c r="L347" s="3" t="s">
        <v>133</v>
      </c>
      <c r="M347" s="3">
        <v>1.0</v>
      </c>
      <c r="N347" s="3" t="s">
        <v>121</v>
      </c>
      <c r="O347" s="3" t="s">
        <v>2374</v>
      </c>
      <c r="P347" s="3" t="s">
        <v>2378</v>
      </c>
      <c r="Q347" s="3">
        <v>2.0</v>
      </c>
      <c r="R347" s="3">
        <v>494.0</v>
      </c>
      <c r="S347" s="3">
        <v>57.480003</v>
      </c>
      <c r="T347" s="3">
        <v>12.625324</v>
      </c>
      <c r="U347" s="3" t="s">
        <v>2376</v>
      </c>
      <c r="V347" s="3">
        <v>0.0</v>
      </c>
      <c r="W347" s="3">
        <v>1675.0</v>
      </c>
      <c r="X347" s="3">
        <v>5856.0</v>
      </c>
      <c r="Y347" s="3">
        <v>36.0</v>
      </c>
      <c r="Z347" s="3">
        <v>133.0</v>
      </c>
      <c r="AA347" s="3">
        <v>250.0</v>
      </c>
      <c r="AB347" s="3">
        <v>675.0</v>
      </c>
      <c r="AC347" s="3">
        <v>110.0</v>
      </c>
    </row>
    <row r="348">
      <c r="A348" s="3">
        <v>346.0</v>
      </c>
      <c r="B348" s="3" t="s">
        <v>2373</v>
      </c>
      <c r="C348" s="3">
        <v>180.0</v>
      </c>
      <c r="D348" s="78" t="s">
        <v>1079</v>
      </c>
      <c r="E348" s="3">
        <v>17.0</v>
      </c>
      <c r="F348" s="3">
        <v>-89.779</v>
      </c>
      <c r="G348" s="3">
        <v>26.0</v>
      </c>
      <c r="H348" s="3">
        <v>3.0</v>
      </c>
      <c r="I348" s="3" t="s">
        <v>167</v>
      </c>
      <c r="J348" s="3">
        <v>564.0</v>
      </c>
      <c r="K348" s="3">
        <v>569.0</v>
      </c>
      <c r="L348" s="3" t="s">
        <v>133</v>
      </c>
      <c r="M348" s="3">
        <v>1.0</v>
      </c>
      <c r="N348" s="3" t="s">
        <v>121</v>
      </c>
      <c r="O348" s="3" t="s">
        <v>2374</v>
      </c>
      <c r="P348" s="3" t="s">
        <v>2378</v>
      </c>
      <c r="Q348" s="3">
        <v>2.0</v>
      </c>
      <c r="R348" s="3">
        <v>494.0</v>
      </c>
      <c r="S348" s="3">
        <v>57.480003</v>
      </c>
      <c r="T348" s="3">
        <v>12.625324</v>
      </c>
      <c r="U348" s="3" t="s">
        <v>2376</v>
      </c>
      <c r="V348" s="3">
        <v>0.0</v>
      </c>
      <c r="W348" s="3">
        <v>1675.0</v>
      </c>
      <c r="X348" s="3">
        <v>5856.0</v>
      </c>
      <c r="Y348" s="3">
        <v>36.0</v>
      </c>
      <c r="Z348" s="3">
        <v>133.0</v>
      </c>
      <c r="AA348" s="3">
        <v>250.0</v>
      </c>
      <c r="AB348" s="3">
        <v>675.0</v>
      </c>
      <c r="AC348" s="3">
        <v>110.0</v>
      </c>
    </row>
    <row r="349">
      <c r="A349" s="3">
        <v>347.0</v>
      </c>
      <c r="B349" s="3" t="s">
        <v>2373</v>
      </c>
      <c r="C349" s="3">
        <v>181.0</v>
      </c>
      <c r="D349" s="3" t="s">
        <v>1080</v>
      </c>
      <c r="E349" s="3">
        <v>17.0</v>
      </c>
      <c r="F349" s="3">
        <v>-89.779</v>
      </c>
      <c r="G349" s="3">
        <v>26.0</v>
      </c>
      <c r="H349" s="3">
        <v>3.0</v>
      </c>
      <c r="I349" s="3" t="s">
        <v>167</v>
      </c>
      <c r="J349" s="3">
        <v>564.0</v>
      </c>
      <c r="K349" s="3">
        <v>569.0</v>
      </c>
      <c r="L349" s="3" t="s">
        <v>133</v>
      </c>
      <c r="M349" s="3">
        <v>1.0</v>
      </c>
      <c r="N349" s="3" t="s">
        <v>121</v>
      </c>
      <c r="O349" s="3" t="s">
        <v>2374</v>
      </c>
      <c r="P349" s="3" t="s">
        <v>2378</v>
      </c>
      <c r="Q349" s="3">
        <v>2.0</v>
      </c>
      <c r="R349" s="3">
        <v>494.0</v>
      </c>
      <c r="S349" s="3">
        <v>57.480003</v>
      </c>
      <c r="T349" s="3">
        <v>12.625324</v>
      </c>
      <c r="U349" s="3" t="s">
        <v>2376</v>
      </c>
      <c r="V349" s="3">
        <v>0.0</v>
      </c>
      <c r="W349" s="3">
        <v>1675.0</v>
      </c>
      <c r="X349" s="3">
        <v>5856.0</v>
      </c>
      <c r="Y349" s="3">
        <v>36.0</v>
      </c>
      <c r="Z349" s="3">
        <v>133.0</v>
      </c>
      <c r="AA349" s="3">
        <v>250.0</v>
      </c>
      <c r="AB349" s="3">
        <v>675.0</v>
      </c>
      <c r="AC349" s="3">
        <v>110.0</v>
      </c>
    </row>
    <row r="350">
      <c r="A350" s="3">
        <v>348.0</v>
      </c>
      <c r="B350" s="3" t="s">
        <v>2373</v>
      </c>
      <c r="C350" s="3">
        <v>182.0</v>
      </c>
      <c r="D350" s="3" t="s">
        <v>843</v>
      </c>
      <c r="E350" s="3">
        <v>17.0</v>
      </c>
      <c r="F350" s="3">
        <v>-89.779</v>
      </c>
      <c r="G350" s="3">
        <v>26.0</v>
      </c>
      <c r="H350" s="3">
        <v>3.0</v>
      </c>
      <c r="I350" s="3" t="s">
        <v>167</v>
      </c>
      <c r="J350" s="3">
        <v>564.0</v>
      </c>
      <c r="K350" s="3">
        <v>569.0</v>
      </c>
      <c r="L350" s="3" t="s">
        <v>133</v>
      </c>
      <c r="M350" s="3">
        <v>1.0</v>
      </c>
      <c r="N350" s="3" t="s">
        <v>121</v>
      </c>
      <c r="O350" s="3" t="s">
        <v>2374</v>
      </c>
      <c r="P350" s="3" t="s">
        <v>2378</v>
      </c>
      <c r="Q350" s="3">
        <v>2.0</v>
      </c>
      <c r="R350" s="3">
        <v>494.0</v>
      </c>
      <c r="S350" s="3">
        <v>57.480003</v>
      </c>
      <c r="T350" s="3">
        <v>12.625324</v>
      </c>
      <c r="U350" s="3" t="s">
        <v>2376</v>
      </c>
      <c r="V350" s="3">
        <v>0.0</v>
      </c>
      <c r="W350" s="3">
        <v>1675.0</v>
      </c>
      <c r="X350" s="3">
        <v>5856.0</v>
      </c>
      <c r="Y350" s="3">
        <v>36.0</v>
      </c>
      <c r="Z350" s="3">
        <v>133.0</v>
      </c>
      <c r="AA350" s="3">
        <v>250.0</v>
      </c>
      <c r="AB350" s="3">
        <v>675.0</v>
      </c>
      <c r="AC350" s="3">
        <v>110.0</v>
      </c>
    </row>
    <row r="351">
      <c r="A351" s="3">
        <v>349.0</v>
      </c>
      <c r="B351" s="3" t="s">
        <v>2373</v>
      </c>
      <c r="C351" s="3">
        <v>183.0</v>
      </c>
      <c r="D351" s="3" t="s">
        <v>844</v>
      </c>
      <c r="E351" s="3">
        <v>16.988</v>
      </c>
      <c r="F351" s="3">
        <v>-89.779</v>
      </c>
      <c r="G351" s="3">
        <v>26.0</v>
      </c>
      <c r="H351" s="3">
        <v>3.0</v>
      </c>
      <c r="I351" s="3" t="s">
        <v>167</v>
      </c>
      <c r="J351" s="3">
        <v>564.0</v>
      </c>
      <c r="K351" s="3">
        <v>569.0</v>
      </c>
      <c r="L351" s="3" t="s">
        <v>133</v>
      </c>
      <c r="M351" s="3">
        <v>1.0</v>
      </c>
      <c r="N351" s="3" t="s">
        <v>121</v>
      </c>
      <c r="O351" s="3" t="s">
        <v>2374</v>
      </c>
      <c r="P351" s="3" t="s">
        <v>2378</v>
      </c>
      <c r="Q351" s="3">
        <v>2.0</v>
      </c>
      <c r="R351" s="3">
        <v>494.0</v>
      </c>
      <c r="S351" s="3">
        <v>57.480003</v>
      </c>
      <c r="T351" s="3">
        <v>12.625324</v>
      </c>
      <c r="U351" s="3" t="s">
        <v>2376</v>
      </c>
      <c r="V351" s="3">
        <v>0.0</v>
      </c>
      <c r="W351" s="3">
        <v>1679.0</v>
      </c>
      <c r="X351" s="3">
        <v>5867.0</v>
      </c>
      <c r="Y351" s="3">
        <v>36.0</v>
      </c>
      <c r="Z351" s="3">
        <v>133.0</v>
      </c>
      <c r="AA351" s="3">
        <v>250.0</v>
      </c>
      <c r="AB351" s="3">
        <v>677.0</v>
      </c>
      <c r="AC351" s="3">
        <v>110.0</v>
      </c>
    </row>
    <row r="352">
      <c r="A352" s="3">
        <v>350.0</v>
      </c>
      <c r="B352" s="3" t="s">
        <v>2373</v>
      </c>
      <c r="C352" s="3">
        <v>190.0</v>
      </c>
      <c r="D352" s="3" t="s">
        <v>1304</v>
      </c>
      <c r="E352" s="3">
        <v>17.0</v>
      </c>
      <c r="F352" s="3">
        <v>-89.779</v>
      </c>
      <c r="G352" s="3">
        <v>26.0</v>
      </c>
      <c r="H352" s="3">
        <v>3.0</v>
      </c>
      <c r="I352" s="3" t="s">
        <v>167</v>
      </c>
      <c r="J352" s="3">
        <v>564.0</v>
      </c>
      <c r="K352" s="3">
        <v>569.0</v>
      </c>
      <c r="L352" s="3" t="s">
        <v>133</v>
      </c>
      <c r="M352" s="3">
        <v>1.0</v>
      </c>
      <c r="N352" s="3" t="s">
        <v>121</v>
      </c>
      <c r="O352" s="3" t="s">
        <v>2374</v>
      </c>
      <c r="P352" s="3" t="s">
        <v>2378</v>
      </c>
      <c r="Q352" s="3">
        <v>2.0</v>
      </c>
      <c r="R352" s="3">
        <v>494.0</v>
      </c>
      <c r="S352" s="3">
        <v>57.480003</v>
      </c>
      <c r="T352" s="3">
        <v>12.625324</v>
      </c>
      <c r="U352" s="3" t="s">
        <v>2376</v>
      </c>
      <c r="V352" s="3">
        <v>0.0</v>
      </c>
      <c r="W352" s="3">
        <v>1675.0</v>
      </c>
      <c r="X352" s="3">
        <v>5856.0</v>
      </c>
      <c r="Y352" s="3">
        <v>36.0</v>
      </c>
      <c r="Z352" s="3">
        <v>133.0</v>
      </c>
      <c r="AA352" s="3">
        <v>250.0</v>
      </c>
      <c r="AB352" s="3">
        <v>675.0</v>
      </c>
      <c r="AC352" s="3">
        <v>110.0</v>
      </c>
    </row>
    <row r="353">
      <c r="A353" s="3">
        <v>351.0</v>
      </c>
      <c r="B353" s="3" t="s">
        <v>2373</v>
      </c>
      <c r="C353" s="3">
        <v>210.0</v>
      </c>
      <c r="D353" s="3" t="s">
        <v>2003</v>
      </c>
      <c r="E353" s="3">
        <v>17.533333</v>
      </c>
      <c r="F353" s="3">
        <v>-90.183333</v>
      </c>
      <c r="G353" s="3">
        <v>26.0</v>
      </c>
      <c r="H353" s="3">
        <v>3.0</v>
      </c>
      <c r="I353" s="3" t="s">
        <v>167</v>
      </c>
      <c r="J353" s="3">
        <v>564.0</v>
      </c>
      <c r="K353" s="3">
        <v>569.0</v>
      </c>
      <c r="L353" s="3" t="s">
        <v>133</v>
      </c>
      <c r="M353" s="3">
        <v>1.0</v>
      </c>
      <c r="N353" s="3" t="s">
        <v>121</v>
      </c>
      <c r="O353" s="3" t="s">
        <v>2374</v>
      </c>
      <c r="P353" s="3" t="s">
        <v>2378</v>
      </c>
      <c r="Q353" s="3">
        <v>2.0</v>
      </c>
      <c r="R353" s="3">
        <v>494.0</v>
      </c>
      <c r="S353" s="3">
        <v>57.480003</v>
      </c>
      <c r="T353" s="3">
        <v>12.625324</v>
      </c>
      <c r="U353" s="3" t="s">
        <v>2376</v>
      </c>
      <c r="V353" s="3">
        <v>0.0</v>
      </c>
      <c r="W353" s="3">
        <v>1598.0</v>
      </c>
      <c r="X353" s="3">
        <v>6059.0</v>
      </c>
      <c r="Y353" s="3">
        <v>33.0</v>
      </c>
      <c r="Z353" s="3">
        <v>119.0</v>
      </c>
      <c r="AA353" s="3">
        <v>270.0</v>
      </c>
      <c r="AB353" s="3">
        <v>686.0</v>
      </c>
      <c r="AC353" s="3">
        <v>238.0</v>
      </c>
    </row>
    <row r="354">
      <c r="A354" s="3">
        <v>352.0</v>
      </c>
      <c r="B354" s="3" t="s">
        <v>2373</v>
      </c>
      <c r="C354" s="3">
        <v>211.0</v>
      </c>
      <c r="D354" s="3" t="s">
        <v>923</v>
      </c>
      <c r="E354" s="3">
        <v>17.533333</v>
      </c>
      <c r="F354" s="3">
        <v>-90.183333</v>
      </c>
      <c r="G354" s="3">
        <v>26.0</v>
      </c>
      <c r="H354" s="3">
        <v>3.0</v>
      </c>
      <c r="I354" s="3" t="s">
        <v>167</v>
      </c>
      <c r="J354" s="3">
        <v>564.0</v>
      </c>
      <c r="K354" s="3">
        <v>569.0</v>
      </c>
      <c r="L354" s="3" t="s">
        <v>133</v>
      </c>
      <c r="M354" s="3">
        <v>1.0</v>
      </c>
      <c r="N354" s="3" t="s">
        <v>121</v>
      </c>
      <c r="O354" s="3" t="s">
        <v>2374</v>
      </c>
      <c r="P354" s="3" t="s">
        <v>2378</v>
      </c>
      <c r="Q354" s="3">
        <v>2.0</v>
      </c>
      <c r="R354" s="3">
        <v>494.0</v>
      </c>
      <c r="S354" s="3">
        <v>57.480003</v>
      </c>
      <c r="T354" s="3">
        <v>12.625324</v>
      </c>
      <c r="U354" s="3" t="s">
        <v>2376</v>
      </c>
      <c r="V354" s="3">
        <v>0.0</v>
      </c>
      <c r="W354" s="3">
        <v>1598.0</v>
      </c>
      <c r="X354" s="3">
        <v>6059.0</v>
      </c>
      <c r="Y354" s="3">
        <v>33.0</v>
      </c>
      <c r="Z354" s="3">
        <v>119.0</v>
      </c>
      <c r="AA354" s="3">
        <v>270.0</v>
      </c>
      <c r="AB354" s="3">
        <v>686.0</v>
      </c>
      <c r="AC354" s="3">
        <v>238.0</v>
      </c>
    </row>
    <row r="355">
      <c r="A355" s="3">
        <v>353.0</v>
      </c>
      <c r="B355" s="3" t="s">
        <v>2373</v>
      </c>
      <c r="C355" s="3">
        <v>212.0</v>
      </c>
      <c r="D355" s="3" t="s">
        <v>2004</v>
      </c>
      <c r="E355" s="3">
        <v>17.533333</v>
      </c>
      <c r="F355" s="3">
        <v>-90.183333</v>
      </c>
      <c r="G355" s="3">
        <v>26.0</v>
      </c>
      <c r="H355" s="3">
        <v>3.0</v>
      </c>
      <c r="I355" s="3" t="s">
        <v>167</v>
      </c>
      <c r="J355" s="3">
        <v>564.0</v>
      </c>
      <c r="K355" s="3">
        <v>569.0</v>
      </c>
      <c r="L355" s="3" t="s">
        <v>133</v>
      </c>
      <c r="M355" s="3">
        <v>1.0</v>
      </c>
      <c r="N355" s="3" t="s">
        <v>121</v>
      </c>
      <c r="O355" s="3" t="s">
        <v>2374</v>
      </c>
      <c r="P355" s="3" t="s">
        <v>2378</v>
      </c>
      <c r="Q355" s="3">
        <v>2.0</v>
      </c>
      <c r="R355" s="3">
        <v>494.0</v>
      </c>
      <c r="S355" s="3">
        <v>57.480003</v>
      </c>
      <c r="T355" s="3">
        <v>12.625324</v>
      </c>
      <c r="U355" s="3" t="s">
        <v>2376</v>
      </c>
      <c r="V355" s="3">
        <v>0.0</v>
      </c>
      <c r="W355" s="3">
        <v>1598.0</v>
      </c>
      <c r="X355" s="3">
        <v>6059.0</v>
      </c>
      <c r="Y355" s="3">
        <v>33.0</v>
      </c>
      <c r="Z355" s="3">
        <v>119.0</v>
      </c>
      <c r="AA355" s="3">
        <v>270.0</v>
      </c>
      <c r="AB355" s="3">
        <v>686.0</v>
      </c>
      <c r="AC355" s="3">
        <v>238.0</v>
      </c>
    </row>
    <row r="356">
      <c r="A356" s="3">
        <v>354.0</v>
      </c>
      <c r="B356" s="3" t="s">
        <v>2373</v>
      </c>
      <c r="C356" s="3">
        <v>213.0</v>
      </c>
      <c r="D356" s="3" t="s">
        <v>925</v>
      </c>
      <c r="E356" s="3">
        <v>17.533333</v>
      </c>
      <c r="F356" s="3">
        <v>-90.183333</v>
      </c>
      <c r="G356" s="3">
        <v>26.0</v>
      </c>
      <c r="H356" s="3">
        <v>3.0</v>
      </c>
      <c r="I356" s="3" t="s">
        <v>167</v>
      </c>
      <c r="J356" s="3">
        <v>564.0</v>
      </c>
      <c r="K356" s="3">
        <v>569.0</v>
      </c>
      <c r="L356" s="3" t="s">
        <v>133</v>
      </c>
      <c r="M356" s="3">
        <v>1.0</v>
      </c>
      <c r="N356" s="3" t="s">
        <v>121</v>
      </c>
      <c r="O356" s="3" t="s">
        <v>2374</v>
      </c>
      <c r="P356" s="3" t="s">
        <v>2378</v>
      </c>
      <c r="Q356" s="3">
        <v>2.0</v>
      </c>
      <c r="R356" s="3">
        <v>494.0</v>
      </c>
      <c r="S356" s="3">
        <v>57.480003</v>
      </c>
      <c r="T356" s="3">
        <v>12.625324</v>
      </c>
      <c r="U356" s="3" t="s">
        <v>2376</v>
      </c>
      <c r="V356" s="3">
        <v>0.0</v>
      </c>
      <c r="W356" s="3">
        <v>1598.0</v>
      </c>
      <c r="X356" s="3">
        <v>6059.0</v>
      </c>
      <c r="Y356" s="3">
        <v>33.0</v>
      </c>
      <c r="Z356" s="3">
        <v>119.0</v>
      </c>
      <c r="AA356" s="3">
        <v>270.0</v>
      </c>
      <c r="AB356" s="3">
        <v>686.0</v>
      </c>
      <c r="AC356" s="3">
        <v>238.0</v>
      </c>
    </row>
    <row r="357">
      <c r="A357" s="3">
        <v>355.0</v>
      </c>
      <c r="B357" s="3" t="s">
        <v>2373</v>
      </c>
      <c r="C357" s="3">
        <v>231.0</v>
      </c>
      <c r="D357" s="3" t="s">
        <v>587</v>
      </c>
      <c r="E357" s="3">
        <v>17.533333</v>
      </c>
      <c r="F357" s="3">
        <v>-90.183333</v>
      </c>
      <c r="G357" s="3">
        <v>26.0</v>
      </c>
      <c r="H357" s="3">
        <v>3.0</v>
      </c>
      <c r="I357" s="3" t="s">
        <v>167</v>
      </c>
      <c r="J357" s="3">
        <v>564.0</v>
      </c>
      <c r="K357" s="3">
        <v>569.0</v>
      </c>
      <c r="L357" s="3" t="s">
        <v>133</v>
      </c>
      <c r="M357" s="3">
        <v>1.0</v>
      </c>
      <c r="N357" s="3" t="s">
        <v>121</v>
      </c>
      <c r="O357" s="3" t="s">
        <v>2374</v>
      </c>
      <c r="P357" s="3" t="s">
        <v>2378</v>
      </c>
      <c r="Q357" s="3">
        <v>2.0</v>
      </c>
      <c r="R357" s="3">
        <v>494.0</v>
      </c>
      <c r="S357" s="3">
        <v>57.480003</v>
      </c>
      <c r="T357" s="3">
        <v>12.625324</v>
      </c>
      <c r="U357" s="3" t="s">
        <v>2376</v>
      </c>
      <c r="V357" s="3">
        <v>0.0</v>
      </c>
      <c r="W357" s="3">
        <v>1598.0</v>
      </c>
      <c r="X357" s="3">
        <v>6059.0</v>
      </c>
      <c r="Y357" s="3">
        <v>33.0</v>
      </c>
      <c r="Z357" s="3">
        <v>119.0</v>
      </c>
      <c r="AA357" s="3">
        <v>270.0</v>
      </c>
      <c r="AB357" s="3">
        <v>686.0</v>
      </c>
      <c r="AC357" s="3">
        <v>238.0</v>
      </c>
    </row>
    <row r="358">
      <c r="A358" s="3">
        <v>356.0</v>
      </c>
      <c r="B358" s="3" t="s">
        <v>2373</v>
      </c>
      <c r="C358" s="3">
        <v>232.0</v>
      </c>
      <c r="D358" s="3" t="s">
        <v>603</v>
      </c>
      <c r="E358" s="3">
        <v>17.533333</v>
      </c>
      <c r="F358" s="3">
        <v>-90.183333</v>
      </c>
      <c r="G358" s="3">
        <v>26.0</v>
      </c>
      <c r="H358" s="3">
        <v>3.0</v>
      </c>
      <c r="I358" s="3" t="s">
        <v>167</v>
      </c>
      <c r="J358" s="3">
        <v>564.0</v>
      </c>
      <c r="K358" s="3">
        <v>569.0</v>
      </c>
      <c r="L358" s="3" t="s">
        <v>133</v>
      </c>
      <c r="M358" s="3">
        <v>1.0</v>
      </c>
      <c r="N358" s="3" t="s">
        <v>121</v>
      </c>
      <c r="O358" s="3" t="s">
        <v>2374</v>
      </c>
      <c r="P358" s="3" t="s">
        <v>2378</v>
      </c>
      <c r="Q358" s="3">
        <v>2.0</v>
      </c>
      <c r="R358" s="3">
        <v>494.0</v>
      </c>
      <c r="S358" s="3">
        <v>57.480003</v>
      </c>
      <c r="T358" s="3">
        <v>12.625324</v>
      </c>
      <c r="U358" s="3" t="s">
        <v>2376</v>
      </c>
      <c r="V358" s="3">
        <v>0.0</v>
      </c>
      <c r="W358" s="3">
        <v>1598.0</v>
      </c>
      <c r="X358" s="3">
        <v>6059.0</v>
      </c>
      <c r="Y358" s="3">
        <v>33.0</v>
      </c>
      <c r="Z358" s="3">
        <v>119.0</v>
      </c>
      <c r="AA358" s="3">
        <v>270.0</v>
      </c>
      <c r="AB358" s="3">
        <v>686.0</v>
      </c>
      <c r="AC358" s="3">
        <v>238.0</v>
      </c>
    </row>
    <row r="359">
      <c r="A359" s="3">
        <v>357.0</v>
      </c>
      <c r="B359" s="3" t="s">
        <v>2373</v>
      </c>
      <c r="C359" s="3">
        <v>233.0</v>
      </c>
      <c r="D359" s="3" t="s">
        <v>604</v>
      </c>
      <c r="E359" s="3">
        <v>17.533333</v>
      </c>
      <c r="F359" s="3">
        <v>-90.183333</v>
      </c>
      <c r="G359" s="3">
        <v>26.0</v>
      </c>
      <c r="H359" s="3">
        <v>3.0</v>
      </c>
      <c r="I359" s="3" t="s">
        <v>167</v>
      </c>
      <c r="J359" s="3">
        <v>564.0</v>
      </c>
      <c r="K359" s="3">
        <v>569.0</v>
      </c>
      <c r="L359" s="3" t="s">
        <v>133</v>
      </c>
      <c r="M359" s="3">
        <v>1.0</v>
      </c>
      <c r="N359" s="3" t="s">
        <v>121</v>
      </c>
      <c r="O359" s="3" t="s">
        <v>2374</v>
      </c>
      <c r="P359" s="3" t="s">
        <v>2378</v>
      </c>
      <c r="Q359" s="3">
        <v>2.0</v>
      </c>
      <c r="R359" s="3">
        <v>494.0</v>
      </c>
      <c r="S359" s="3">
        <v>57.480003</v>
      </c>
      <c r="T359" s="3">
        <v>12.625324</v>
      </c>
      <c r="U359" s="3" t="s">
        <v>2376</v>
      </c>
      <c r="V359" s="3">
        <v>0.0</v>
      </c>
      <c r="W359" s="3">
        <v>1598.0</v>
      </c>
      <c r="X359" s="3">
        <v>6059.0</v>
      </c>
      <c r="Y359" s="3">
        <v>33.0</v>
      </c>
      <c r="Z359" s="3">
        <v>119.0</v>
      </c>
      <c r="AA359" s="3">
        <v>270.0</v>
      </c>
      <c r="AB359" s="3">
        <v>686.0</v>
      </c>
      <c r="AC359" s="3">
        <v>238.0</v>
      </c>
    </row>
    <row r="360">
      <c r="A360" s="3">
        <v>358.0</v>
      </c>
      <c r="B360" s="3" t="s">
        <v>2373</v>
      </c>
      <c r="C360" s="3">
        <v>234.0</v>
      </c>
      <c r="D360" s="3" t="s">
        <v>605</v>
      </c>
      <c r="E360" s="3">
        <v>17.533333</v>
      </c>
      <c r="F360" s="3">
        <v>-90.183333</v>
      </c>
      <c r="G360" s="3">
        <v>26.0</v>
      </c>
      <c r="H360" s="3">
        <v>3.0</v>
      </c>
      <c r="I360" s="3" t="s">
        <v>167</v>
      </c>
      <c r="J360" s="3">
        <v>564.0</v>
      </c>
      <c r="K360" s="3">
        <v>569.0</v>
      </c>
      <c r="L360" s="3" t="s">
        <v>133</v>
      </c>
      <c r="M360" s="3">
        <v>1.0</v>
      </c>
      <c r="N360" s="3" t="s">
        <v>121</v>
      </c>
      <c r="O360" s="3" t="s">
        <v>2374</v>
      </c>
      <c r="P360" s="3" t="s">
        <v>2378</v>
      </c>
      <c r="Q360" s="3">
        <v>2.0</v>
      </c>
      <c r="R360" s="3">
        <v>494.0</v>
      </c>
      <c r="S360" s="3">
        <v>57.480003</v>
      </c>
      <c r="T360" s="3">
        <v>12.625324</v>
      </c>
      <c r="U360" s="3" t="s">
        <v>2376</v>
      </c>
      <c r="V360" s="3">
        <v>0.0</v>
      </c>
      <c r="W360" s="3">
        <v>1598.0</v>
      </c>
      <c r="X360" s="3">
        <v>6059.0</v>
      </c>
      <c r="Y360" s="3">
        <v>33.0</v>
      </c>
      <c r="Z360" s="3">
        <v>119.0</v>
      </c>
      <c r="AA360" s="3">
        <v>270.0</v>
      </c>
      <c r="AB360" s="3">
        <v>686.0</v>
      </c>
      <c r="AC360" s="3">
        <v>238.0</v>
      </c>
    </row>
    <row r="361">
      <c r="A361" s="3">
        <v>359.0</v>
      </c>
      <c r="B361" s="3" t="s">
        <v>2373</v>
      </c>
      <c r="C361" s="3">
        <v>235.0</v>
      </c>
      <c r="D361" s="3" t="s">
        <v>1217</v>
      </c>
      <c r="E361" s="3">
        <v>17.669071</v>
      </c>
      <c r="F361" s="3">
        <v>-89.792832</v>
      </c>
      <c r="G361" s="3">
        <v>26.0</v>
      </c>
      <c r="H361" s="3">
        <v>3.0</v>
      </c>
      <c r="I361" s="3" t="s">
        <v>167</v>
      </c>
      <c r="J361" s="3">
        <v>564.0</v>
      </c>
      <c r="K361" s="3">
        <v>569.0</v>
      </c>
      <c r="L361" s="3" t="s">
        <v>133</v>
      </c>
      <c r="M361" s="3">
        <v>1.0</v>
      </c>
      <c r="N361" s="3" t="s">
        <v>121</v>
      </c>
      <c r="O361" s="3" t="s">
        <v>2374</v>
      </c>
      <c r="P361" s="3" t="s">
        <v>2378</v>
      </c>
      <c r="Q361" s="3">
        <v>2.0</v>
      </c>
      <c r="R361" s="3">
        <v>494.0</v>
      </c>
      <c r="S361" s="3">
        <v>57.480003</v>
      </c>
      <c r="T361" s="3">
        <v>12.625324</v>
      </c>
      <c r="U361" s="3" t="s">
        <v>2376</v>
      </c>
      <c r="V361" s="3">
        <v>0.0</v>
      </c>
      <c r="W361" s="3">
        <v>1436.0</v>
      </c>
      <c r="X361" s="3">
        <v>5881.0</v>
      </c>
      <c r="Y361" s="3">
        <v>34.0</v>
      </c>
      <c r="Z361" s="3">
        <v>112.0</v>
      </c>
      <c r="AA361" s="3">
        <v>238.0</v>
      </c>
      <c r="AB361" s="3">
        <v>608.0</v>
      </c>
      <c r="AC361" s="3">
        <v>298.0</v>
      </c>
    </row>
    <row r="362">
      <c r="A362" s="3">
        <v>360.0</v>
      </c>
      <c r="B362" s="3" t="s">
        <v>2373</v>
      </c>
      <c r="C362" s="3">
        <v>236.0</v>
      </c>
      <c r="D362" s="3" t="s">
        <v>1218</v>
      </c>
      <c r="E362" s="3">
        <v>17.669071</v>
      </c>
      <c r="F362" s="3">
        <v>-89.792832</v>
      </c>
      <c r="G362" s="3">
        <v>26.0</v>
      </c>
      <c r="H362" s="3">
        <v>3.0</v>
      </c>
      <c r="I362" s="3" t="s">
        <v>167</v>
      </c>
      <c r="J362" s="3">
        <v>564.0</v>
      </c>
      <c r="K362" s="3">
        <v>569.0</v>
      </c>
      <c r="L362" s="3" t="s">
        <v>133</v>
      </c>
      <c r="M362" s="3">
        <v>1.0</v>
      </c>
      <c r="N362" s="3" t="s">
        <v>121</v>
      </c>
      <c r="O362" s="3" t="s">
        <v>2374</v>
      </c>
      <c r="P362" s="3" t="s">
        <v>2378</v>
      </c>
      <c r="Q362" s="3">
        <v>2.0</v>
      </c>
      <c r="R362" s="3">
        <v>494.0</v>
      </c>
      <c r="S362" s="3">
        <v>57.480003</v>
      </c>
      <c r="T362" s="3">
        <v>12.625324</v>
      </c>
      <c r="U362" s="3" t="s">
        <v>2376</v>
      </c>
      <c r="V362" s="3">
        <v>0.0</v>
      </c>
      <c r="W362" s="3">
        <v>1436.0</v>
      </c>
      <c r="X362" s="3">
        <v>5881.0</v>
      </c>
      <c r="Y362" s="3">
        <v>34.0</v>
      </c>
      <c r="Z362" s="3">
        <v>112.0</v>
      </c>
      <c r="AA362" s="3">
        <v>238.0</v>
      </c>
      <c r="AB362" s="3">
        <v>608.0</v>
      </c>
      <c r="AC362" s="3">
        <v>298.0</v>
      </c>
    </row>
    <row r="363">
      <c r="A363" s="3">
        <v>361.0</v>
      </c>
      <c r="B363" s="3" t="s">
        <v>2373</v>
      </c>
      <c r="C363" s="3">
        <v>237.0</v>
      </c>
      <c r="D363" s="3" t="s">
        <v>999</v>
      </c>
      <c r="E363" s="3">
        <v>17.669071</v>
      </c>
      <c r="F363" s="3">
        <v>-89.792832</v>
      </c>
      <c r="G363" s="3">
        <v>26.0</v>
      </c>
      <c r="H363" s="3">
        <v>3.0</v>
      </c>
      <c r="I363" s="3" t="s">
        <v>167</v>
      </c>
      <c r="J363" s="3">
        <v>564.0</v>
      </c>
      <c r="K363" s="3">
        <v>569.0</v>
      </c>
      <c r="L363" s="3" t="s">
        <v>133</v>
      </c>
      <c r="M363" s="3">
        <v>1.0</v>
      </c>
      <c r="N363" s="3" t="s">
        <v>121</v>
      </c>
      <c r="O363" s="3" t="s">
        <v>2374</v>
      </c>
      <c r="P363" s="3" t="s">
        <v>2378</v>
      </c>
      <c r="Q363" s="3">
        <v>2.0</v>
      </c>
      <c r="R363" s="3">
        <v>494.0</v>
      </c>
      <c r="S363" s="3">
        <v>57.480003</v>
      </c>
      <c r="T363" s="3">
        <v>12.625324</v>
      </c>
      <c r="U363" s="3" t="s">
        <v>2376</v>
      </c>
      <c r="V363" s="3">
        <v>0.0</v>
      </c>
      <c r="W363" s="3">
        <v>1436.0</v>
      </c>
      <c r="X363" s="3">
        <v>5881.0</v>
      </c>
      <c r="Y363" s="3">
        <v>34.0</v>
      </c>
      <c r="Z363" s="3">
        <v>112.0</v>
      </c>
      <c r="AA363" s="3">
        <v>238.0</v>
      </c>
      <c r="AB363" s="3">
        <v>608.0</v>
      </c>
      <c r="AC363" s="3">
        <v>298.0</v>
      </c>
    </row>
    <row r="364">
      <c r="A364" s="3">
        <v>362.0</v>
      </c>
      <c r="B364" s="3" t="s">
        <v>2373</v>
      </c>
      <c r="C364" s="3">
        <v>238.0</v>
      </c>
      <c r="D364" s="3" t="s">
        <v>1220</v>
      </c>
      <c r="E364" s="3">
        <v>17.669071</v>
      </c>
      <c r="F364" s="3">
        <v>-89.792832</v>
      </c>
      <c r="G364" s="3">
        <v>26.0</v>
      </c>
      <c r="H364" s="3">
        <v>3.0</v>
      </c>
      <c r="I364" s="3" t="s">
        <v>167</v>
      </c>
      <c r="J364" s="3">
        <v>564.0</v>
      </c>
      <c r="K364" s="3">
        <v>569.0</v>
      </c>
      <c r="L364" s="3" t="s">
        <v>133</v>
      </c>
      <c r="M364" s="3">
        <v>1.0</v>
      </c>
      <c r="N364" s="3" t="s">
        <v>121</v>
      </c>
      <c r="O364" s="3" t="s">
        <v>2374</v>
      </c>
      <c r="P364" s="3" t="s">
        <v>2378</v>
      </c>
      <c r="Q364" s="3">
        <v>2.0</v>
      </c>
      <c r="R364" s="3">
        <v>494.0</v>
      </c>
      <c r="S364" s="3">
        <v>57.480003</v>
      </c>
      <c r="T364" s="3">
        <v>12.625324</v>
      </c>
      <c r="U364" s="3" t="s">
        <v>2376</v>
      </c>
      <c r="V364" s="3">
        <v>0.0</v>
      </c>
      <c r="W364" s="3">
        <v>1436.0</v>
      </c>
      <c r="X364" s="3">
        <v>5881.0</v>
      </c>
      <c r="Y364" s="3">
        <v>34.0</v>
      </c>
      <c r="Z364" s="3">
        <v>112.0</v>
      </c>
      <c r="AA364" s="3">
        <v>238.0</v>
      </c>
      <c r="AB364" s="3">
        <v>608.0</v>
      </c>
      <c r="AC364" s="3">
        <v>298.0</v>
      </c>
    </row>
    <row r="365">
      <c r="A365" s="3">
        <v>363.0</v>
      </c>
      <c r="B365" s="3" t="s">
        <v>2373</v>
      </c>
      <c r="C365" s="3">
        <v>243.0</v>
      </c>
      <c r="D365" s="3" t="s">
        <v>1662</v>
      </c>
      <c r="E365" s="3">
        <v>16.916667</v>
      </c>
      <c r="F365" s="3">
        <v>-89.833333</v>
      </c>
      <c r="G365" s="3">
        <v>26.0</v>
      </c>
      <c r="H365" s="3">
        <v>3.0</v>
      </c>
      <c r="I365" s="3" t="s">
        <v>167</v>
      </c>
      <c r="J365" s="3">
        <v>564.0</v>
      </c>
      <c r="K365" s="3">
        <v>569.0</v>
      </c>
      <c r="L365" s="3" t="s">
        <v>133</v>
      </c>
      <c r="M365" s="3">
        <v>1.0</v>
      </c>
      <c r="N365" s="3" t="s">
        <v>121</v>
      </c>
      <c r="O365" s="3" t="s">
        <v>2374</v>
      </c>
      <c r="P365" s="3" t="s">
        <v>2378</v>
      </c>
      <c r="Q365" s="3">
        <v>2.0</v>
      </c>
      <c r="R365" s="3">
        <v>494.0</v>
      </c>
      <c r="S365" s="3">
        <v>57.480003</v>
      </c>
      <c r="T365" s="3">
        <v>12.625324</v>
      </c>
      <c r="U365" s="3" t="s">
        <v>2376</v>
      </c>
      <c r="V365" s="3">
        <v>0.0</v>
      </c>
      <c r="W365" s="3">
        <v>1738.0</v>
      </c>
      <c r="X365" s="3">
        <v>5677.0</v>
      </c>
      <c r="Y365" s="3">
        <v>36.0</v>
      </c>
      <c r="Z365" s="3">
        <v>144.0</v>
      </c>
      <c r="AA365" s="3">
        <v>255.0</v>
      </c>
      <c r="AB365" s="3">
        <v>690.0</v>
      </c>
      <c r="AC365" s="3">
        <v>131.0</v>
      </c>
    </row>
    <row r="366">
      <c r="A366" s="3">
        <v>364.0</v>
      </c>
      <c r="B366" s="3" t="s">
        <v>2373</v>
      </c>
      <c r="C366" s="3">
        <v>244.0</v>
      </c>
      <c r="D366" s="3" t="s">
        <v>1664</v>
      </c>
      <c r="E366" s="3">
        <v>16.916667</v>
      </c>
      <c r="F366" s="3">
        <v>-89.833333</v>
      </c>
      <c r="G366" s="3">
        <v>26.0</v>
      </c>
      <c r="H366" s="3">
        <v>3.0</v>
      </c>
      <c r="I366" s="3" t="s">
        <v>167</v>
      </c>
      <c r="J366" s="3">
        <v>564.0</v>
      </c>
      <c r="K366" s="3">
        <v>569.0</v>
      </c>
      <c r="L366" s="3" t="s">
        <v>133</v>
      </c>
      <c r="M366" s="3">
        <v>1.0</v>
      </c>
      <c r="N366" s="3" t="s">
        <v>121</v>
      </c>
      <c r="O366" s="3" t="s">
        <v>2374</v>
      </c>
      <c r="P366" s="3" t="s">
        <v>2378</v>
      </c>
      <c r="Q366" s="3">
        <v>2.0</v>
      </c>
      <c r="R366" s="3">
        <v>494.0</v>
      </c>
      <c r="S366" s="3">
        <v>57.480003</v>
      </c>
      <c r="T366" s="3">
        <v>12.625324</v>
      </c>
      <c r="U366" s="3" t="s">
        <v>2376</v>
      </c>
      <c r="V366" s="3">
        <v>0.0</v>
      </c>
      <c r="W366" s="3">
        <v>1738.0</v>
      </c>
      <c r="X366" s="3">
        <v>5677.0</v>
      </c>
      <c r="Y366" s="3">
        <v>36.0</v>
      </c>
      <c r="Z366" s="3">
        <v>144.0</v>
      </c>
      <c r="AA366" s="3">
        <v>255.0</v>
      </c>
      <c r="AB366" s="3">
        <v>690.0</v>
      </c>
      <c r="AC366" s="3">
        <v>131.0</v>
      </c>
    </row>
    <row r="367">
      <c r="A367" s="3">
        <v>365.0</v>
      </c>
      <c r="B367" s="3" t="s">
        <v>2373</v>
      </c>
      <c r="C367" s="3">
        <v>284.0</v>
      </c>
      <c r="D367" s="3" t="s">
        <v>2070</v>
      </c>
      <c r="E367" s="3">
        <v>17.0</v>
      </c>
      <c r="F367" s="3">
        <v>-89.916667</v>
      </c>
      <c r="G367" s="3">
        <v>26.0</v>
      </c>
      <c r="H367" s="3">
        <v>3.0</v>
      </c>
      <c r="I367" s="3" t="s">
        <v>167</v>
      </c>
      <c r="J367" s="3">
        <v>564.0</v>
      </c>
      <c r="K367" s="3">
        <v>569.0</v>
      </c>
      <c r="L367" s="3" t="s">
        <v>133</v>
      </c>
      <c r="M367" s="3">
        <v>1.0</v>
      </c>
      <c r="N367" s="3" t="s">
        <v>121</v>
      </c>
      <c r="O367" s="3" t="s">
        <v>2374</v>
      </c>
      <c r="P367" s="3" t="s">
        <v>2378</v>
      </c>
      <c r="Q367" s="3">
        <v>2.0</v>
      </c>
      <c r="R367" s="3">
        <v>494.0</v>
      </c>
      <c r="S367" s="3">
        <v>57.480003</v>
      </c>
      <c r="T367" s="3">
        <v>12.625324</v>
      </c>
      <c r="U367" s="3" t="s">
        <v>2376</v>
      </c>
      <c r="V367" s="3">
        <v>0.0</v>
      </c>
      <c r="W367" s="3">
        <v>1741.0</v>
      </c>
      <c r="X367" s="3">
        <v>5771.0</v>
      </c>
      <c r="Y367" s="3">
        <v>39.0</v>
      </c>
      <c r="Z367" s="3">
        <v>141.0</v>
      </c>
      <c r="AA367" s="3">
        <v>263.0</v>
      </c>
      <c r="AB367" s="3">
        <v>702.0</v>
      </c>
      <c r="AC367" s="3">
        <v>197.0</v>
      </c>
    </row>
    <row r="368">
      <c r="A368" s="3">
        <v>366.0</v>
      </c>
      <c r="B368" s="3" t="s">
        <v>2373</v>
      </c>
      <c r="C368" s="3">
        <v>285.0</v>
      </c>
      <c r="D368" s="3" t="s">
        <v>2073</v>
      </c>
      <c r="E368" s="3">
        <v>17.0</v>
      </c>
      <c r="F368" s="3">
        <v>-89.916667</v>
      </c>
      <c r="G368" s="3">
        <v>26.0</v>
      </c>
      <c r="H368" s="3">
        <v>3.0</v>
      </c>
      <c r="I368" s="3" t="s">
        <v>167</v>
      </c>
      <c r="J368" s="3">
        <v>564.0</v>
      </c>
      <c r="K368" s="3">
        <v>569.0</v>
      </c>
      <c r="L368" s="3" t="s">
        <v>133</v>
      </c>
      <c r="M368" s="3">
        <v>1.0</v>
      </c>
      <c r="N368" s="3" t="s">
        <v>121</v>
      </c>
      <c r="O368" s="3" t="s">
        <v>2374</v>
      </c>
      <c r="P368" s="3" t="s">
        <v>2378</v>
      </c>
      <c r="Q368" s="3">
        <v>2.0</v>
      </c>
      <c r="R368" s="3">
        <v>494.0</v>
      </c>
      <c r="S368" s="3">
        <v>57.480003</v>
      </c>
      <c r="T368" s="3">
        <v>12.625324</v>
      </c>
      <c r="U368" s="3" t="s">
        <v>2376</v>
      </c>
      <c r="V368" s="3">
        <v>0.0</v>
      </c>
      <c r="W368" s="3">
        <v>1741.0</v>
      </c>
      <c r="X368" s="3">
        <v>5771.0</v>
      </c>
      <c r="Y368" s="3">
        <v>39.0</v>
      </c>
      <c r="Z368" s="3">
        <v>141.0</v>
      </c>
      <c r="AA368" s="3">
        <v>263.0</v>
      </c>
      <c r="AB368" s="3">
        <v>702.0</v>
      </c>
      <c r="AC368" s="3">
        <v>197.0</v>
      </c>
    </row>
    <row r="369">
      <c r="A369" s="3">
        <v>367.0</v>
      </c>
      <c r="B369" s="3" t="s">
        <v>2373</v>
      </c>
      <c r="C369" s="3">
        <v>286.0</v>
      </c>
      <c r="D369" s="3" t="s">
        <v>2074</v>
      </c>
      <c r="E369" s="3">
        <v>17.0</v>
      </c>
      <c r="F369" s="3">
        <v>-89.916667</v>
      </c>
      <c r="G369" s="3">
        <v>26.0</v>
      </c>
      <c r="H369" s="3">
        <v>3.0</v>
      </c>
      <c r="I369" s="3" t="s">
        <v>167</v>
      </c>
      <c r="J369" s="3">
        <v>564.0</v>
      </c>
      <c r="K369" s="3">
        <v>569.0</v>
      </c>
      <c r="L369" s="3" t="s">
        <v>133</v>
      </c>
      <c r="M369" s="3">
        <v>1.0</v>
      </c>
      <c r="N369" s="3" t="s">
        <v>121</v>
      </c>
      <c r="O369" s="3" t="s">
        <v>2374</v>
      </c>
      <c r="P369" s="3" t="s">
        <v>2378</v>
      </c>
      <c r="Q369" s="3">
        <v>2.0</v>
      </c>
      <c r="R369" s="3">
        <v>494.0</v>
      </c>
      <c r="S369" s="3">
        <v>57.480003</v>
      </c>
      <c r="T369" s="3">
        <v>12.625324</v>
      </c>
      <c r="U369" s="3" t="s">
        <v>2376</v>
      </c>
      <c r="V369" s="3">
        <v>0.0</v>
      </c>
      <c r="W369" s="3">
        <v>1741.0</v>
      </c>
      <c r="X369" s="3">
        <v>5771.0</v>
      </c>
      <c r="Y369" s="3">
        <v>39.0</v>
      </c>
      <c r="Z369" s="3">
        <v>141.0</v>
      </c>
      <c r="AA369" s="3">
        <v>263.0</v>
      </c>
      <c r="AB369" s="3">
        <v>702.0</v>
      </c>
      <c r="AC369" s="3">
        <v>197.0</v>
      </c>
    </row>
    <row r="370">
      <c r="A370" s="3">
        <v>368.0</v>
      </c>
      <c r="B370" s="3" t="s">
        <v>2373</v>
      </c>
      <c r="C370" s="3">
        <v>287.0</v>
      </c>
      <c r="D370" s="3" t="s">
        <v>2075</v>
      </c>
      <c r="E370" s="3">
        <v>17.0</v>
      </c>
      <c r="F370" s="3">
        <v>-89.916667</v>
      </c>
      <c r="G370" s="3">
        <v>26.0</v>
      </c>
      <c r="H370" s="3">
        <v>3.0</v>
      </c>
      <c r="I370" s="3" t="s">
        <v>167</v>
      </c>
      <c r="J370" s="3">
        <v>564.0</v>
      </c>
      <c r="K370" s="3">
        <v>569.0</v>
      </c>
      <c r="L370" s="3" t="s">
        <v>133</v>
      </c>
      <c r="M370" s="3">
        <v>1.0</v>
      </c>
      <c r="N370" s="3" t="s">
        <v>121</v>
      </c>
      <c r="O370" s="3" t="s">
        <v>2374</v>
      </c>
      <c r="P370" s="3" t="s">
        <v>2378</v>
      </c>
      <c r="Q370" s="3">
        <v>2.0</v>
      </c>
      <c r="R370" s="3">
        <v>494.0</v>
      </c>
      <c r="S370" s="3">
        <v>57.480003</v>
      </c>
      <c r="T370" s="3">
        <v>12.625324</v>
      </c>
      <c r="U370" s="3" t="s">
        <v>2376</v>
      </c>
      <c r="V370" s="3">
        <v>0.0</v>
      </c>
      <c r="W370" s="3">
        <v>1741.0</v>
      </c>
      <c r="X370" s="3">
        <v>5771.0</v>
      </c>
      <c r="Y370" s="3">
        <v>39.0</v>
      </c>
      <c r="Z370" s="3">
        <v>141.0</v>
      </c>
      <c r="AA370" s="3">
        <v>263.0</v>
      </c>
      <c r="AB370" s="3">
        <v>702.0</v>
      </c>
      <c r="AC370" s="3">
        <v>197.0</v>
      </c>
    </row>
    <row r="371">
      <c r="A371" s="3">
        <v>369.0</v>
      </c>
      <c r="B371" s="3" t="s">
        <v>2373</v>
      </c>
      <c r="C371" s="3">
        <v>288.0</v>
      </c>
      <c r="D371" s="3" t="s">
        <v>2077</v>
      </c>
      <c r="E371" s="3">
        <v>17.0</v>
      </c>
      <c r="F371" s="3">
        <v>-89.916667</v>
      </c>
      <c r="G371" s="3">
        <v>26.0</v>
      </c>
      <c r="H371" s="3">
        <v>3.0</v>
      </c>
      <c r="I371" s="3" t="s">
        <v>167</v>
      </c>
      <c r="J371" s="3">
        <v>564.0</v>
      </c>
      <c r="K371" s="3">
        <v>569.0</v>
      </c>
      <c r="L371" s="3" t="s">
        <v>133</v>
      </c>
      <c r="M371" s="3">
        <v>1.0</v>
      </c>
      <c r="N371" s="3" t="s">
        <v>121</v>
      </c>
      <c r="O371" s="3" t="s">
        <v>2374</v>
      </c>
      <c r="P371" s="3" t="s">
        <v>2378</v>
      </c>
      <c r="Q371" s="3">
        <v>2.0</v>
      </c>
      <c r="R371" s="3">
        <v>494.0</v>
      </c>
      <c r="S371" s="3">
        <v>57.480003</v>
      </c>
      <c r="T371" s="3">
        <v>12.625324</v>
      </c>
      <c r="U371" s="3" t="s">
        <v>2376</v>
      </c>
      <c r="V371" s="3">
        <v>0.0</v>
      </c>
      <c r="W371" s="3">
        <v>1741.0</v>
      </c>
      <c r="X371" s="3">
        <v>5771.0</v>
      </c>
      <c r="Y371" s="3">
        <v>39.0</v>
      </c>
      <c r="Z371" s="3">
        <v>141.0</v>
      </c>
      <c r="AA371" s="3">
        <v>263.0</v>
      </c>
      <c r="AB371" s="3">
        <v>702.0</v>
      </c>
      <c r="AC371" s="3">
        <v>197.0</v>
      </c>
    </row>
    <row r="372">
      <c r="A372" s="3">
        <v>370.0</v>
      </c>
      <c r="B372" s="3" t="s">
        <v>2373</v>
      </c>
      <c r="C372" s="3">
        <v>289.0</v>
      </c>
      <c r="D372" s="78" t="s">
        <v>2078</v>
      </c>
      <c r="E372" s="3">
        <v>17.0</v>
      </c>
      <c r="F372" s="3">
        <v>-89.916667</v>
      </c>
      <c r="G372" s="3">
        <v>26.0</v>
      </c>
      <c r="H372" s="3">
        <v>3.0</v>
      </c>
      <c r="I372" s="3" t="s">
        <v>167</v>
      </c>
      <c r="J372" s="3">
        <v>564.0</v>
      </c>
      <c r="K372" s="3">
        <v>569.0</v>
      </c>
      <c r="L372" s="3" t="s">
        <v>133</v>
      </c>
      <c r="M372" s="3">
        <v>1.0</v>
      </c>
      <c r="N372" s="3" t="s">
        <v>121</v>
      </c>
      <c r="O372" s="3" t="s">
        <v>2374</v>
      </c>
      <c r="P372" s="3" t="s">
        <v>2378</v>
      </c>
      <c r="Q372" s="3">
        <v>2.0</v>
      </c>
      <c r="R372" s="3">
        <v>494.0</v>
      </c>
      <c r="S372" s="3">
        <v>57.480003</v>
      </c>
      <c r="T372" s="3">
        <v>12.625324</v>
      </c>
      <c r="U372" s="3" t="s">
        <v>2376</v>
      </c>
      <c r="V372" s="3">
        <v>0.0</v>
      </c>
      <c r="W372" s="3">
        <v>1741.0</v>
      </c>
      <c r="X372" s="3">
        <v>5771.0</v>
      </c>
      <c r="Y372" s="3">
        <v>39.0</v>
      </c>
      <c r="Z372" s="3">
        <v>141.0</v>
      </c>
      <c r="AA372" s="3">
        <v>263.0</v>
      </c>
      <c r="AB372" s="3">
        <v>702.0</v>
      </c>
      <c r="AC372" s="3">
        <v>197.0</v>
      </c>
    </row>
    <row r="373">
      <c r="A373" s="3">
        <v>371.0</v>
      </c>
      <c r="B373" s="3" t="s">
        <v>2373</v>
      </c>
      <c r="C373" s="3">
        <v>290.0</v>
      </c>
      <c r="D373" s="3" t="s">
        <v>1173</v>
      </c>
      <c r="E373" s="3">
        <v>17.0</v>
      </c>
      <c r="F373" s="3">
        <v>-89.916667</v>
      </c>
      <c r="G373" s="3">
        <v>26.0</v>
      </c>
      <c r="H373" s="3">
        <v>3.0</v>
      </c>
      <c r="I373" s="3" t="s">
        <v>167</v>
      </c>
      <c r="J373" s="3">
        <v>564.0</v>
      </c>
      <c r="K373" s="3">
        <v>569.0</v>
      </c>
      <c r="L373" s="3" t="s">
        <v>133</v>
      </c>
      <c r="M373" s="3">
        <v>1.0</v>
      </c>
      <c r="N373" s="3" t="s">
        <v>121</v>
      </c>
      <c r="O373" s="3" t="s">
        <v>2374</v>
      </c>
      <c r="P373" s="3" t="s">
        <v>2378</v>
      </c>
      <c r="Q373" s="3">
        <v>2.0</v>
      </c>
      <c r="R373" s="3">
        <v>494.0</v>
      </c>
      <c r="S373" s="3">
        <v>57.480003</v>
      </c>
      <c r="T373" s="3">
        <v>12.625324</v>
      </c>
      <c r="U373" s="3" t="s">
        <v>2376</v>
      </c>
      <c r="V373" s="3">
        <v>0.0</v>
      </c>
      <c r="W373" s="3">
        <v>1741.0</v>
      </c>
      <c r="X373" s="3">
        <v>5771.0</v>
      </c>
      <c r="Y373" s="3">
        <v>39.0</v>
      </c>
      <c r="Z373" s="3">
        <v>141.0</v>
      </c>
      <c r="AA373" s="3">
        <v>263.0</v>
      </c>
      <c r="AB373" s="3">
        <v>702.0</v>
      </c>
      <c r="AC373" s="3">
        <v>197.0</v>
      </c>
    </row>
    <row r="374">
      <c r="A374" s="3">
        <v>372.0</v>
      </c>
      <c r="B374" s="3" t="s">
        <v>2373</v>
      </c>
      <c r="C374" s="3">
        <v>291.0</v>
      </c>
      <c r="D374" s="3" t="s">
        <v>1175</v>
      </c>
      <c r="E374" s="3">
        <v>17.0</v>
      </c>
      <c r="F374" s="3">
        <v>-89.916667</v>
      </c>
      <c r="G374" s="3">
        <v>26.0</v>
      </c>
      <c r="H374" s="3">
        <v>3.0</v>
      </c>
      <c r="I374" s="3" t="s">
        <v>167</v>
      </c>
      <c r="J374" s="3">
        <v>564.0</v>
      </c>
      <c r="K374" s="3">
        <v>569.0</v>
      </c>
      <c r="L374" s="3" t="s">
        <v>133</v>
      </c>
      <c r="M374" s="3">
        <v>1.0</v>
      </c>
      <c r="N374" s="3" t="s">
        <v>121</v>
      </c>
      <c r="O374" s="3" t="s">
        <v>2374</v>
      </c>
      <c r="P374" s="3" t="s">
        <v>2378</v>
      </c>
      <c r="Q374" s="3">
        <v>2.0</v>
      </c>
      <c r="R374" s="3">
        <v>494.0</v>
      </c>
      <c r="S374" s="3">
        <v>57.480003</v>
      </c>
      <c r="T374" s="3">
        <v>12.625324</v>
      </c>
      <c r="U374" s="3" t="s">
        <v>2376</v>
      </c>
      <c r="V374" s="3">
        <v>0.0</v>
      </c>
      <c r="W374" s="3">
        <v>1741.0</v>
      </c>
      <c r="X374" s="3">
        <v>5771.0</v>
      </c>
      <c r="Y374" s="3">
        <v>39.0</v>
      </c>
      <c r="Z374" s="3">
        <v>141.0</v>
      </c>
      <c r="AA374" s="3">
        <v>263.0</v>
      </c>
      <c r="AB374" s="3">
        <v>702.0</v>
      </c>
      <c r="AC374" s="3">
        <v>197.0</v>
      </c>
    </row>
    <row r="375">
      <c r="A375" s="3">
        <v>373.0</v>
      </c>
      <c r="B375" s="3" t="s">
        <v>2373</v>
      </c>
      <c r="C375" s="3">
        <v>292.0</v>
      </c>
      <c r="D375" s="3" t="s">
        <v>1176</v>
      </c>
      <c r="E375" s="3">
        <v>17.0</v>
      </c>
      <c r="F375" s="3">
        <v>-89.916667</v>
      </c>
      <c r="G375" s="3">
        <v>26.0</v>
      </c>
      <c r="H375" s="3">
        <v>3.0</v>
      </c>
      <c r="I375" s="3" t="s">
        <v>167</v>
      </c>
      <c r="J375" s="3">
        <v>564.0</v>
      </c>
      <c r="K375" s="3">
        <v>569.0</v>
      </c>
      <c r="L375" s="3" t="s">
        <v>133</v>
      </c>
      <c r="M375" s="3">
        <v>1.0</v>
      </c>
      <c r="N375" s="3" t="s">
        <v>121</v>
      </c>
      <c r="O375" s="3" t="s">
        <v>2374</v>
      </c>
      <c r="P375" s="3" t="s">
        <v>2378</v>
      </c>
      <c r="Q375" s="3">
        <v>2.0</v>
      </c>
      <c r="R375" s="3">
        <v>494.0</v>
      </c>
      <c r="S375" s="3">
        <v>57.480003</v>
      </c>
      <c r="T375" s="3">
        <v>12.625324</v>
      </c>
      <c r="U375" s="3" t="s">
        <v>2376</v>
      </c>
      <c r="V375" s="3">
        <v>0.0</v>
      </c>
      <c r="W375" s="3">
        <v>1741.0</v>
      </c>
      <c r="X375" s="3">
        <v>5771.0</v>
      </c>
      <c r="Y375" s="3">
        <v>39.0</v>
      </c>
      <c r="Z375" s="3">
        <v>141.0</v>
      </c>
      <c r="AA375" s="3">
        <v>263.0</v>
      </c>
      <c r="AB375" s="3">
        <v>702.0</v>
      </c>
      <c r="AC375" s="3">
        <v>197.0</v>
      </c>
    </row>
    <row r="376">
      <c r="A376" s="3">
        <v>374.0</v>
      </c>
      <c r="B376" s="3" t="s">
        <v>2373</v>
      </c>
      <c r="C376" s="3">
        <v>293.0</v>
      </c>
      <c r="D376" s="3" t="s">
        <v>2079</v>
      </c>
      <c r="E376" s="3">
        <v>17.0</v>
      </c>
      <c r="F376" s="3">
        <v>-89.916667</v>
      </c>
      <c r="G376" s="3">
        <v>26.0</v>
      </c>
      <c r="H376" s="3">
        <v>3.0</v>
      </c>
      <c r="I376" s="3" t="s">
        <v>167</v>
      </c>
      <c r="J376" s="3">
        <v>564.0</v>
      </c>
      <c r="K376" s="3">
        <v>569.0</v>
      </c>
      <c r="L376" s="3" t="s">
        <v>133</v>
      </c>
      <c r="M376" s="3">
        <v>1.0</v>
      </c>
      <c r="N376" s="3" t="s">
        <v>121</v>
      </c>
      <c r="O376" s="3" t="s">
        <v>2374</v>
      </c>
      <c r="P376" s="3" t="s">
        <v>2378</v>
      </c>
      <c r="Q376" s="3">
        <v>2.0</v>
      </c>
      <c r="R376" s="3">
        <v>494.0</v>
      </c>
      <c r="S376" s="3">
        <v>57.480003</v>
      </c>
      <c r="T376" s="3">
        <v>12.625324</v>
      </c>
      <c r="U376" s="3" t="s">
        <v>2376</v>
      </c>
      <c r="V376" s="3">
        <v>0.0</v>
      </c>
      <c r="W376" s="3">
        <v>1741.0</v>
      </c>
      <c r="X376" s="3">
        <v>5771.0</v>
      </c>
      <c r="Y376" s="3">
        <v>39.0</v>
      </c>
      <c r="Z376" s="3">
        <v>141.0</v>
      </c>
      <c r="AA376" s="3">
        <v>263.0</v>
      </c>
      <c r="AB376" s="3">
        <v>702.0</v>
      </c>
      <c r="AC376" s="3">
        <v>197.0</v>
      </c>
    </row>
    <row r="377">
      <c r="A377" s="3">
        <v>375.0</v>
      </c>
      <c r="B377" s="3" t="s">
        <v>2373</v>
      </c>
      <c r="C377" s="3">
        <v>303.0</v>
      </c>
      <c r="D377" s="3" t="s">
        <v>1198</v>
      </c>
      <c r="E377" s="3">
        <v>16.916667</v>
      </c>
      <c r="F377" s="3">
        <v>-89.833333</v>
      </c>
      <c r="G377" s="3">
        <v>26.0</v>
      </c>
      <c r="H377" s="3">
        <v>3.0</v>
      </c>
      <c r="I377" s="3" t="s">
        <v>167</v>
      </c>
      <c r="J377" s="3">
        <v>564.0</v>
      </c>
      <c r="K377" s="3">
        <v>569.0</v>
      </c>
      <c r="L377" s="3" t="s">
        <v>133</v>
      </c>
      <c r="M377" s="3">
        <v>1.0</v>
      </c>
      <c r="N377" s="3" t="s">
        <v>121</v>
      </c>
      <c r="O377" s="3" t="s">
        <v>2374</v>
      </c>
      <c r="P377" s="3" t="s">
        <v>2378</v>
      </c>
      <c r="Q377" s="3">
        <v>2.0</v>
      </c>
      <c r="R377" s="3">
        <v>494.0</v>
      </c>
      <c r="S377" s="3">
        <v>57.480003</v>
      </c>
      <c r="T377" s="3">
        <v>12.625324</v>
      </c>
      <c r="U377" s="3" t="s">
        <v>2376</v>
      </c>
      <c r="V377" s="3">
        <v>0.0</v>
      </c>
      <c r="W377" s="3">
        <v>1738.0</v>
      </c>
      <c r="X377" s="3">
        <v>5677.0</v>
      </c>
      <c r="Y377" s="3">
        <v>36.0</v>
      </c>
      <c r="Z377" s="3">
        <v>144.0</v>
      </c>
      <c r="AA377" s="3">
        <v>255.0</v>
      </c>
      <c r="AB377" s="3">
        <v>690.0</v>
      </c>
      <c r="AC377" s="3">
        <v>131.0</v>
      </c>
    </row>
    <row r="378">
      <c r="A378" s="3">
        <v>376.0</v>
      </c>
      <c r="B378" s="3" t="s">
        <v>2373</v>
      </c>
      <c r="C378" s="3">
        <v>304.0</v>
      </c>
      <c r="D378" s="3" t="s">
        <v>511</v>
      </c>
      <c r="E378" s="3">
        <v>16.916667</v>
      </c>
      <c r="F378" s="3">
        <v>-89.833333</v>
      </c>
      <c r="G378" s="3">
        <v>26.0</v>
      </c>
      <c r="H378" s="3">
        <v>3.0</v>
      </c>
      <c r="I378" s="3" t="s">
        <v>167</v>
      </c>
      <c r="J378" s="3">
        <v>564.0</v>
      </c>
      <c r="K378" s="3">
        <v>569.0</v>
      </c>
      <c r="L378" s="3" t="s">
        <v>133</v>
      </c>
      <c r="M378" s="3">
        <v>1.0</v>
      </c>
      <c r="N378" s="3" t="s">
        <v>121</v>
      </c>
      <c r="O378" s="3" t="s">
        <v>2374</v>
      </c>
      <c r="P378" s="3" t="s">
        <v>2378</v>
      </c>
      <c r="Q378" s="3">
        <v>2.0</v>
      </c>
      <c r="R378" s="3">
        <v>494.0</v>
      </c>
      <c r="S378" s="3">
        <v>57.480003</v>
      </c>
      <c r="T378" s="3">
        <v>12.625324</v>
      </c>
      <c r="U378" s="3" t="s">
        <v>2376</v>
      </c>
      <c r="V378" s="3">
        <v>0.0</v>
      </c>
      <c r="W378" s="3">
        <v>1738.0</v>
      </c>
      <c r="X378" s="3">
        <v>5677.0</v>
      </c>
      <c r="Y378" s="3">
        <v>36.0</v>
      </c>
      <c r="Z378" s="3">
        <v>144.0</v>
      </c>
      <c r="AA378" s="3">
        <v>255.0</v>
      </c>
      <c r="AB378" s="3">
        <v>690.0</v>
      </c>
      <c r="AC378" s="3">
        <v>131.0</v>
      </c>
    </row>
    <row r="379">
      <c r="A379" s="3">
        <v>377.0</v>
      </c>
      <c r="B379" s="3" t="s">
        <v>2373</v>
      </c>
      <c r="C379" s="3">
        <v>305.0</v>
      </c>
      <c r="D379" s="3" t="s">
        <v>1200</v>
      </c>
      <c r="E379" s="3">
        <v>16.916667</v>
      </c>
      <c r="F379" s="3">
        <v>-89.833333</v>
      </c>
      <c r="G379" s="3">
        <v>26.0</v>
      </c>
      <c r="H379" s="3">
        <v>3.0</v>
      </c>
      <c r="I379" s="3" t="s">
        <v>167</v>
      </c>
      <c r="J379" s="3">
        <v>564.0</v>
      </c>
      <c r="K379" s="3">
        <v>569.0</v>
      </c>
      <c r="L379" s="3" t="s">
        <v>133</v>
      </c>
      <c r="M379" s="3">
        <v>1.0</v>
      </c>
      <c r="N379" s="3" t="s">
        <v>121</v>
      </c>
      <c r="O379" s="3" t="s">
        <v>2374</v>
      </c>
      <c r="P379" s="3" t="s">
        <v>2378</v>
      </c>
      <c r="Q379" s="3">
        <v>2.0</v>
      </c>
      <c r="R379" s="3">
        <v>494.0</v>
      </c>
      <c r="S379" s="3">
        <v>57.480003</v>
      </c>
      <c r="T379" s="3">
        <v>12.625324</v>
      </c>
      <c r="U379" s="3" t="s">
        <v>2376</v>
      </c>
      <c r="V379" s="3">
        <v>0.0</v>
      </c>
      <c r="W379" s="3">
        <v>1738.0</v>
      </c>
      <c r="X379" s="3">
        <v>5677.0</v>
      </c>
      <c r="Y379" s="3">
        <v>36.0</v>
      </c>
      <c r="Z379" s="3">
        <v>144.0</v>
      </c>
      <c r="AA379" s="3">
        <v>255.0</v>
      </c>
      <c r="AB379" s="3">
        <v>690.0</v>
      </c>
      <c r="AC379" s="3">
        <v>131.0</v>
      </c>
    </row>
    <row r="380">
      <c r="A380" s="3">
        <v>378.0</v>
      </c>
      <c r="B380" s="3" t="s">
        <v>2373</v>
      </c>
      <c r="C380" s="3">
        <v>306.0</v>
      </c>
      <c r="D380" s="3" t="s">
        <v>1201</v>
      </c>
      <c r="E380" s="3">
        <v>16.916667</v>
      </c>
      <c r="F380" s="3">
        <v>-89.833333</v>
      </c>
      <c r="G380" s="3">
        <v>26.0</v>
      </c>
      <c r="H380" s="3">
        <v>3.0</v>
      </c>
      <c r="I380" s="3" t="s">
        <v>167</v>
      </c>
      <c r="J380" s="3">
        <v>564.0</v>
      </c>
      <c r="K380" s="3">
        <v>569.0</v>
      </c>
      <c r="L380" s="3" t="s">
        <v>133</v>
      </c>
      <c r="M380" s="3">
        <v>1.0</v>
      </c>
      <c r="N380" s="3" t="s">
        <v>121</v>
      </c>
      <c r="O380" s="3" t="s">
        <v>2374</v>
      </c>
      <c r="P380" s="3" t="s">
        <v>2378</v>
      </c>
      <c r="Q380" s="3">
        <v>2.0</v>
      </c>
      <c r="R380" s="3">
        <v>494.0</v>
      </c>
      <c r="S380" s="3">
        <v>57.480003</v>
      </c>
      <c r="T380" s="3">
        <v>12.625324</v>
      </c>
      <c r="U380" s="3" t="s">
        <v>2376</v>
      </c>
      <c r="V380" s="3">
        <v>0.0</v>
      </c>
      <c r="W380" s="3">
        <v>1738.0</v>
      </c>
      <c r="X380" s="3">
        <v>5677.0</v>
      </c>
      <c r="Y380" s="3">
        <v>36.0</v>
      </c>
      <c r="Z380" s="3">
        <v>144.0</v>
      </c>
      <c r="AA380" s="3">
        <v>255.0</v>
      </c>
      <c r="AB380" s="3">
        <v>690.0</v>
      </c>
      <c r="AC380" s="3">
        <v>131.0</v>
      </c>
    </row>
    <row r="381">
      <c r="A381" s="3">
        <v>379.0</v>
      </c>
      <c r="B381" s="3" t="s">
        <v>2373</v>
      </c>
      <c r="C381" s="3">
        <v>307.0</v>
      </c>
      <c r="D381" s="3" t="s">
        <v>1202</v>
      </c>
      <c r="E381" s="3">
        <v>16.916667</v>
      </c>
      <c r="F381" s="3">
        <v>-89.833333</v>
      </c>
      <c r="G381" s="3">
        <v>26.0</v>
      </c>
      <c r="H381" s="3">
        <v>3.0</v>
      </c>
      <c r="I381" s="3" t="s">
        <v>167</v>
      </c>
      <c r="J381" s="3">
        <v>564.0</v>
      </c>
      <c r="K381" s="3">
        <v>569.0</v>
      </c>
      <c r="L381" s="3" t="s">
        <v>133</v>
      </c>
      <c r="M381" s="3">
        <v>1.0</v>
      </c>
      <c r="N381" s="3" t="s">
        <v>121</v>
      </c>
      <c r="O381" s="3" t="s">
        <v>2374</v>
      </c>
      <c r="P381" s="3" t="s">
        <v>2378</v>
      </c>
      <c r="Q381" s="3">
        <v>2.0</v>
      </c>
      <c r="R381" s="3">
        <v>494.0</v>
      </c>
      <c r="S381" s="3">
        <v>57.480003</v>
      </c>
      <c r="T381" s="3">
        <v>12.625324</v>
      </c>
      <c r="U381" s="3" t="s">
        <v>2376</v>
      </c>
      <c r="V381" s="3">
        <v>0.0</v>
      </c>
      <c r="W381" s="3">
        <v>1738.0</v>
      </c>
      <c r="X381" s="3">
        <v>5677.0</v>
      </c>
      <c r="Y381" s="3">
        <v>36.0</v>
      </c>
      <c r="Z381" s="3">
        <v>144.0</v>
      </c>
      <c r="AA381" s="3">
        <v>255.0</v>
      </c>
      <c r="AB381" s="3">
        <v>690.0</v>
      </c>
      <c r="AC381" s="3">
        <v>131.0</v>
      </c>
    </row>
    <row r="382">
      <c r="A382" s="3">
        <v>380.0</v>
      </c>
      <c r="B382" s="3" t="s">
        <v>2373</v>
      </c>
      <c r="C382" s="3">
        <v>308.0</v>
      </c>
      <c r="D382" s="3" t="s">
        <v>1209</v>
      </c>
      <c r="E382" s="3">
        <v>17.0</v>
      </c>
      <c r="F382" s="3">
        <v>-89.85</v>
      </c>
      <c r="G382" s="3">
        <v>26.0</v>
      </c>
      <c r="H382" s="3">
        <v>3.0</v>
      </c>
      <c r="I382" s="3" t="s">
        <v>167</v>
      </c>
      <c r="J382" s="3">
        <v>564.0</v>
      </c>
      <c r="K382" s="3">
        <v>569.0</v>
      </c>
      <c r="L382" s="3" t="s">
        <v>133</v>
      </c>
      <c r="M382" s="3">
        <v>1.0</v>
      </c>
      <c r="N382" s="3" t="s">
        <v>121</v>
      </c>
      <c r="O382" s="3" t="s">
        <v>2374</v>
      </c>
      <c r="P382" s="3" t="s">
        <v>2378</v>
      </c>
      <c r="Q382" s="3">
        <v>2.0</v>
      </c>
      <c r="R382" s="3">
        <v>494.0</v>
      </c>
      <c r="S382" s="3">
        <v>57.480003</v>
      </c>
      <c r="T382" s="3">
        <v>12.625324</v>
      </c>
      <c r="U382" s="3" t="s">
        <v>2376</v>
      </c>
      <c r="V382" s="3">
        <v>0.0</v>
      </c>
      <c r="W382" s="3">
        <v>1650.0</v>
      </c>
      <c r="X382" s="3">
        <v>5911.0</v>
      </c>
      <c r="Y382" s="3">
        <v>36.0</v>
      </c>
      <c r="Z382" s="3">
        <v>131.0</v>
      </c>
      <c r="AA382" s="3">
        <v>250.0</v>
      </c>
      <c r="AB382" s="3">
        <v>672.0</v>
      </c>
      <c r="AC382" s="3">
        <v>110.0</v>
      </c>
    </row>
    <row r="383">
      <c r="A383" s="3">
        <v>381.0</v>
      </c>
      <c r="B383" s="3" t="s">
        <v>2373</v>
      </c>
      <c r="C383" s="3">
        <v>309.0</v>
      </c>
      <c r="D383" s="3" t="s">
        <v>1789</v>
      </c>
      <c r="E383" s="3">
        <v>16.916667</v>
      </c>
      <c r="F383" s="3">
        <v>-89.833333</v>
      </c>
      <c r="G383" s="3">
        <v>26.0</v>
      </c>
      <c r="H383" s="3">
        <v>3.0</v>
      </c>
      <c r="I383" s="3" t="s">
        <v>167</v>
      </c>
      <c r="J383" s="3">
        <v>564.0</v>
      </c>
      <c r="K383" s="3">
        <v>569.0</v>
      </c>
      <c r="L383" s="3" t="s">
        <v>133</v>
      </c>
      <c r="M383" s="3">
        <v>1.0</v>
      </c>
      <c r="N383" s="3" t="s">
        <v>121</v>
      </c>
      <c r="O383" s="3" t="s">
        <v>2374</v>
      </c>
      <c r="P383" s="3" t="s">
        <v>2378</v>
      </c>
      <c r="Q383" s="3">
        <v>2.0</v>
      </c>
      <c r="R383" s="3">
        <v>494.0</v>
      </c>
      <c r="S383" s="3">
        <v>57.480003</v>
      </c>
      <c r="T383" s="3">
        <v>12.625324</v>
      </c>
      <c r="U383" s="3" t="s">
        <v>2376</v>
      </c>
      <c r="V383" s="3">
        <v>0.0</v>
      </c>
      <c r="W383" s="3">
        <v>1738.0</v>
      </c>
      <c r="X383" s="3">
        <v>5677.0</v>
      </c>
      <c r="Y383" s="3">
        <v>36.0</v>
      </c>
      <c r="Z383" s="3">
        <v>144.0</v>
      </c>
      <c r="AA383" s="3">
        <v>255.0</v>
      </c>
      <c r="AB383" s="3">
        <v>690.0</v>
      </c>
      <c r="AC383" s="3">
        <v>131.0</v>
      </c>
    </row>
    <row r="384">
      <c r="A384" s="3">
        <v>382.0</v>
      </c>
      <c r="B384" s="3" t="s">
        <v>2373</v>
      </c>
      <c r="C384" s="3">
        <v>310.0</v>
      </c>
      <c r="D384" s="3" t="s">
        <v>1792</v>
      </c>
      <c r="E384" s="3">
        <v>16.916667</v>
      </c>
      <c r="F384" s="3">
        <v>-89.833333</v>
      </c>
      <c r="G384" s="3">
        <v>26.0</v>
      </c>
      <c r="H384" s="3">
        <v>3.0</v>
      </c>
      <c r="I384" s="3" t="s">
        <v>167</v>
      </c>
      <c r="J384" s="3">
        <v>564.0</v>
      </c>
      <c r="K384" s="3">
        <v>569.0</v>
      </c>
      <c r="L384" s="3" t="s">
        <v>133</v>
      </c>
      <c r="M384" s="3">
        <v>1.0</v>
      </c>
      <c r="N384" s="3" t="s">
        <v>121</v>
      </c>
      <c r="O384" s="3" t="s">
        <v>2374</v>
      </c>
      <c r="P384" s="3" t="s">
        <v>2378</v>
      </c>
      <c r="Q384" s="3">
        <v>2.0</v>
      </c>
      <c r="R384" s="3">
        <v>494.0</v>
      </c>
      <c r="S384" s="3">
        <v>57.480003</v>
      </c>
      <c r="T384" s="3">
        <v>12.625324</v>
      </c>
      <c r="U384" s="3" t="s">
        <v>2376</v>
      </c>
      <c r="V384" s="3">
        <v>0.0</v>
      </c>
      <c r="W384" s="3">
        <v>1738.0</v>
      </c>
      <c r="X384" s="3">
        <v>5677.0</v>
      </c>
      <c r="Y384" s="3">
        <v>36.0</v>
      </c>
      <c r="Z384" s="3">
        <v>144.0</v>
      </c>
      <c r="AA384" s="3">
        <v>255.0</v>
      </c>
      <c r="AB384" s="3">
        <v>690.0</v>
      </c>
      <c r="AC384" s="3">
        <v>131.0</v>
      </c>
    </row>
    <row r="385">
      <c r="A385" s="3">
        <v>383.0</v>
      </c>
      <c r="B385" s="3" t="s">
        <v>2373</v>
      </c>
      <c r="C385" s="3">
        <v>311.0</v>
      </c>
      <c r="D385" s="3" t="s">
        <v>1795</v>
      </c>
      <c r="E385" s="3">
        <v>16.990249</v>
      </c>
      <c r="F385" s="3">
        <v>-89.814246</v>
      </c>
      <c r="G385" s="3">
        <v>26.0</v>
      </c>
      <c r="H385" s="3">
        <v>3.0</v>
      </c>
      <c r="I385" s="3" t="s">
        <v>167</v>
      </c>
      <c r="J385" s="3">
        <v>564.0</v>
      </c>
      <c r="K385" s="3">
        <v>569.0</v>
      </c>
      <c r="L385" s="3" t="s">
        <v>133</v>
      </c>
      <c r="M385" s="3">
        <v>1.0</v>
      </c>
      <c r="N385" s="3" t="s">
        <v>121</v>
      </c>
      <c r="O385" s="3" t="s">
        <v>2374</v>
      </c>
      <c r="P385" s="3" t="s">
        <v>2378</v>
      </c>
      <c r="Q385" s="3">
        <v>2.0</v>
      </c>
      <c r="R385" s="3">
        <v>494.0</v>
      </c>
      <c r="S385" s="3">
        <v>57.480003</v>
      </c>
      <c r="T385" s="3">
        <v>12.625324</v>
      </c>
      <c r="U385" s="3" t="s">
        <v>2376</v>
      </c>
      <c r="V385" s="3">
        <v>0.0</v>
      </c>
      <c r="W385" s="3">
        <v>1660.0</v>
      </c>
      <c r="X385" s="3">
        <v>5917.0</v>
      </c>
      <c r="Y385" s="3">
        <v>36.0</v>
      </c>
      <c r="Z385" s="3">
        <v>132.0</v>
      </c>
      <c r="AA385" s="3">
        <v>250.0</v>
      </c>
      <c r="AB385" s="3">
        <v>674.0</v>
      </c>
      <c r="AC385" s="3">
        <v>110.0</v>
      </c>
    </row>
    <row r="386">
      <c r="A386" s="3">
        <v>384.0</v>
      </c>
      <c r="B386" s="3" t="s">
        <v>2373</v>
      </c>
      <c r="C386" s="3">
        <v>312.0</v>
      </c>
      <c r="D386" s="3" t="s">
        <v>1213</v>
      </c>
      <c r="E386" s="3">
        <v>16.916667</v>
      </c>
      <c r="F386" s="3">
        <v>-89.833333</v>
      </c>
      <c r="G386" s="3">
        <v>26.0</v>
      </c>
      <c r="H386" s="3">
        <v>3.0</v>
      </c>
      <c r="I386" s="3" t="s">
        <v>167</v>
      </c>
      <c r="J386" s="3">
        <v>564.0</v>
      </c>
      <c r="K386" s="3">
        <v>569.0</v>
      </c>
      <c r="L386" s="3" t="s">
        <v>133</v>
      </c>
      <c r="M386" s="3">
        <v>1.0</v>
      </c>
      <c r="N386" s="3" t="s">
        <v>121</v>
      </c>
      <c r="O386" s="3" t="s">
        <v>2374</v>
      </c>
      <c r="P386" s="3" t="s">
        <v>2378</v>
      </c>
      <c r="Q386" s="3">
        <v>2.0</v>
      </c>
      <c r="R386" s="3">
        <v>494.0</v>
      </c>
      <c r="S386" s="3">
        <v>57.480003</v>
      </c>
      <c r="T386" s="3">
        <v>12.625324</v>
      </c>
      <c r="U386" s="3" t="s">
        <v>2376</v>
      </c>
      <c r="V386" s="3">
        <v>0.0</v>
      </c>
      <c r="W386" s="3">
        <v>1738.0</v>
      </c>
      <c r="X386" s="3">
        <v>5677.0</v>
      </c>
      <c r="Y386" s="3">
        <v>36.0</v>
      </c>
      <c r="Z386" s="3">
        <v>144.0</v>
      </c>
      <c r="AA386" s="3">
        <v>255.0</v>
      </c>
      <c r="AB386" s="3">
        <v>690.0</v>
      </c>
      <c r="AC386" s="3">
        <v>131.0</v>
      </c>
    </row>
    <row r="387">
      <c r="A387" s="3">
        <v>385.0</v>
      </c>
      <c r="B387" s="3" t="s">
        <v>2373</v>
      </c>
      <c r="C387" s="3">
        <v>313.0</v>
      </c>
      <c r="D387" s="78" t="s">
        <v>1796</v>
      </c>
      <c r="E387" s="3">
        <v>16.916667</v>
      </c>
      <c r="F387" s="3">
        <v>-89.833333</v>
      </c>
      <c r="G387" s="3">
        <v>26.0</v>
      </c>
      <c r="H387" s="3">
        <v>3.0</v>
      </c>
      <c r="I387" s="3" t="s">
        <v>167</v>
      </c>
      <c r="J387" s="3">
        <v>564.0</v>
      </c>
      <c r="K387" s="3">
        <v>569.0</v>
      </c>
      <c r="L387" s="3" t="s">
        <v>133</v>
      </c>
      <c r="M387" s="3">
        <v>1.0</v>
      </c>
      <c r="N387" s="3" t="s">
        <v>121</v>
      </c>
      <c r="O387" s="3" t="s">
        <v>2374</v>
      </c>
      <c r="P387" s="3" t="s">
        <v>2378</v>
      </c>
      <c r="Q387" s="3">
        <v>2.0</v>
      </c>
      <c r="R387" s="3">
        <v>494.0</v>
      </c>
      <c r="S387" s="3">
        <v>57.480003</v>
      </c>
      <c r="T387" s="3">
        <v>12.625324</v>
      </c>
      <c r="U387" s="3" t="s">
        <v>2376</v>
      </c>
      <c r="V387" s="3">
        <v>0.0</v>
      </c>
      <c r="W387" s="3">
        <v>1738.0</v>
      </c>
      <c r="X387" s="3">
        <v>5677.0</v>
      </c>
      <c r="Y387" s="3">
        <v>36.0</v>
      </c>
      <c r="Z387" s="3">
        <v>144.0</v>
      </c>
      <c r="AA387" s="3">
        <v>255.0</v>
      </c>
      <c r="AB387" s="3">
        <v>690.0</v>
      </c>
      <c r="AC387" s="3">
        <v>131.0</v>
      </c>
    </row>
    <row r="388">
      <c r="A388" s="3">
        <v>386.0</v>
      </c>
      <c r="B388" s="3" t="s">
        <v>2373</v>
      </c>
      <c r="C388" s="3">
        <v>314.0</v>
      </c>
      <c r="D388" s="3" t="s">
        <v>1798</v>
      </c>
      <c r="E388" s="3">
        <v>16.916667</v>
      </c>
      <c r="F388" s="3">
        <v>-89.833333</v>
      </c>
      <c r="G388" s="3">
        <v>26.0</v>
      </c>
      <c r="H388" s="3">
        <v>3.0</v>
      </c>
      <c r="I388" s="3" t="s">
        <v>167</v>
      </c>
      <c r="J388" s="3">
        <v>564.0</v>
      </c>
      <c r="K388" s="3">
        <v>569.0</v>
      </c>
      <c r="L388" s="3" t="s">
        <v>133</v>
      </c>
      <c r="M388" s="3">
        <v>1.0</v>
      </c>
      <c r="N388" s="3" t="s">
        <v>121</v>
      </c>
      <c r="O388" s="3" t="s">
        <v>2374</v>
      </c>
      <c r="P388" s="3" t="s">
        <v>2378</v>
      </c>
      <c r="Q388" s="3">
        <v>2.0</v>
      </c>
      <c r="R388" s="3">
        <v>494.0</v>
      </c>
      <c r="S388" s="3">
        <v>57.480003</v>
      </c>
      <c r="T388" s="3">
        <v>12.625324</v>
      </c>
      <c r="U388" s="3" t="s">
        <v>2376</v>
      </c>
      <c r="V388" s="3">
        <v>0.0</v>
      </c>
      <c r="W388" s="3">
        <v>1738.0</v>
      </c>
      <c r="X388" s="3">
        <v>5677.0</v>
      </c>
      <c r="Y388" s="3">
        <v>36.0</v>
      </c>
      <c r="Z388" s="3">
        <v>144.0</v>
      </c>
      <c r="AA388" s="3">
        <v>255.0</v>
      </c>
      <c r="AB388" s="3">
        <v>690.0</v>
      </c>
      <c r="AC388" s="3">
        <v>131.0</v>
      </c>
    </row>
    <row r="389">
      <c r="A389" s="3">
        <v>387.0</v>
      </c>
      <c r="B389" s="3" t="s">
        <v>2373</v>
      </c>
      <c r="C389" s="3">
        <v>353.0</v>
      </c>
      <c r="D389" s="3" t="s">
        <v>1390</v>
      </c>
      <c r="E389" s="3">
        <v>17.0</v>
      </c>
      <c r="F389" s="3">
        <v>-89.5</v>
      </c>
      <c r="G389" s="3">
        <v>26.0</v>
      </c>
      <c r="H389" s="3">
        <v>3.0</v>
      </c>
      <c r="I389" s="3" t="s">
        <v>167</v>
      </c>
      <c r="J389" s="3">
        <v>564.0</v>
      </c>
      <c r="K389" s="3">
        <v>569.0</v>
      </c>
      <c r="L389" s="3" t="s">
        <v>133</v>
      </c>
      <c r="M389" s="3">
        <v>1.0</v>
      </c>
      <c r="N389" s="3" t="s">
        <v>121</v>
      </c>
      <c r="O389" s="3" t="s">
        <v>2374</v>
      </c>
      <c r="P389" s="3" t="s">
        <v>2378</v>
      </c>
      <c r="Q389" s="3">
        <v>2.0</v>
      </c>
      <c r="R389" s="3">
        <v>494.0</v>
      </c>
      <c r="S389" s="3">
        <v>57.480003</v>
      </c>
      <c r="T389" s="3">
        <v>12.625324</v>
      </c>
      <c r="U389" s="3" t="s">
        <v>2376</v>
      </c>
      <c r="V389" s="3">
        <v>0.0</v>
      </c>
      <c r="W389" s="3">
        <v>1860.0</v>
      </c>
      <c r="X389" s="3">
        <v>5571.0</v>
      </c>
      <c r="Y389" s="3">
        <v>41.0</v>
      </c>
      <c r="Z389" s="3">
        <v>153.0</v>
      </c>
      <c r="AA389" s="3">
        <v>268.0</v>
      </c>
      <c r="AB389" s="3">
        <v>756.0</v>
      </c>
      <c r="AC389" s="3">
        <v>226.0</v>
      </c>
    </row>
    <row r="390">
      <c r="A390" s="3">
        <v>388.0</v>
      </c>
      <c r="B390" s="3" t="s">
        <v>2373</v>
      </c>
      <c r="C390" s="3">
        <v>354.0</v>
      </c>
      <c r="D390" s="3" t="s">
        <v>1705</v>
      </c>
      <c r="E390" s="3">
        <v>17.0</v>
      </c>
      <c r="F390" s="3">
        <v>-89.5</v>
      </c>
      <c r="G390" s="3">
        <v>26.0</v>
      </c>
      <c r="H390" s="3">
        <v>3.0</v>
      </c>
      <c r="I390" s="3" t="s">
        <v>167</v>
      </c>
      <c r="J390" s="3">
        <v>564.0</v>
      </c>
      <c r="K390" s="3">
        <v>569.0</v>
      </c>
      <c r="L390" s="3" t="s">
        <v>133</v>
      </c>
      <c r="M390" s="3">
        <v>1.0</v>
      </c>
      <c r="N390" s="3" t="s">
        <v>121</v>
      </c>
      <c r="O390" s="3" t="s">
        <v>2374</v>
      </c>
      <c r="P390" s="3" t="s">
        <v>2378</v>
      </c>
      <c r="Q390" s="3">
        <v>2.0</v>
      </c>
      <c r="R390" s="3">
        <v>494.0</v>
      </c>
      <c r="S390" s="3">
        <v>57.480003</v>
      </c>
      <c r="T390" s="3">
        <v>12.625324</v>
      </c>
      <c r="U390" s="3" t="s">
        <v>2376</v>
      </c>
      <c r="V390" s="3">
        <v>0.0</v>
      </c>
      <c r="W390" s="3">
        <v>1860.0</v>
      </c>
      <c r="X390" s="3">
        <v>5571.0</v>
      </c>
      <c r="Y390" s="3">
        <v>41.0</v>
      </c>
      <c r="Z390" s="3">
        <v>153.0</v>
      </c>
      <c r="AA390" s="3">
        <v>268.0</v>
      </c>
      <c r="AB390" s="3">
        <v>756.0</v>
      </c>
      <c r="AC390" s="3">
        <v>226.0</v>
      </c>
    </row>
    <row r="391">
      <c r="A391" s="3">
        <v>389.0</v>
      </c>
      <c r="B391" s="3" t="s">
        <v>2373</v>
      </c>
      <c r="C391" s="3">
        <v>355.0</v>
      </c>
      <c r="D391" s="3" t="s">
        <v>1708</v>
      </c>
      <c r="E391" s="3">
        <v>17.0</v>
      </c>
      <c r="F391" s="3">
        <v>-89.5</v>
      </c>
      <c r="G391" s="3">
        <v>26.0</v>
      </c>
      <c r="H391" s="3">
        <v>3.0</v>
      </c>
      <c r="I391" s="3" t="s">
        <v>167</v>
      </c>
      <c r="J391" s="3">
        <v>564.0</v>
      </c>
      <c r="K391" s="3">
        <v>569.0</v>
      </c>
      <c r="L391" s="3" t="s">
        <v>133</v>
      </c>
      <c r="M391" s="3">
        <v>1.0</v>
      </c>
      <c r="N391" s="3" t="s">
        <v>121</v>
      </c>
      <c r="O391" s="3" t="s">
        <v>2374</v>
      </c>
      <c r="P391" s="3" t="s">
        <v>2378</v>
      </c>
      <c r="Q391" s="3">
        <v>2.0</v>
      </c>
      <c r="R391" s="3">
        <v>494.0</v>
      </c>
      <c r="S391" s="3">
        <v>57.480003</v>
      </c>
      <c r="T391" s="3">
        <v>12.625324</v>
      </c>
      <c r="U391" s="3" t="s">
        <v>2376</v>
      </c>
      <c r="V391" s="3">
        <v>0.0</v>
      </c>
      <c r="W391" s="3">
        <v>1860.0</v>
      </c>
      <c r="X391" s="3">
        <v>5571.0</v>
      </c>
      <c r="Y391" s="3">
        <v>41.0</v>
      </c>
      <c r="Z391" s="3">
        <v>153.0</v>
      </c>
      <c r="AA391" s="3">
        <v>268.0</v>
      </c>
      <c r="AB391" s="3">
        <v>756.0</v>
      </c>
      <c r="AC391" s="3">
        <v>226.0</v>
      </c>
    </row>
    <row r="392">
      <c r="A392" s="3">
        <v>390.0</v>
      </c>
      <c r="B392" s="3" t="s">
        <v>2373</v>
      </c>
      <c r="C392" s="3">
        <v>356.0</v>
      </c>
      <c r="D392" s="3" t="s">
        <v>1710</v>
      </c>
      <c r="E392" s="3">
        <v>16.916667</v>
      </c>
      <c r="F392" s="3">
        <v>-89.833333</v>
      </c>
      <c r="G392" s="3">
        <v>26.0</v>
      </c>
      <c r="H392" s="3">
        <v>3.0</v>
      </c>
      <c r="I392" s="3" t="s">
        <v>167</v>
      </c>
      <c r="J392" s="3">
        <v>564.0</v>
      </c>
      <c r="K392" s="3">
        <v>569.0</v>
      </c>
      <c r="L392" s="3" t="s">
        <v>133</v>
      </c>
      <c r="M392" s="3">
        <v>1.0</v>
      </c>
      <c r="N392" s="3" t="s">
        <v>121</v>
      </c>
      <c r="O392" s="3" t="s">
        <v>2374</v>
      </c>
      <c r="P392" s="3" t="s">
        <v>2378</v>
      </c>
      <c r="Q392" s="3">
        <v>2.0</v>
      </c>
      <c r="R392" s="3">
        <v>494.0</v>
      </c>
      <c r="S392" s="3">
        <v>57.480003</v>
      </c>
      <c r="T392" s="3">
        <v>12.625324</v>
      </c>
      <c r="U392" s="3" t="s">
        <v>2376</v>
      </c>
      <c r="V392" s="3">
        <v>0.0</v>
      </c>
      <c r="W392" s="3">
        <v>1738.0</v>
      </c>
      <c r="X392" s="3">
        <v>5677.0</v>
      </c>
      <c r="Y392" s="3">
        <v>36.0</v>
      </c>
      <c r="Z392" s="3">
        <v>144.0</v>
      </c>
      <c r="AA392" s="3">
        <v>255.0</v>
      </c>
      <c r="AB392" s="3">
        <v>690.0</v>
      </c>
      <c r="AC392" s="3">
        <v>131.0</v>
      </c>
    </row>
    <row r="393">
      <c r="A393" s="3">
        <v>391.0</v>
      </c>
      <c r="B393" s="3" t="s">
        <v>2373</v>
      </c>
      <c r="C393" s="3">
        <v>357.0</v>
      </c>
      <c r="D393" s="3" t="s">
        <v>1711</v>
      </c>
      <c r="E393" s="3">
        <v>16.916667</v>
      </c>
      <c r="F393" s="3">
        <v>-89.833333</v>
      </c>
      <c r="G393" s="3">
        <v>26.0</v>
      </c>
      <c r="H393" s="3">
        <v>3.0</v>
      </c>
      <c r="I393" s="3" t="s">
        <v>167</v>
      </c>
      <c r="J393" s="3">
        <v>564.0</v>
      </c>
      <c r="K393" s="3">
        <v>569.0</v>
      </c>
      <c r="L393" s="3" t="s">
        <v>133</v>
      </c>
      <c r="M393" s="3">
        <v>1.0</v>
      </c>
      <c r="N393" s="3" t="s">
        <v>121</v>
      </c>
      <c r="O393" s="3" t="s">
        <v>2374</v>
      </c>
      <c r="P393" s="3" t="s">
        <v>2378</v>
      </c>
      <c r="Q393" s="3">
        <v>2.0</v>
      </c>
      <c r="R393" s="3">
        <v>494.0</v>
      </c>
      <c r="S393" s="3">
        <v>57.480003</v>
      </c>
      <c r="T393" s="3">
        <v>12.625324</v>
      </c>
      <c r="U393" s="3" t="s">
        <v>2376</v>
      </c>
      <c r="V393" s="3">
        <v>0.0</v>
      </c>
      <c r="W393" s="3">
        <v>1738.0</v>
      </c>
      <c r="X393" s="3">
        <v>5677.0</v>
      </c>
      <c r="Y393" s="3">
        <v>36.0</v>
      </c>
      <c r="Z393" s="3">
        <v>144.0</v>
      </c>
      <c r="AA393" s="3">
        <v>255.0</v>
      </c>
      <c r="AB393" s="3">
        <v>690.0</v>
      </c>
      <c r="AC393" s="3">
        <v>131.0</v>
      </c>
    </row>
    <row r="394">
      <c r="A394" s="3">
        <v>392.0</v>
      </c>
      <c r="B394" s="3" t="s">
        <v>2373</v>
      </c>
      <c r="C394" s="3">
        <v>358.0</v>
      </c>
      <c r="D394" s="3" t="s">
        <v>1424</v>
      </c>
      <c r="E394" s="3">
        <v>16.916667</v>
      </c>
      <c r="F394" s="3">
        <v>-89.833333</v>
      </c>
      <c r="G394" s="3">
        <v>26.0</v>
      </c>
      <c r="H394" s="3">
        <v>3.0</v>
      </c>
      <c r="I394" s="3" t="s">
        <v>167</v>
      </c>
      <c r="J394" s="3">
        <v>564.0</v>
      </c>
      <c r="K394" s="3">
        <v>569.0</v>
      </c>
      <c r="L394" s="3" t="s">
        <v>133</v>
      </c>
      <c r="M394" s="3">
        <v>1.0</v>
      </c>
      <c r="N394" s="3" t="s">
        <v>121</v>
      </c>
      <c r="O394" s="3" t="s">
        <v>2374</v>
      </c>
      <c r="P394" s="3" t="s">
        <v>2378</v>
      </c>
      <c r="Q394" s="3">
        <v>2.0</v>
      </c>
      <c r="R394" s="3">
        <v>494.0</v>
      </c>
      <c r="S394" s="3">
        <v>57.480003</v>
      </c>
      <c r="T394" s="3">
        <v>12.625324</v>
      </c>
      <c r="U394" s="3" t="s">
        <v>2376</v>
      </c>
      <c r="V394" s="3">
        <v>0.0</v>
      </c>
      <c r="W394" s="3">
        <v>1738.0</v>
      </c>
      <c r="X394" s="3">
        <v>5677.0</v>
      </c>
      <c r="Y394" s="3">
        <v>36.0</v>
      </c>
      <c r="Z394" s="3">
        <v>144.0</v>
      </c>
      <c r="AA394" s="3">
        <v>255.0</v>
      </c>
      <c r="AB394" s="3">
        <v>690.0</v>
      </c>
      <c r="AC394" s="3">
        <v>131.0</v>
      </c>
    </row>
    <row r="395">
      <c r="A395" s="3">
        <v>393.0</v>
      </c>
      <c r="B395" s="3" t="s">
        <v>2373</v>
      </c>
      <c r="C395" s="3">
        <v>359.0</v>
      </c>
      <c r="D395" s="3" t="s">
        <v>1712</v>
      </c>
      <c r="E395" s="3">
        <v>16.916667</v>
      </c>
      <c r="F395" s="3">
        <v>-89.833333</v>
      </c>
      <c r="G395" s="3">
        <v>26.0</v>
      </c>
      <c r="H395" s="3">
        <v>3.0</v>
      </c>
      <c r="I395" s="3" t="s">
        <v>167</v>
      </c>
      <c r="J395" s="3">
        <v>564.0</v>
      </c>
      <c r="K395" s="3">
        <v>569.0</v>
      </c>
      <c r="L395" s="3" t="s">
        <v>133</v>
      </c>
      <c r="M395" s="3">
        <v>1.0</v>
      </c>
      <c r="N395" s="3" t="s">
        <v>121</v>
      </c>
      <c r="O395" s="3" t="s">
        <v>2374</v>
      </c>
      <c r="P395" s="3" t="s">
        <v>2378</v>
      </c>
      <c r="Q395" s="3">
        <v>2.0</v>
      </c>
      <c r="R395" s="3">
        <v>494.0</v>
      </c>
      <c r="S395" s="3">
        <v>57.480003</v>
      </c>
      <c r="T395" s="3">
        <v>12.625324</v>
      </c>
      <c r="U395" s="3" t="s">
        <v>2376</v>
      </c>
      <c r="V395" s="3">
        <v>0.0</v>
      </c>
      <c r="W395" s="3">
        <v>1738.0</v>
      </c>
      <c r="X395" s="3">
        <v>5677.0</v>
      </c>
      <c r="Y395" s="3">
        <v>36.0</v>
      </c>
      <c r="Z395" s="3">
        <v>144.0</v>
      </c>
      <c r="AA395" s="3">
        <v>255.0</v>
      </c>
      <c r="AB395" s="3">
        <v>690.0</v>
      </c>
      <c r="AC395" s="3">
        <v>131.0</v>
      </c>
    </row>
    <row r="396">
      <c r="A396" s="3">
        <v>394.0</v>
      </c>
      <c r="B396" s="3" t="s">
        <v>2373</v>
      </c>
      <c r="C396" s="3">
        <v>379.0</v>
      </c>
      <c r="D396" s="3" t="s">
        <v>1493</v>
      </c>
      <c r="E396" s="3">
        <v>17.224425</v>
      </c>
      <c r="F396" s="3">
        <v>-89.613073</v>
      </c>
      <c r="G396" s="3">
        <v>26.0</v>
      </c>
      <c r="H396" s="3">
        <v>3.0</v>
      </c>
      <c r="I396" s="3" t="s">
        <v>167</v>
      </c>
      <c r="J396" s="3">
        <v>564.0</v>
      </c>
      <c r="K396" s="3">
        <v>569.0</v>
      </c>
      <c r="L396" s="3" t="s">
        <v>133</v>
      </c>
      <c r="M396" s="3">
        <v>1.0</v>
      </c>
      <c r="N396" s="3" t="s">
        <v>121</v>
      </c>
      <c r="O396" s="3" t="s">
        <v>2374</v>
      </c>
      <c r="P396" s="3" t="s">
        <v>2378</v>
      </c>
      <c r="Q396" s="3">
        <v>2.0</v>
      </c>
      <c r="R396" s="3">
        <v>494.0</v>
      </c>
      <c r="S396" s="3">
        <v>57.480003</v>
      </c>
      <c r="T396" s="3">
        <v>12.625324</v>
      </c>
      <c r="U396" s="3" t="s">
        <v>2376</v>
      </c>
      <c r="V396" s="3">
        <v>0.0</v>
      </c>
      <c r="W396" s="3">
        <v>1644.0</v>
      </c>
      <c r="X396" s="3">
        <v>5432.0</v>
      </c>
      <c r="Y396" s="3">
        <v>38.0</v>
      </c>
      <c r="Z396" s="3">
        <v>135.0</v>
      </c>
      <c r="AA396" s="3">
        <v>235.0</v>
      </c>
      <c r="AB396" s="3">
        <v>633.0</v>
      </c>
      <c r="AC396" s="3">
        <v>194.0</v>
      </c>
    </row>
    <row r="397">
      <c r="A397" s="3">
        <v>395.0</v>
      </c>
      <c r="B397" s="3" t="s">
        <v>2373</v>
      </c>
      <c r="C397" s="3">
        <v>400.0</v>
      </c>
      <c r="D397" s="3" t="s">
        <v>1260</v>
      </c>
      <c r="E397" s="3">
        <v>17.309722</v>
      </c>
      <c r="F397" s="3">
        <v>-89.174722</v>
      </c>
      <c r="G397" s="3">
        <v>26.0</v>
      </c>
      <c r="H397" s="3">
        <v>3.0</v>
      </c>
      <c r="I397" s="3" t="s">
        <v>167</v>
      </c>
      <c r="J397" s="3">
        <v>564.0</v>
      </c>
      <c r="K397" s="3">
        <v>569.0</v>
      </c>
      <c r="L397" s="3" t="s">
        <v>133</v>
      </c>
      <c r="M397" s="3">
        <v>1.0</v>
      </c>
      <c r="N397" s="3" t="s">
        <v>121</v>
      </c>
      <c r="O397" s="3" t="s">
        <v>2374</v>
      </c>
      <c r="P397" s="3" t="s">
        <v>2378</v>
      </c>
      <c r="Q397" s="3">
        <v>2.0</v>
      </c>
      <c r="R397" s="3">
        <v>494.0</v>
      </c>
      <c r="S397" s="3">
        <v>57.480003</v>
      </c>
      <c r="T397" s="3">
        <v>12.625324</v>
      </c>
      <c r="U397" s="3" t="s">
        <v>2376</v>
      </c>
      <c r="V397" s="3">
        <v>0.0</v>
      </c>
      <c r="W397" s="3">
        <v>1603.0</v>
      </c>
      <c r="X397" s="3">
        <v>5295.0</v>
      </c>
      <c r="Y397" s="3">
        <v>39.0</v>
      </c>
      <c r="Z397" s="3">
        <v>134.0</v>
      </c>
      <c r="AA397" s="3">
        <v>231.0</v>
      </c>
      <c r="AB397" s="3">
        <v>622.0</v>
      </c>
      <c r="AC397" s="3">
        <v>114.0</v>
      </c>
    </row>
    <row r="398">
      <c r="A398" s="3">
        <v>396.0</v>
      </c>
      <c r="B398" s="3" t="s">
        <v>2373</v>
      </c>
      <c r="C398" s="3">
        <v>401.0</v>
      </c>
      <c r="D398" s="3" t="s">
        <v>1263</v>
      </c>
      <c r="E398" s="3">
        <v>17.309722</v>
      </c>
      <c r="F398" s="3">
        <v>-89.174722</v>
      </c>
      <c r="G398" s="3">
        <v>26.0</v>
      </c>
      <c r="H398" s="3">
        <v>3.0</v>
      </c>
      <c r="I398" s="3" t="s">
        <v>167</v>
      </c>
      <c r="J398" s="3">
        <v>564.0</v>
      </c>
      <c r="K398" s="3">
        <v>569.0</v>
      </c>
      <c r="L398" s="3" t="s">
        <v>133</v>
      </c>
      <c r="M398" s="3">
        <v>1.0</v>
      </c>
      <c r="N398" s="3" t="s">
        <v>121</v>
      </c>
      <c r="O398" s="3" t="s">
        <v>2374</v>
      </c>
      <c r="P398" s="3" t="s">
        <v>2378</v>
      </c>
      <c r="Q398" s="3">
        <v>2.0</v>
      </c>
      <c r="R398" s="3">
        <v>494.0</v>
      </c>
      <c r="S398" s="3">
        <v>57.480003</v>
      </c>
      <c r="T398" s="3">
        <v>12.625324</v>
      </c>
      <c r="U398" s="3" t="s">
        <v>2376</v>
      </c>
      <c r="V398" s="3">
        <v>0.0</v>
      </c>
      <c r="W398" s="3">
        <v>1603.0</v>
      </c>
      <c r="X398" s="3">
        <v>5295.0</v>
      </c>
      <c r="Y398" s="3">
        <v>39.0</v>
      </c>
      <c r="Z398" s="3">
        <v>134.0</v>
      </c>
      <c r="AA398" s="3">
        <v>231.0</v>
      </c>
      <c r="AB398" s="3">
        <v>622.0</v>
      </c>
      <c r="AC398" s="3">
        <v>114.0</v>
      </c>
    </row>
    <row r="399">
      <c r="A399" s="3">
        <v>397.0</v>
      </c>
      <c r="B399" s="3" t="s">
        <v>2373</v>
      </c>
      <c r="C399" s="3">
        <v>402.0</v>
      </c>
      <c r="D399" s="3" t="s">
        <v>1265</v>
      </c>
      <c r="E399" s="3">
        <v>17.309722</v>
      </c>
      <c r="F399" s="3">
        <v>-89.174722</v>
      </c>
      <c r="G399" s="3">
        <v>26.0</v>
      </c>
      <c r="H399" s="3">
        <v>3.0</v>
      </c>
      <c r="I399" s="3" t="s">
        <v>167</v>
      </c>
      <c r="J399" s="3">
        <v>564.0</v>
      </c>
      <c r="K399" s="3">
        <v>569.0</v>
      </c>
      <c r="L399" s="3" t="s">
        <v>133</v>
      </c>
      <c r="M399" s="3">
        <v>1.0</v>
      </c>
      <c r="N399" s="3" t="s">
        <v>121</v>
      </c>
      <c r="O399" s="3" t="s">
        <v>2374</v>
      </c>
      <c r="P399" s="3" t="s">
        <v>2378</v>
      </c>
      <c r="Q399" s="3">
        <v>2.0</v>
      </c>
      <c r="R399" s="3">
        <v>494.0</v>
      </c>
      <c r="S399" s="3">
        <v>57.480003</v>
      </c>
      <c r="T399" s="3">
        <v>12.625324</v>
      </c>
      <c r="U399" s="3" t="s">
        <v>2376</v>
      </c>
      <c r="V399" s="3">
        <v>0.0</v>
      </c>
      <c r="W399" s="3">
        <v>1603.0</v>
      </c>
      <c r="X399" s="3">
        <v>5295.0</v>
      </c>
      <c r="Y399" s="3">
        <v>39.0</v>
      </c>
      <c r="Z399" s="3">
        <v>134.0</v>
      </c>
      <c r="AA399" s="3">
        <v>231.0</v>
      </c>
      <c r="AB399" s="3">
        <v>622.0</v>
      </c>
      <c r="AC399" s="3">
        <v>114.0</v>
      </c>
    </row>
    <row r="400">
      <c r="A400" s="3">
        <v>398.0</v>
      </c>
      <c r="B400" s="3" t="s">
        <v>2373</v>
      </c>
      <c r="C400" s="3">
        <v>403.0</v>
      </c>
      <c r="D400" s="3" t="s">
        <v>1267</v>
      </c>
      <c r="E400" s="3">
        <v>17.309722</v>
      </c>
      <c r="F400" s="3">
        <v>-89.174722</v>
      </c>
      <c r="G400" s="3">
        <v>26.0</v>
      </c>
      <c r="H400" s="3">
        <v>3.0</v>
      </c>
      <c r="I400" s="3" t="s">
        <v>167</v>
      </c>
      <c r="J400" s="3">
        <v>564.0</v>
      </c>
      <c r="K400" s="3">
        <v>569.0</v>
      </c>
      <c r="L400" s="3" t="s">
        <v>133</v>
      </c>
      <c r="M400" s="3">
        <v>1.0</v>
      </c>
      <c r="N400" s="3" t="s">
        <v>121</v>
      </c>
      <c r="O400" s="3" t="s">
        <v>2374</v>
      </c>
      <c r="P400" s="3" t="s">
        <v>2378</v>
      </c>
      <c r="Q400" s="3">
        <v>2.0</v>
      </c>
      <c r="R400" s="3">
        <v>494.0</v>
      </c>
      <c r="S400" s="3">
        <v>57.480003</v>
      </c>
      <c r="T400" s="3">
        <v>12.625324</v>
      </c>
      <c r="U400" s="3" t="s">
        <v>2376</v>
      </c>
      <c r="V400" s="3">
        <v>0.0</v>
      </c>
      <c r="W400" s="3">
        <v>1603.0</v>
      </c>
      <c r="X400" s="3">
        <v>5295.0</v>
      </c>
      <c r="Y400" s="3">
        <v>39.0</v>
      </c>
      <c r="Z400" s="3">
        <v>134.0</v>
      </c>
      <c r="AA400" s="3">
        <v>231.0</v>
      </c>
      <c r="AB400" s="3">
        <v>622.0</v>
      </c>
      <c r="AC400" s="3">
        <v>114.0</v>
      </c>
    </row>
    <row r="401">
      <c r="A401" s="3">
        <v>399.0</v>
      </c>
      <c r="B401" s="3" t="s">
        <v>2373</v>
      </c>
      <c r="C401" s="3">
        <v>404.0</v>
      </c>
      <c r="D401" s="3" t="s">
        <v>1269</v>
      </c>
      <c r="E401" s="3">
        <v>17.309722</v>
      </c>
      <c r="F401" s="3">
        <v>-89.174722</v>
      </c>
      <c r="G401" s="3">
        <v>26.0</v>
      </c>
      <c r="H401" s="3">
        <v>3.0</v>
      </c>
      <c r="I401" s="3" t="s">
        <v>167</v>
      </c>
      <c r="J401" s="3">
        <v>564.0</v>
      </c>
      <c r="K401" s="3">
        <v>569.0</v>
      </c>
      <c r="L401" s="3" t="s">
        <v>133</v>
      </c>
      <c r="M401" s="3">
        <v>1.0</v>
      </c>
      <c r="N401" s="3" t="s">
        <v>121</v>
      </c>
      <c r="O401" s="3" t="s">
        <v>2374</v>
      </c>
      <c r="P401" s="3" t="s">
        <v>2378</v>
      </c>
      <c r="Q401" s="3">
        <v>2.0</v>
      </c>
      <c r="R401" s="3">
        <v>494.0</v>
      </c>
      <c r="S401" s="3">
        <v>57.480003</v>
      </c>
      <c r="T401" s="3">
        <v>12.625324</v>
      </c>
      <c r="U401" s="3" t="s">
        <v>2376</v>
      </c>
      <c r="V401" s="3">
        <v>0.0</v>
      </c>
      <c r="W401" s="3">
        <v>1603.0</v>
      </c>
      <c r="X401" s="3">
        <v>5295.0</v>
      </c>
      <c r="Y401" s="3">
        <v>39.0</v>
      </c>
      <c r="Z401" s="3">
        <v>134.0</v>
      </c>
      <c r="AA401" s="3">
        <v>231.0</v>
      </c>
      <c r="AB401" s="3">
        <v>622.0</v>
      </c>
      <c r="AC401" s="3">
        <v>114.0</v>
      </c>
    </row>
    <row r="402">
      <c r="A402" s="3">
        <v>400.0</v>
      </c>
      <c r="B402" s="3" t="s">
        <v>2373</v>
      </c>
      <c r="C402" s="3">
        <v>405.0</v>
      </c>
      <c r="D402" s="78" t="s">
        <v>1271</v>
      </c>
      <c r="E402" s="3">
        <v>17.309722</v>
      </c>
      <c r="F402" s="3">
        <v>-89.174722</v>
      </c>
      <c r="G402" s="3">
        <v>26.0</v>
      </c>
      <c r="H402" s="3">
        <v>3.0</v>
      </c>
      <c r="I402" s="3" t="s">
        <v>167</v>
      </c>
      <c r="J402" s="3">
        <v>564.0</v>
      </c>
      <c r="K402" s="3">
        <v>569.0</v>
      </c>
      <c r="L402" s="3" t="s">
        <v>133</v>
      </c>
      <c r="M402" s="3">
        <v>1.0</v>
      </c>
      <c r="N402" s="3" t="s">
        <v>121</v>
      </c>
      <c r="O402" s="3" t="s">
        <v>2374</v>
      </c>
      <c r="P402" s="3" t="s">
        <v>2378</v>
      </c>
      <c r="Q402" s="3">
        <v>2.0</v>
      </c>
      <c r="R402" s="3">
        <v>494.0</v>
      </c>
      <c r="S402" s="3">
        <v>57.480003</v>
      </c>
      <c r="T402" s="3">
        <v>12.625324</v>
      </c>
      <c r="U402" s="3" t="s">
        <v>2376</v>
      </c>
      <c r="V402" s="3">
        <v>0.0</v>
      </c>
      <c r="W402" s="3">
        <v>1603.0</v>
      </c>
      <c r="X402" s="3">
        <v>5295.0</v>
      </c>
      <c r="Y402" s="3">
        <v>39.0</v>
      </c>
      <c r="Z402" s="3">
        <v>134.0</v>
      </c>
      <c r="AA402" s="3">
        <v>231.0</v>
      </c>
      <c r="AB402" s="3">
        <v>622.0</v>
      </c>
      <c r="AC402" s="3">
        <v>114.0</v>
      </c>
    </row>
    <row r="403">
      <c r="A403" s="3">
        <v>401.0</v>
      </c>
      <c r="B403" s="3" t="s">
        <v>2373</v>
      </c>
      <c r="C403" s="3">
        <v>408.0</v>
      </c>
      <c r="D403" s="3" t="s">
        <v>719</v>
      </c>
      <c r="E403" s="3">
        <v>17.14</v>
      </c>
      <c r="F403" s="3">
        <v>-90.4</v>
      </c>
      <c r="G403" s="3">
        <v>26.0</v>
      </c>
      <c r="H403" s="3">
        <v>3.0</v>
      </c>
      <c r="I403" s="3" t="s">
        <v>167</v>
      </c>
      <c r="J403" s="3">
        <v>564.0</v>
      </c>
      <c r="K403" s="3">
        <v>569.0</v>
      </c>
      <c r="L403" s="3" t="s">
        <v>133</v>
      </c>
      <c r="M403" s="3">
        <v>1.0</v>
      </c>
      <c r="N403" s="3" t="s">
        <v>121</v>
      </c>
      <c r="O403" s="3" t="s">
        <v>2374</v>
      </c>
      <c r="P403" s="3" t="s">
        <v>2378</v>
      </c>
      <c r="Q403" s="3">
        <v>2.0</v>
      </c>
      <c r="R403" s="3">
        <v>494.0</v>
      </c>
      <c r="S403" s="3">
        <v>57.480003</v>
      </c>
      <c r="T403" s="3">
        <v>12.625324</v>
      </c>
      <c r="U403" s="3" t="s">
        <v>2376</v>
      </c>
      <c r="V403" s="3">
        <v>0.0</v>
      </c>
      <c r="W403" s="3">
        <v>2046.0</v>
      </c>
      <c r="X403" s="3">
        <v>6297.0</v>
      </c>
      <c r="Y403" s="3">
        <v>41.0</v>
      </c>
      <c r="Z403" s="3">
        <v>148.0</v>
      </c>
      <c r="AA403" s="3">
        <v>342.0</v>
      </c>
      <c r="AB403" s="3">
        <v>883.0</v>
      </c>
      <c r="AC403" s="3">
        <v>62.0</v>
      </c>
    </row>
    <row r="404">
      <c r="A404" s="3">
        <v>402.0</v>
      </c>
      <c r="B404" s="3" t="s">
        <v>2373</v>
      </c>
      <c r="C404" s="3">
        <v>409.0</v>
      </c>
      <c r="D404" s="3" t="s">
        <v>722</v>
      </c>
      <c r="E404" s="3">
        <v>17.14</v>
      </c>
      <c r="F404" s="3">
        <v>-90.4</v>
      </c>
      <c r="G404" s="3">
        <v>26.0</v>
      </c>
      <c r="H404" s="3">
        <v>3.0</v>
      </c>
      <c r="I404" s="3" t="s">
        <v>167</v>
      </c>
      <c r="J404" s="3">
        <v>564.0</v>
      </c>
      <c r="K404" s="3">
        <v>569.0</v>
      </c>
      <c r="L404" s="3" t="s">
        <v>133</v>
      </c>
      <c r="M404" s="3">
        <v>1.0</v>
      </c>
      <c r="N404" s="3" t="s">
        <v>121</v>
      </c>
      <c r="O404" s="3" t="s">
        <v>2374</v>
      </c>
      <c r="P404" s="3" t="s">
        <v>2378</v>
      </c>
      <c r="Q404" s="3">
        <v>2.0</v>
      </c>
      <c r="R404" s="3">
        <v>494.0</v>
      </c>
      <c r="S404" s="3">
        <v>57.480003</v>
      </c>
      <c r="T404" s="3">
        <v>12.625324</v>
      </c>
      <c r="U404" s="3" t="s">
        <v>2376</v>
      </c>
      <c r="V404" s="3">
        <v>0.0</v>
      </c>
      <c r="W404" s="3">
        <v>2046.0</v>
      </c>
      <c r="X404" s="3">
        <v>6297.0</v>
      </c>
      <c r="Y404" s="3">
        <v>41.0</v>
      </c>
      <c r="Z404" s="3">
        <v>148.0</v>
      </c>
      <c r="AA404" s="3">
        <v>342.0</v>
      </c>
      <c r="AB404" s="3">
        <v>883.0</v>
      </c>
      <c r="AC404" s="3">
        <v>62.0</v>
      </c>
    </row>
    <row r="405">
      <c r="A405" s="3">
        <v>403.0</v>
      </c>
      <c r="B405" s="3" t="s">
        <v>2373</v>
      </c>
      <c r="C405" s="3">
        <v>410.0</v>
      </c>
      <c r="D405" s="3" t="s">
        <v>725</v>
      </c>
      <c r="E405" s="3">
        <v>17.14</v>
      </c>
      <c r="F405" s="3">
        <v>-90.4</v>
      </c>
      <c r="G405" s="3">
        <v>26.0</v>
      </c>
      <c r="H405" s="3">
        <v>3.0</v>
      </c>
      <c r="I405" s="3" t="s">
        <v>167</v>
      </c>
      <c r="J405" s="3">
        <v>564.0</v>
      </c>
      <c r="K405" s="3">
        <v>569.0</v>
      </c>
      <c r="L405" s="3" t="s">
        <v>133</v>
      </c>
      <c r="M405" s="3">
        <v>1.0</v>
      </c>
      <c r="N405" s="3" t="s">
        <v>121</v>
      </c>
      <c r="O405" s="3" t="s">
        <v>2374</v>
      </c>
      <c r="P405" s="3" t="s">
        <v>2378</v>
      </c>
      <c r="Q405" s="3">
        <v>2.0</v>
      </c>
      <c r="R405" s="3">
        <v>494.0</v>
      </c>
      <c r="S405" s="3">
        <v>57.480003</v>
      </c>
      <c r="T405" s="3">
        <v>12.625324</v>
      </c>
      <c r="U405" s="3" t="s">
        <v>2376</v>
      </c>
      <c r="V405" s="3">
        <v>0.0</v>
      </c>
      <c r="W405" s="3">
        <v>2046.0</v>
      </c>
      <c r="X405" s="3">
        <v>6297.0</v>
      </c>
      <c r="Y405" s="3">
        <v>41.0</v>
      </c>
      <c r="Z405" s="3">
        <v>148.0</v>
      </c>
      <c r="AA405" s="3">
        <v>342.0</v>
      </c>
      <c r="AB405" s="3">
        <v>883.0</v>
      </c>
      <c r="AC405" s="3">
        <v>62.0</v>
      </c>
    </row>
    <row r="406">
      <c r="A406" s="3">
        <v>404.0</v>
      </c>
      <c r="B406" s="3" t="s">
        <v>2373</v>
      </c>
      <c r="C406" s="3">
        <v>411.0</v>
      </c>
      <c r="D406" s="3" t="s">
        <v>726</v>
      </c>
      <c r="E406" s="3">
        <v>17.14</v>
      </c>
      <c r="F406" s="3">
        <v>-90.4</v>
      </c>
      <c r="G406" s="3">
        <v>26.0</v>
      </c>
      <c r="H406" s="3">
        <v>3.0</v>
      </c>
      <c r="I406" s="3" t="s">
        <v>167</v>
      </c>
      <c r="J406" s="3">
        <v>564.0</v>
      </c>
      <c r="K406" s="3">
        <v>569.0</v>
      </c>
      <c r="L406" s="3" t="s">
        <v>133</v>
      </c>
      <c r="M406" s="3">
        <v>1.0</v>
      </c>
      <c r="N406" s="3" t="s">
        <v>121</v>
      </c>
      <c r="O406" s="3" t="s">
        <v>2374</v>
      </c>
      <c r="P406" s="3" t="s">
        <v>2378</v>
      </c>
      <c r="Q406" s="3">
        <v>2.0</v>
      </c>
      <c r="R406" s="3">
        <v>494.0</v>
      </c>
      <c r="S406" s="3">
        <v>57.480003</v>
      </c>
      <c r="T406" s="3">
        <v>12.625324</v>
      </c>
      <c r="U406" s="3" t="s">
        <v>2376</v>
      </c>
      <c r="V406" s="3">
        <v>0.0</v>
      </c>
      <c r="W406" s="3">
        <v>2046.0</v>
      </c>
      <c r="X406" s="3">
        <v>6297.0</v>
      </c>
      <c r="Y406" s="3">
        <v>41.0</v>
      </c>
      <c r="Z406" s="3">
        <v>148.0</v>
      </c>
      <c r="AA406" s="3">
        <v>342.0</v>
      </c>
      <c r="AB406" s="3">
        <v>883.0</v>
      </c>
      <c r="AC406" s="3">
        <v>62.0</v>
      </c>
    </row>
    <row r="407">
      <c r="A407" s="3">
        <v>405.0</v>
      </c>
      <c r="B407" s="3" t="s">
        <v>2373</v>
      </c>
      <c r="C407" s="3">
        <v>413.0</v>
      </c>
      <c r="D407" s="3" t="s">
        <v>1725</v>
      </c>
      <c r="E407" s="3">
        <v>17.533333</v>
      </c>
      <c r="F407" s="3">
        <v>-90.183333</v>
      </c>
      <c r="G407" s="3">
        <v>26.0</v>
      </c>
      <c r="H407" s="3">
        <v>3.0</v>
      </c>
      <c r="I407" s="3" t="s">
        <v>167</v>
      </c>
      <c r="J407" s="3">
        <v>564.0</v>
      </c>
      <c r="K407" s="3">
        <v>569.0</v>
      </c>
      <c r="L407" s="3" t="s">
        <v>133</v>
      </c>
      <c r="M407" s="3">
        <v>1.0</v>
      </c>
      <c r="N407" s="3" t="s">
        <v>121</v>
      </c>
      <c r="O407" s="3" t="s">
        <v>2374</v>
      </c>
      <c r="P407" s="3" t="s">
        <v>2378</v>
      </c>
      <c r="Q407" s="3">
        <v>2.0</v>
      </c>
      <c r="R407" s="3">
        <v>494.0</v>
      </c>
      <c r="S407" s="3">
        <v>57.480003</v>
      </c>
      <c r="T407" s="3">
        <v>12.625324</v>
      </c>
      <c r="U407" s="3" t="s">
        <v>2376</v>
      </c>
      <c r="V407" s="3">
        <v>0.0</v>
      </c>
      <c r="W407" s="3">
        <v>1598.0</v>
      </c>
      <c r="X407" s="3">
        <v>6059.0</v>
      </c>
      <c r="Y407" s="3">
        <v>33.0</v>
      </c>
      <c r="Z407" s="3">
        <v>119.0</v>
      </c>
      <c r="AA407" s="3">
        <v>270.0</v>
      </c>
      <c r="AB407" s="3">
        <v>686.0</v>
      </c>
      <c r="AC407" s="3">
        <v>238.0</v>
      </c>
    </row>
    <row r="408">
      <c r="A408" s="3">
        <v>406.0</v>
      </c>
      <c r="B408" s="3" t="s">
        <v>2373</v>
      </c>
      <c r="C408" s="3">
        <v>414.0</v>
      </c>
      <c r="D408" s="3" t="s">
        <v>1726</v>
      </c>
      <c r="E408" s="3">
        <v>17.533333</v>
      </c>
      <c r="F408" s="3">
        <v>-90.183333</v>
      </c>
      <c r="G408" s="3">
        <v>26.0</v>
      </c>
      <c r="H408" s="3">
        <v>3.0</v>
      </c>
      <c r="I408" s="3" t="s">
        <v>167</v>
      </c>
      <c r="J408" s="3">
        <v>564.0</v>
      </c>
      <c r="K408" s="3">
        <v>569.0</v>
      </c>
      <c r="L408" s="3" t="s">
        <v>133</v>
      </c>
      <c r="M408" s="3">
        <v>1.0</v>
      </c>
      <c r="N408" s="3" t="s">
        <v>121</v>
      </c>
      <c r="O408" s="3" t="s">
        <v>2374</v>
      </c>
      <c r="P408" s="3" t="s">
        <v>2378</v>
      </c>
      <c r="Q408" s="3">
        <v>2.0</v>
      </c>
      <c r="R408" s="3">
        <v>494.0</v>
      </c>
      <c r="S408" s="3">
        <v>57.480003</v>
      </c>
      <c r="T408" s="3">
        <v>12.625324</v>
      </c>
      <c r="U408" s="3" t="s">
        <v>2376</v>
      </c>
      <c r="V408" s="3">
        <v>0.0</v>
      </c>
      <c r="W408" s="3">
        <v>1598.0</v>
      </c>
      <c r="X408" s="3">
        <v>6059.0</v>
      </c>
      <c r="Y408" s="3">
        <v>33.0</v>
      </c>
      <c r="Z408" s="3">
        <v>119.0</v>
      </c>
      <c r="AA408" s="3">
        <v>270.0</v>
      </c>
      <c r="AB408" s="3">
        <v>686.0</v>
      </c>
      <c r="AC408" s="3">
        <v>238.0</v>
      </c>
    </row>
    <row r="409">
      <c r="A409" s="3">
        <v>407.0</v>
      </c>
      <c r="B409" s="3" t="s">
        <v>2373</v>
      </c>
      <c r="C409" s="3">
        <v>422.0</v>
      </c>
      <c r="D409" s="3" t="s">
        <v>1417</v>
      </c>
      <c r="E409" s="3">
        <v>16.98567</v>
      </c>
      <c r="F409" s="3">
        <v>-89.674358</v>
      </c>
      <c r="G409" s="3">
        <v>26.0</v>
      </c>
      <c r="H409" s="3">
        <v>3.0</v>
      </c>
      <c r="I409" s="3" t="s">
        <v>167</v>
      </c>
      <c r="J409" s="3">
        <v>564.0</v>
      </c>
      <c r="K409" s="3">
        <v>569.0</v>
      </c>
      <c r="L409" s="3" t="s">
        <v>133</v>
      </c>
      <c r="M409" s="3">
        <v>1.0</v>
      </c>
      <c r="N409" s="3" t="s">
        <v>121</v>
      </c>
      <c r="O409" s="3" t="s">
        <v>2374</v>
      </c>
      <c r="P409" s="3" t="s">
        <v>2378</v>
      </c>
      <c r="Q409" s="3">
        <v>2.0</v>
      </c>
      <c r="R409" s="3">
        <v>494.0</v>
      </c>
      <c r="S409" s="3">
        <v>57.480003</v>
      </c>
      <c r="T409" s="3">
        <v>12.625324</v>
      </c>
      <c r="U409" s="3" t="s">
        <v>2376</v>
      </c>
      <c r="V409" s="3">
        <v>0.0</v>
      </c>
      <c r="W409" s="3">
        <v>1757.0</v>
      </c>
      <c r="X409" s="3">
        <v>5662.0</v>
      </c>
      <c r="Y409" s="3">
        <v>37.0</v>
      </c>
      <c r="Z409" s="3">
        <v>141.0</v>
      </c>
      <c r="AA409" s="3">
        <v>251.0</v>
      </c>
      <c r="AB409" s="3">
        <v>704.0</v>
      </c>
      <c r="AC409" s="3">
        <v>118.0</v>
      </c>
    </row>
    <row r="410">
      <c r="A410" s="3">
        <v>408.0</v>
      </c>
      <c r="B410" s="3" t="s">
        <v>2373</v>
      </c>
      <c r="C410" s="3">
        <v>424.0</v>
      </c>
      <c r="D410" s="3" t="s">
        <v>1427</v>
      </c>
      <c r="E410" s="3">
        <v>16.98567</v>
      </c>
      <c r="F410" s="3">
        <v>-89.674358</v>
      </c>
      <c r="G410" s="3">
        <v>26.0</v>
      </c>
      <c r="H410" s="3">
        <v>3.0</v>
      </c>
      <c r="I410" s="3" t="s">
        <v>167</v>
      </c>
      <c r="J410" s="3">
        <v>564.0</v>
      </c>
      <c r="K410" s="3">
        <v>569.0</v>
      </c>
      <c r="L410" s="3" t="s">
        <v>133</v>
      </c>
      <c r="M410" s="3">
        <v>1.0</v>
      </c>
      <c r="N410" s="3" t="s">
        <v>121</v>
      </c>
      <c r="O410" s="3" t="s">
        <v>2374</v>
      </c>
      <c r="P410" s="3" t="s">
        <v>2378</v>
      </c>
      <c r="Q410" s="3">
        <v>2.0</v>
      </c>
      <c r="R410" s="3">
        <v>494.0</v>
      </c>
      <c r="S410" s="3">
        <v>57.480003</v>
      </c>
      <c r="T410" s="3">
        <v>12.625324</v>
      </c>
      <c r="U410" s="3" t="s">
        <v>2376</v>
      </c>
      <c r="V410" s="3">
        <v>0.0</v>
      </c>
      <c r="W410" s="3">
        <v>1757.0</v>
      </c>
      <c r="X410" s="3">
        <v>5662.0</v>
      </c>
      <c r="Y410" s="3">
        <v>37.0</v>
      </c>
      <c r="Z410" s="3">
        <v>141.0</v>
      </c>
      <c r="AA410" s="3">
        <v>251.0</v>
      </c>
      <c r="AB410" s="3">
        <v>704.0</v>
      </c>
      <c r="AC410" s="3">
        <v>118.0</v>
      </c>
    </row>
    <row r="411">
      <c r="A411" s="3">
        <v>409.0</v>
      </c>
      <c r="B411" s="3" t="s">
        <v>2373</v>
      </c>
      <c r="C411" s="3">
        <v>428.0</v>
      </c>
      <c r="D411" s="3" t="s">
        <v>1733</v>
      </c>
      <c r="E411" s="3">
        <v>17.0</v>
      </c>
      <c r="F411" s="3">
        <v>-89.5</v>
      </c>
      <c r="G411" s="3">
        <v>26.0</v>
      </c>
      <c r="H411" s="3">
        <v>3.0</v>
      </c>
      <c r="I411" s="3" t="s">
        <v>167</v>
      </c>
      <c r="J411" s="3">
        <v>564.0</v>
      </c>
      <c r="K411" s="3">
        <v>569.0</v>
      </c>
      <c r="L411" s="3" t="s">
        <v>133</v>
      </c>
      <c r="M411" s="3">
        <v>1.0</v>
      </c>
      <c r="N411" s="3" t="s">
        <v>121</v>
      </c>
      <c r="O411" s="3" t="s">
        <v>2374</v>
      </c>
      <c r="P411" s="3" t="s">
        <v>2378</v>
      </c>
      <c r="Q411" s="3">
        <v>2.0</v>
      </c>
      <c r="R411" s="3">
        <v>494.0</v>
      </c>
      <c r="S411" s="3">
        <v>57.480003</v>
      </c>
      <c r="T411" s="3">
        <v>12.625324</v>
      </c>
      <c r="U411" s="3" t="s">
        <v>2376</v>
      </c>
      <c r="V411" s="3">
        <v>0.0</v>
      </c>
      <c r="W411" s="3">
        <v>1860.0</v>
      </c>
      <c r="X411" s="3">
        <v>5571.0</v>
      </c>
      <c r="Y411" s="3">
        <v>41.0</v>
      </c>
      <c r="Z411" s="3">
        <v>153.0</v>
      </c>
      <c r="AA411" s="3">
        <v>268.0</v>
      </c>
      <c r="AB411" s="3">
        <v>756.0</v>
      </c>
      <c r="AC411" s="3">
        <v>226.0</v>
      </c>
    </row>
    <row r="412">
      <c r="A412" s="3">
        <v>410.0</v>
      </c>
      <c r="B412" s="3" t="s">
        <v>2373</v>
      </c>
      <c r="C412" s="3">
        <v>429.0</v>
      </c>
      <c r="D412" s="3" t="s">
        <v>1735</v>
      </c>
      <c r="E412" s="3">
        <v>17.0</v>
      </c>
      <c r="F412" s="3">
        <v>-89.5</v>
      </c>
      <c r="G412" s="3">
        <v>26.0</v>
      </c>
      <c r="H412" s="3">
        <v>3.0</v>
      </c>
      <c r="I412" s="3" t="s">
        <v>167</v>
      </c>
      <c r="J412" s="3">
        <v>564.0</v>
      </c>
      <c r="K412" s="3">
        <v>569.0</v>
      </c>
      <c r="L412" s="3" t="s">
        <v>133</v>
      </c>
      <c r="M412" s="3">
        <v>1.0</v>
      </c>
      <c r="N412" s="3" t="s">
        <v>121</v>
      </c>
      <c r="O412" s="3" t="s">
        <v>2374</v>
      </c>
      <c r="P412" s="3" t="s">
        <v>2378</v>
      </c>
      <c r="Q412" s="3">
        <v>2.0</v>
      </c>
      <c r="R412" s="3">
        <v>494.0</v>
      </c>
      <c r="S412" s="3">
        <v>57.480003</v>
      </c>
      <c r="T412" s="3">
        <v>12.625324</v>
      </c>
      <c r="U412" s="3" t="s">
        <v>2376</v>
      </c>
      <c r="V412" s="3">
        <v>0.0</v>
      </c>
      <c r="W412" s="3">
        <v>1860.0</v>
      </c>
      <c r="X412" s="3">
        <v>5571.0</v>
      </c>
      <c r="Y412" s="3">
        <v>41.0</v>
      </c>
      <c r="Z412" s="3">
        <v>153.0</v>
      </c>
      <c r="AA412" s="3">
        <v>268.0</v>
      </c>
      <c r="AB412" s="3">
        <v>756.0</v>
      </c>
      <c r="AC412" s="3">
        <v>226.0</v>
      </c>
    </row>
    <row r="413">
      <c r="A413" s="3">
        <v>411.0</v>
      </c>
      <c r="B413" s="3" t="s">
        <v>2373</v>
      </c>
      <c r="C413" s="3">
        <v>457.0</v>
      </c>
      <c r="D413" s="3" t="s">
        <v>2187</v>
      </c>
      <c r="E413" s="3">
        <v>17.533333</v>
      </c>
      <c r="F413" s="3">
        <v>-90.183333</v>
      </c>
      <c r="G413" s="3">
        <v>26.0</v>
      </c>
      <c r="H413" s="3">
        <v>3.0</v>
      </c>
      <c r="I413" s="3" t="s">
        <v>167</v>
      </c>
      <c r="J413" s="3">
        <v>564.0</v>
      </c>
      <c r="K413" s="3">
        <v>569.0</v>
      </c>
      <c r="L413" s="3" t="s">
        <v>133</v>
      </c>
      <c r="M413" s="3">
        <v>1.0</v>
      </c>
      <c r="N413" s="3" t="s">
        <v>121</v>
      </c>
      <c r="O413" s="3" t="s">
        <v>2374</v>
      </c>
      <c r="P413" s="3" t="s">
        <v>2378</v>
      </c>
      <c r="Q413" s="3">
        <v>2.0</v>
      </c>
      <c r="R413" s="3">
        <v>494.0</v>
      </c>
      <c r="S413" s="3">
        <v>57.480003</v>
      </c>
      <c r="T413" s="3">
        <v>12.625324</v>
      </c>
      <c r="U413" s="3" t="s">
        <v>2376</v>
      </c>
      <c r="V413" s="3">
        <v>0.0</v>
      </c>
      <c r="W413" s="3">
        <v>1598.0</v>
      </c>
      <c r="X413" s="3">
        <v>6059.0</v>
      </c>
      <c r="Y413" s="3">
        <v>33.0</v>
      </c>
      <c r="Z413" s="3">
        <v>119.0</v>
      </c>
      <c r="AA413" s="3">
        <v>270.0</v>
      </c>
      <c r="AB413" s="3">
        <v>686.0</v>
      </c>
      <c r="AC413" s="3">
        <v>238.0</v>
      </c>
    </row>
    <row r="414">
      <c r="A414" s="3">
        <v>412.0</v>
      </c>
      <c r="B414" s="3" t="s">
        <v>2373</v>
      </c>
      <c r="C414" s="3">
        <v>458.0</v>
      </c>
      <c r="D414" s="3" t="s">
        <v>2188</v>
      </c>
      <c r="E414" s="3">
        <v>17.8</v>
      </c>
      <c r="F414" s="3">
        <v>-90.116667</v>
      </c>
      <c r="G414" s="3">
        <v>26.0</v>
      </c>
      <c r="H414" s="3">
        <v>3.0</v>
      </c>
      <c r="I414" s="3" t="s">
        <v>167</v>
      </c>
      <c r="J414" s="3">
        <v>564.0</v>
      </c>
      <c r="K414" s="3">
        <v>569.0</v>
      </c>
      <c r="L414" s="3" t="s">
        <v>133</v>
      </c>
      <c r="M414" s="3">
        <v>1.0</v>
      </c>
      <c r="N414" s="3" t="s">
        <v>121</v>
      </c>
      <c r="O414" s="3" t="s">
        <v>2374</v>
      </c>
      <c r="P414" s="3" t="s">
        <v>2378</v>
      </c>
      <c r="Q414" s="3">
        <v>2.0</v>
      </c>
      <c r="R414" s="3">
        <v>494.0</v>
      </c>
      <c r="S414" s="3">
        <v>57.480003</v>
      </c>
      <c r="T414" s="3">
        <v>12.625324</v>
      </c>
      <c r="U414" s="3" t="s">
        <v>2376</v>
      </c>
      <c r="V414" s="3">
        <v>0.0</v>
      </c>
      <c r="W414" s="3">
        <v>1414.0</v>
      </c>
      <c r="X414" s="3">
        <v>6224.0</v>
      </c>
      <c r="Y414" s="3">
        <v>32.0</v>
      </c>
      <c r="Z414" s="3">
        <v>106.0</v>
      </c>
      <c r="AA414" s="3">
        <v>253.0</v>
      </c>
      <c r="AB414" s="3">
        <v>624.0</v>
      </c>
      <c r="AC414" s="3">
        <v>206.0</v>
      </c>
    </row>
    <row r="415">
      <c r="A415" s="3">
        <v>413.0</v>
      </c>
      <c r="B415" s="3" t="s">
        <v>2373</v>
      </c>
      <c r="C415" s="3">
        <v>459.0</v>
      </c>
      <c r="D415" s="3" t="s">
        <v>2190</v>
      </c>
      <c r="E415" s="3">
        <v>17.533333</v>
      </c>
      <c r="F415" s="3">
        <v>-90.183333</v>
      </c>
      <c r="G415" s="3">
        <v>26.0</v>
      </c>
      <c r="H415" s="3">
        <v>3.0</v>
      </c>
      <c r="I415" s="3" t="s">
        <v>167</v>
      </c>
      <c r="J415" s="3">
        <v>564.0</v>
      </c>
      <c r="K415" s="3">
        <v>569.0</v>
      </c>
      <c r="L415" s="3" t="s">
        <v>133</v>
      </c>
      <c r="M415" s="3">
        <v>1.0</v>
      </c>
      <c r="N415" s="3" t="s">
        <v>121</v>
      </c>
      <c r="O415" s="3" t="s">
        <v>2374</v>
      </c>
      <c r="P415" s="3" t="s">
        <v>2378</v>
      </c>
      <c r="Q415" s="3">
        <v>2.0</v>
      </c>
      <c r="R415" s="3">
        <v>494.0</v>
      </c>
      <c r="S415" s="3">
        <v>57.480003</v>
      </c>
      <c r="T415" s="3">
        <v>12.625324</v>
      </c>
      <c r="U415" s="3" t="s">
        <v>2376</v>
      </c>
      <c r="V415" s="3">
        <v>0.0</v>
      </c>
      <c r="W415" s="3">
        <v>1598.0</v>
      </c>
      <c r="X415" s="3">
        <v>6059.0</v>
      </c>
      <c r="Y415" s="3">
        <v>33.0</v>
      </c>
      <c r="Z415" s="3">
        <v>119.0</v>
      </c>
      <c r="AA415" s="3">
        <v>270.0</v>
      </c>
      <c r="AB415" s="3">
        <v>686.0</v>
      </c>
      <c r="AC415" s="3">
        <v>238.0</v>
      </c>
    </row>
    <row r="416">
      <c r="A416" s="3">
        <v>414.0</v>
      </c>
      <c r="B416" s="3" t="s">
        <v>2373</v>
      </c>
      <c r="C416" s="3">
        <v>460.0</v>
      </c>
      <c r="D416" s="3" t="s">
        <v>2191</v>
      </c>
      <c r="E416" s="3">
        <v>17.8</v>
      </c>
      <c r="F416" s="3">
        <v>-90.116667</v>
      </c>
      <c r="G416" s="3">
        <v>26.0</v>
      </c>
      <c r="H416" s="3">
        <v>3.0</v>
      </c>
      <c r="I416" s="3" t="s">
        <v>167</v>
      </c>
      <c r="J416" s="3">
        <v>564.0</v>
      </c>
      <c r="K416" s="3">
        <v>569.0</v>
      </c>
      <c r="L416" s="3" t="s">
        <v>133</v>
      </c>
      <c r="M416" s="3">
        <v>1.0</v>
      </c>
      <c r="N416" s="3" t="s">
        <v>121</v>
      </c>
      <c r="O416" s="3" t="s">
        <v>2374</v>
      </c>
      <c r="P416" s="3" t="s">
        <v>2378</v>
      </c>
      <c r="Q416" s="3">
        <v>2.0</v>
      </c>
      <c r="R416" s="3">
        <v>494.0</v>
      </c>
      <c r="S416" s="3">
        <v>57.480003</v>
      </c>
      <c r="T416" s="3">
        <v>12.625324</v>
      </c>
      <c r="U416" s="3" t="s">
        <v>2376</v>
      </c>
      <c r="V416" s="3">
        <v>0.0</v>
      </c>
      <c r="W416" s="3">
        <v>1414.0</v>
      </c>
      <c r="X416" s="3">
        <v>6224.0</v>
      </c>
      <c r="Y416" s="3">
        <v>32.0</v>
      </c>
      <c r="Z416" s="3">
        <v>106.0</v>
      </c>
      <c r="AA416" s="3">
        <v>253.0</v>
      </c>
      <c r="AB416" s="3">
        <v>624.0</v>
      </c>
      <c r="AC416" s="3">
        <v>206.0</v>
      </c>
    </row>
    <row r="417">
      <c r="A417" s="3">
        <v>415.0</v>
      </c>
      <c r="B417" s="3" t="s">
        <v>2373</v>
      </c>
      <c r="C417" s="3">
        <v>461.0</v>
      </c>
      <c r="D417" s="3" t="s">
        <v>2194</v>
      </c>
      <c r="E417" s="3">
        <v>17.533333</v>
      </c>
      <c r="F417" s="3">
        <v>-90.183333</v>
      </c>
      <c r="G417" s="3">
        <v>26.0</v>
      </c>
      <c r="H417" s="3">
        <v>3.0</v>
      </c>
      <c r="I417" s="3" t="s">
        <v>167</v>
      </c>
      <c r="J417" s="3">
        <v>564.0</v>
      </c>
      <c r="K417" s="3">
        <v>569.0</v>
      </c>
      <c r="L417" s="3" t="s">
        <v>133</v>
      </c>
      <c r="M417" s="3">
        <v>1.0</v>
      </c>
      <c r="N417" s="3" t="s">
        <v>121</v>
      </c>
      <c r="O417" s="3" t="s">
        <v>2374</v>
      </c>
      <c r="P417" s="3" t="s">
        <v>2378</v>
      </c>
      <c r="Q417" s="3">
        <v>2.0</v>
      </c>
      <c r="R417" s="3">
        <v>494.0</v>
      </c>
      <c r="S417" s="3">
        <v>57.480003</v>
      </c>
      <c r="T417" s="3">
        <v>12.625324</v>
      </c>
      <c r="U417" s="3" t="s">
        <v>2376</v>
      </c>
      <c r="V417" s="3">
        <v>0.0</v>
      </c>
      <c r="W417" s="3">
        <v>1598.0</v>
      </c>
      <c r="X417" s="3">
        <v>6059.0</v>
      </c>
      <c r="Y417" s="3">
        <v>33.0</v>
      </c>
      <c r="Z417" s="3">
        <v>119.0</v>
      </c>
      <c r="AA417" s="3">
        <v>270.0</v>
      </c>
      <c r="AB417" s="3">
        <v>686.0</v>
      </c>
      <c r="AC417" s="3">
        <v>238.0</v>
      </c>
    </row>
    <row r="418">
      <c r="A418" s="3">
        <v>416.0</v>
      </c>
      <c r="B418" s="3" t="s">
        <v>2373</v>
      </c>
      <c r="C418" s="3">
        <v>466.0</v>
      </c>
      <c r="D418" s="3" t="s">
        <v>1762</v>
      </c>
      <c r="E418" s="3">
        <v>17.00162</v>
      </c>
      <c r="F418" s="3">
        <v>-89.476844</v>
      </c>
      <c r="G418" s="3">
        <v>26.0</v>
      </c>
      <c r="H418" s="3">
        <v>3.0</v>
      </c>
      <c r="I418" s="3" t="s">
        <v>167</v>
      </c>
      <c r="J418" s="3">
        <v>564.0</v>
      </c>
      <c r="K418" s="3">
        <v>569.0</v>
      </c>
      <c r="L418" s="3" t="s">
        <v>133</v>
      </c>
      <c r="M418" s="3">
        <v>1.0</v>
      </c>
      <c r="N418" s="3" t="s">
        <v>121</v>
      </c>
      <c r="O418" s="3" t="s">
        <v>2374</v>
      </c>
      <c r="P418" s="3" t="s">
        <v>2378</v>
      </c>
      <c r="Q418" s="3">
        <v>2.0</v>
      </c>
      <c r="R418" s="3">
        <v>494.0</v>
      </c>
      <c r="S418" s="3">
        <v>57.480003</v>
      </c>
      <c r="T418" s="3">
        <v>12.625324</v>
      </c>
      <c r="U418" s="3" t="s">
        <v>2376</v>
      </c>
      <c r="V418" s="3">
        <v>0.0</v>
      </c>
      <c r="W418" s="3">
        <v>1846.0</v>
      </c>
      <c r="X418" s="3">
        <v>5579.0</v>
      </c>
      <c r="Y418" s="3">
        <v>40.0</v>
      </c>
      <c r="Z418" s="3">
        <v>151.0</v>
      </c>
      <c r="AA418" s="3">
        <v>267.0</v>
      </c>
      <c r="AB418" s="3">
        <v>751.0</v>
      </c>
      <c r="AC418" s="3">
        <v>234.0</v>
      </c>
    </row>
    <row r="419">
      <c r="A419" s="3">
        <v>417.0</v>
      </c>
      <c r="B419" s="3" t="s">
        <v>2373</v>
      </c>
      <c r="C419" s="3">
        <v>505.0</v>
      </c>
      <c r="D419" s="3" t="s">
        <v>396</v>
      </c>
      <c r="E419" s="3">
        <v>17.239926</v>
      </c>
      <c r="F419" s="3">
        <v>-89.804629</v>
      </c>
      <c r="G419" s="3">
        <v>26.0</v>
      </c>
      <c r="H419" s="3">
        <v>3.0</v>
      </c>
      <c r="I419" s="3" t="s">
        <v>167</v>
      </c>
      <c r="J419" s="3">
        <v>564.0</v>
      </c>
      <c r="K419" s="3">
        <v>569.0</v>
      </c>
      <c r="L419" s="3" t="s">
        <v>133</v>
      </c>
      <c r="M419" s="3">
        <v>1.0</v>
      </c>
      <c r="N419" s="3" t="s">
        <v>121</v>
      </c>
      <c r="O419" s="3" t="s">
        <v>2374</v>
      </c>
      <c r="P419" s="3" t="s">
        <v>2378</v>
      </c>
      <c r="Q419" s="3">
        <v>2.0</v>
      </c>
      <c r="R419" s="3">
        <v>494.0</v>
      </c>
      <c r="S419" s="3">
        <v>57.480003</v>
      </c>
      <c r="T419" s="3">
        <v>12.625324</v>
      </c>
      <c r="U419" s="3" t="s">
        <v>2376</v>
      </c>
      <c r="V419" s="3">
        <v>0.0</v>
      </c>
      <c r="W419" s="3">
        <v>1616.0</v>
      </c>
      <c r="X419" s="3">
        <v>5637.0</v>
      </c>
      <c r="Y419" s="3">
        <v>38.0</v>
      </c>
      <c r="Z419" s="3">
        <v>128.0</v>
      </c>
      <c r="AA419" s="3">
        <v>244.0</v>
      </c>
      <c r="AB419" s="3">
        <v>647.0</v>
      </c>
      <c r="AC419" s="3">
        <v>226.0</v>
      </c>
    </row>
    <row r="420">
      <c r="A420" s="3">
        <v>418.0</v>
      </c>
      <c r="B420" s="3" t="s">
        <v>2373</v>
      </c>
      <c r="C420" s="3">
        <v>506.0</v>
      </c>
      <c r="D420" s="3" t="s">
        <v>401</v>
      </c>
      <c r="E420" s="3">
        <v>17.239567</v>
      </c>
      <c r="F420" s="3">
        <v>-89.810542</v>
      </c>
      <c r="G420" s="3">
        <v>26.0</v>
      </c>
      <c r="H420" s="3">
        <v>3.0</v>
      </c>
      <c r="I420" s="3" t="s">
        <v>167</v>
      </c>
      <c r="J420" s="3">
        <v>564.0</v>
      </c>
      <c r="K420" s="3">
        <v>569.0</v>
      </c>
      <c r="L420" s="3" t="s">
        <v>133</v>
      </c>
      <c r="M420" s="3">
        <v>1.0</v>
      </c>
      <c r="N420" s="3" t="s">
        <v>121</v>
      </c>
      <c r="O420" s="3" t="s">
        <v>2374</v>
      </c>
      <c r="P420" s="3" t="s">
        <v>2378</v>
      </c>
      <c r="Q420" s="3">
        <v>2.0</v>
      </c>
      <c r="R420" s="3">
        <v>494.0</v>
      </c>
      <c r="S420" s="3">
        <v>57.480003</v>
      </c>
      <c r="T420" s="3">
        <v>12.625324</v>
      </c>
      <c r="U420" s="3" t="s">
        <v>2376</v>
      </c>
      <c r="V420" s="3">
        <v>0.0</v>
      </c>
      <c r="W420" s="3">
        <v>1621.0</v>
      </c>
      <c r="X420" s="3">
        <v>5627.0</v>
      </c>
      <c r="Y420" s="3">
        <v>38.0</v>
      </c>
      <c r="Z420" s="3">
        <v>130.0</v>
      </c>
      <c r="AA420" s="3">
        <v>245.0</v>
      </c>
      <c r="AB420" s="3">
        <v>649.0</v>
      </c>
      <c r="AC420" s="3">
        <v>249.0</v>
      </c>
    </row>
    <row r="421">
      <c r="A421" s="3">
        <v>419.0</v>
      </c>
      <c r="B421" s="3" t="s">
        <v>2373</v>
      </c>
      <c r="C421" s="3">
        <v>507.0</v>
      </c>
      <c r="D421" s="3" t="s">
        <v>403</v>
      </c>
      <c r="E421" s="3">
        <v>17.228088</v>
      </c>
      <c r="F421" s="3">
        <v>-89.761455</v>
      </c>
      <c r="G421" s="3">
        <v>26.0</v>
      </c>
      <c r="H421" s="3">
        <v>3.0</v>
      </c>
      <c r="I421" s="3" t="s">
        <v>167</v>
      </c>
      <c r="J421" s="3">
        <v>564.0</v>
      </c>
      <c r="K421" s="3">
        <v>569.0</v>
      </c>
      <c r="L421" s="3" t="s">
        <v>133</v>
      </c>
      <c r="M421" s="3">
        <v>1.0</v>
      </c>
      <c r="N421" s="3" t="s">
        <v>121</v>
      </c>
      <c r="O421" s="3" t="s">
        <v>2374</v>
      </c>
      <c r="P421" s="3" t="s">
        <v>2378</v>
      </c>
      <c r="Q421" s="3">
        <v>2.0</v>
      </c>
      <c r="R421" s="3">
        <v>494.0</v>
      </c>
      <c r="S421" s="3">
        <v>57.480003</v>
      </c>
      <c r="T421" s="3">
        <v>12.625324</v>
      </c>
      <c r="U421" s="3" t="s">
        <v>2376</v>
      </c>
      <c r="V421" s="3">
        <v>0.0</v>
      </c>
      <c r="W421" s="3">
        <v>1614.0</v>
      </c>
      <c r="X421" s="3">
        <v>5597.0</v>
      </c>
      <c r="Y421" s="3">
        <v>38.0</v>
      </c>
      <c r="Z421" s="3">
        <v>130.0</v>
      </c>
      <c r="AA421" s="3">
        <v>241.0</v>
      </c>
      <c r="AB421" s="3">
        <v>641.0</v>
      </c>
      <c r="AC421" s="3">
        <v>229.0</v>
      </c>
    </row>
    <row r="422">
      <c r="A422" s="3">
        <v>420.0</v>
      </c>
      <c r="B422" s="3" t="s">
        <v>2373</v>
      </c>
      <c r="C422" s="3">
        <v>508.0</v>
      </c>
      <c r="D422" s="3" t="s">
        <v>405</v>
      </c>
      <c r="E422" s="3">
        <v>17.228088</v>
      </c>
      <c r="F422" s="3">
        <v>-89.761455</v>
      </c>
      <c r="G422" s="3">
        <v>26.0</v>
      </c>
      <c r="H422" s="3">
        <v>3.0</v>
      </c>
      <c r="I422" s="3" t="s">
        <v>167</v>
      </c>
      <c r="J422" s="3">
        <v>564.0</v>
      </c>
      <c r="K422" s="3">
        <v>569.0</v>
      </c>
      <c r="L422" s="3" t="s">
        <v>133</v>
      </c>
      <c r="M422" s="3">
        <v>1.0</v>
      </c>
      <c r="N422" s="3" t="s">
        <v>121</v>
      </c>
      <c r="O422" s="3" t="s">
        <v>2374</v>
      </c>
      <c r="P422" s="3" t="s">
        <v>2378</v>
      </c>
      <c r="Q422" s="3">
        <v>2.0</v>
      </c>
      <c r="R422" s="3">
        <v>494.0</v>
      </c>
      <c r="S422" s="3">
        <v>57.480003</v>
      </c>
      <c r="T422" s="3">
        <v>12.625324</v>
      </c>
      <c r="U422" s="3" t="s">
        <v>2376</v>
      </c>
      <c r="V422" s="3">
        <v>0.0</v>
      </c>
      <c r="W422" s="3">
        <v>1614.0</v>
      </c>
      <c r="X422" s="3">
        <v>5597.0</v>
      </c>
      <c r="Y422" s="3">
        <v>38.0</v>
      </c>
      <c r="Z422" s="3">
        <v>130.0</v>
      </c>
      <c r="AA422" s="3">
        <v>241.0</v>
      </c>
      <c r="AB422" s="3">
        <v>641.0</v>
      </c>
      <c r="AC422" s="3">
        <v>229.0</v>
      </c>
    </row>
    <row r="423">
      <c r="A423" s="3">
        <v>421.0</v>
      </c>
      <c r="B423" s="3" t="s">
        <v>2373</v>
      </c>
      <c r="C423" s="3">
        <v>509.0</v>
      </c>
      <c r="D423" s="3" t="s">
        <v>407</v>
      </c>
      <c r="E423" s="3">
        <v>17.228088</v>
      </c>
      <c r="F423" s="3">
        <v>-89.761455</v>
      </c>
      <c r="G423" s="3">
        <v>26.0</v>
      </c>
      <c r="H423" s="3">
        <v>3.0</v>
      </c>
      <c r="I423" s="3" t="s">
        <v>167</v>
      </c>
      <c r="J423" s="3">
        <v>564.0</v>
      </c>
      <c r="K423" s="3">
        <v>569.0</v>
      </c>
      <c r="L423" s="3" t="s">
        <v>133</v>
      </c>
      <c r="M423" s="3">
        <v>1.0</v>
      </c>
      <c r="N423" s="3" t="s">
        <v>121</v>
      </c>
      <c r="O423" s="3" t="s">
        <v>2374</v>
      </c>
      <c r="P423" s="3" t="s">
        <v>2378</v>
      </c>
      <c r="Q423" s="3">
        <v>2.0</v>
      </c>
      <c r="R423" s="3">
        <v>494.0</v>
      </c>
      <c r="S423" s="3">
        <v>57.480003</v>
      </c>
      <c r="T423" s="3">
        <v>12.625324</v>
      </c>
      <c r="U423" s="3" t="s">
        <v>2376</v>
      </c>
      <c r="V423" s="3">
        <v>0.0</v>
      </c>
      <c r="W423" s="3">
        <v>1614.0</v>
      </c>
      <c r="X423" s="3">
        <v>5597.0</v>
      </c>
      <c r="Y423" s="3">
        <v>38.0</v>
      </c>
      <c r="Z423" s="3">
        <v>130.0</v>
      </c>
      <c r="AA423" s="3">
        <v>241.0</v>
      </c>
      <c r="AB423" s="3">
        <v>641.0</v>
      </c>
      <c r="AC423" s="3">
        <v>229.0</v>
      </c>
    </row>
    <row r="424">
      <c r="A424" s="3">
        <v>422.0</v>
      </c>
      <c r="B424" s="3" t="s">
        <v>2373</v>
      </c>
      <c r="C424" s="3">
        <v>510.0</v>
      </c>
      <c r="D424" s="78" t="s">
        <v>409</v>
      </c>
      <c r="E424" s="3">
        <v>17.239926</v>
      </c>
      <c r="F424" s="3">
        <v>-89.804629</v>
      </c>
      <c r="G424" s="3">
        <v>26.0</v>
      </c>
      <c r="H424" s="3">
        <v>3.0</v>
      </c>
      <c r="I424" s="3" t="s">
        <v>167</v>
      </c>
      <c r="J424" s="3">
        <v>564.0</v>
      </c>
      <c r="K424" s="3">
        <v>569.0</v>
      </c>
      <c r="L424" s="3" t="s">
        <v>133</v>
      </c>
      <c r="M424" s="3">
        <v>1.0</v>
      </c>
      <c r="N424" s="3" t="s">
        <v>121</v>
      </c>
      <c r="O424" s="3" t="s">
        <v>2374</v>
      </c>
      <c r="P424" s="3" t="s">
        <v>2378</v>
      </c>
      <c r="Q424" s="3">
        <v>2.0</v>
      </c>
      <c r="R424" s="3">
        <v>494.0</v>
      </c>
      <c r="S424" s="3">
        <v>57.480003</v>
      </c>
      <c r="T424" s="3">
        <v>12.625324</v>
      </c>
      <c r="U424" s="3" t="s">
        <v>2376</v>
      </c>
      <c r="V424" s="3">
        <v>0.0</v>
      </c>
      <c r="W424" s="3">
        <v>1616.0</v>
      </c>
      <c r="X424" s="3">
        <v>5637.0</v>
      </c>
      <c r="Y424" s="3">
        <v>38.0</v>
      </c>
      <c r="Z424" s="3">
        <v>128.0</v>
      </c>
      <c r="AA424" s="3">
        <v>244.0</v>
      </c>
      <c r="AB424" s="3">
        <v>647.0</v>
      </c>
      <c r="AC424" s="3">
        <v>226.0</v>
      </c>
    </row>
    <row r="425">
      <c r="A425" s="3">
        <v>423.0</v>
      </c>
      <c r="B425" s="3" t="s">
        <v>2373</v>
      </c>
      <c r="C425" s="3">
        <v>511.0</v>
      </c>
      <c r="D425" s="3" t="s">
        <v>412</v>
      </c>
      <c r="E425" s="3">
        <v>17.239567</v>
      </c>
      <c r="F425" s="3">
        <v>-89.810542</v>
      </c>
      <c r="G425" s="3">
        <v>26.0</v>
      </c>
      <c r="H425" s="3">
        <v>3.0</v>
      </c>
      <c r="I425" s="3" t="s">
        <v>167</v>
      </c>
      <c r="J425" s="3">
        <v>564.0</v>
      </c>
      <c r="K425" s="3">
        <v>569.0</v>
      </c>
      <c r="L425" s="3" t="s">
        <v>133</v>
      </c>
      <c r="M425" s="3">
        <v>1.0</v>
      </c>
      <c r="N425" s="3" t="s">
        <v>121</v>
      </c>
      <c r="O425" s="3" t="s">
        <v>2374</v>
      </c>
      <c r="P425" s="3" t="s">
        <v>2378</v>
      </c>
      <c r="Q425" s="3">
        <v>2.0</v>
      </c>
      <c r="R425" s="3">
        <v>494.0</v>
      </c>
      <c r="S425" s="3">
        <v>57.480003</v>
      </c>
      <c r="T425" s="3">
        <v>12.625324</v>
      </c>
      <c r="U425" s="3" t="s">
        <v>2376</v>
      </c>
      <c r="V425" s="3">
        <v>0.0</v>
      </c>
      <c r="W425" s="3">
        <v>1621.0</v>
      </c>
      <c r="X425" s="3">
        <v>5627.0</v>
      </c>
      <c r="Y425" s="3">
        <v>38.0</v>
      </c>
      <c r="Z425" s="3">
        <v>130.0</v>
      </c>
      <c r="AA425" s="3">
        <v>245.0</v>
      </c>
      <c r="AB425" s="3">
        <v>649.0</v>
      </c>
      <c r="AC425" s="3">
        <v>249.0</v>
      </c>
    </row>
    <row r="426">
      <c r="A426" s="3">
        <v>424.0</v>
      </c>
      <c r="B426" s="3" t="s">
        <v>2373</v>
      </c>
      <c r="C426" s="3">
        <v>512.0</v>
      </c>
      <c r="D426" s="3" t="s">
        <v>413</v>
      </c>
      <c r="E426" s="3">
        <v>17.228088</v>
      </c>
      <c r="F426" s="3">
        <v>-89.761455</v>
      </c>
      <c r="G426" s="3">
        <v>26.0</v>
      </c>
      <c r="H426" s="3">
        <v>3.0</v>
      </c>
      <c r="I426" s="3" t="s">
        <v>167</v>
      </c>
      <c r="J426" s="3">
        <v>564.0</v>
      </c>
      <c r="K426" s="3">
        <v>569.0</v>
      </c>
      <c r="L426" s="3" t="s">
        <v>133</v>
      </c>
      <c r="M426" s="3">
        <v>1.0</v>
      </c>
      <c r="N426" s="3" t="s">
        <v>121</v>
      </c>
      <c r="O426" s="3" t="s">
        <v>2374</v>
      </c>
      <c r="P426" s="3" t="s">
        <v>2378</v>
      </c>
      <c r="Q426" s="3">
        <v>2.0</v>
      </c>
      <c r="R426" s="3">
        <v>494.0</v>
      </c>
      <c r="S426" s="3">
        <v>57.480003</v>
      </c>
      <c r="T426" s="3">
        <v>12.625324</v>
      </c>
      <c r="U426" s="3" t="s">
        <v>2376</v>
      </c>
      <c r="V426" s="3">
        <v>0.0</v>
      </c>
      <c r="W426" s="3">
        <v>1614.0</v>
      </c>
      <c r="X426" s="3">
        <v>5597.0</v>
      </c>
      <c r="Y426" s="3">
        <v>38.0</v>
      </c>
      <c r="Z426" s="3">
        <v>130.0</v>
      </c>
      <c r="AA426" s="3">
        <v>241.0</v>
      </c>
      <c r="AB426" s="3">
        <v>641.0</v>
      </c>
      <c r="AC426" s="3">
        <v>229.0</v>
      </c>
    </row>
    <row r="427">
      <c r="A427" s="3">
        <v>425.0</v>
      </c>
      <c r="B427" s="3" t="s">
        <v>2373</v>
      </c>
      <c r="C427" s="3">
        <v>513.0</v>
      </c>
      <c r="D427" s="3" t="s">
        <v>414</v>
      </c>
      <c r="E427" s="3">
        <v>17.228088</v>
      </c>
      <c r="F427" s="3">
        <v>-89.761455</v>
      </c>
      <c r="G427" s="3">
        <v>26.0</v>
      </c>
      <c r="H427" s="3">
        <v>3.0</v>
      </c>
      <c r="I427" s="3" t="s">
        <v>167</v>
      </c>
      <c r="J427" s="3">
        <v>564.0</v>
      </c>
      <c r="K427" s="3">
        <v>569.0</v>
      </c>
      <c r="L427" s="3" t="s">
        <v>133</v>
      </c>
      <c r="M427" s="3">
        <v>1.0</v>
      </c>
      <c r="N427" s="3" t="s">
        <v>121</v>
      </c>
      <c r="O427" s="3" t="s">
        <v>2374</v>
      </c>
      <c r="P427" s="3" t="s">
        <v>2378</v>
      </c>
      <c r="Q427" s="3">
        <v>2.0</v>
      </c>
      <c r="R427" s="3">
        <v>494.0</v>
      </c>
      <c r="S427" s="3">
        <v>57.480003</v>
      </c>
      <c r="T427" s="3">
        <v>12.625324</v>
      </c>
      <c r="U427" s="3" t="s">
        <v>2376</v>
      </c>
      <c r="V427" s="3">
        <v>0.0</v>
      </c>
      <c r="W427" s="3">
        <v>1614.0</v>
      </c>
      <c r="X427" s="3">
        <v>5597.0</v>
      </c>
      <c r="Y427" s="3">
        <v>38.0</v>
      </c>
      <c r="Z427" s="3">
        <v>130.0</v>
      </c>
      <c r="AA427" s="3">
        <v>241.0</v>
      </c>
      <c r="AB427" s="3">
        <v>641.0</v>
      </c>
      <c r="AC427" s="3">
        <v>229.0</v>
      </c>
    </row>
    <row r="428">
      <c r="A428" s="3">
        <v>426.0</v>
      </c>
      <c r="B428" s="3" t="s">
        <v>2373</v>
      </c>
      <c r="C428" s="3">
        <v>514.0</v>
      </c>
      <c r="D428" s="3" t="s">
        <v>415</v>
      </c>
      <c r="E428" s="3">
        <v>17.228088</v>
      </c>
      <c r="F428" s="3">
        <v>-89.761455</v>
      </c>
      <c r="G428" s="3">
        <v>26.0</v>
      </c>
      <c r="H428" s="3">
        <v>3.0</v>
      </c>
      <c r="I428" s="3" t="s">
        <v>167</v>
      </c>
      <c r="J428" s="3">
        <v>564.0</v>
      </c>
      <c r="K428" s="3">
        <v>569.0</v>
      </c>
      <c r="L428" s="3" t="s">
        <v>133</v>
      </c>
      <c r="M428" s="3">
        <v>1.0</v>
      </c>
      <c r="N428" s="3" t="s">
        <v>121</v>
      </c>
      <c r="O428" s="3" t="s">
        <v>2374</v>
      </c>
      <c r="P428" s="3" t="s">
        <v>2378</v>
      </c>
      <c r="Q428" s="3">
        <v>2.0</v>
      </c>
      <c r="R428" s="3">
        <v>494.0</v>
      </c>
      <c r="S428" s="3">
        <v>57.480003</v>
      </c>
      <c r="T428" s="3">
        <v>12.625324</v>
      </c>
      <c r="U428" s="3" t="s">
        <v>2376</v>
      </c>
      <c r="V428" s="3">
        <v>0.0</v>
      </c>
      <c r="W428" s="3">
        <v>1614.0</v>
      </c>
      <c r="X428" s="3">
        <v>5597.0</v>
      </c>
      <c r="Y428" s="3">
        <v>38.0</v>
      </c>
      <c r="Z428" s="3">
        <v>130.0</v>
      </c>
      <c r="AA428" s="3">
        <v>241.0</v>
      </c>
      <c r="AB428" s="3">
        <v>641.0</v>
      </c>
      <c r="AC428" s="3">
        <v>229.0</v>
      </c>
    </row>
    <row r="429">
      <c r="A429" s="3">
        <v>427.0</v>
      </c>
      <c r="B429" s="3" t="s">
        <v>2373</v>
      </c>
      <c r="C429" s="3">
        <v>515.0</v>
      </c>
      <c r="D429" s="3" t="s">
        <v>1934</v>
      </c>
      <c r="E429" s="3">
        <v>17.228088</v>
      </c>
      <c r="F429" s="3">
        <v>-89.761455</v>
      </c>
      <c r="G429" s="3">
        <v>26.0</v>
      </c>
      <c r="H429" s="3">
        <v>3.0</v>
      </c>
      <c r="I429" s="3" t="s">
        <v>167</v>
      </c>
      <c r="J429" s="3">
        <v>564.0</v>
      </c>
      <c r="K429" s="3">
        <v>569.0</v>
      </c>
      <c r="L429" s="3" t="s">
        <v>133</v>
      </c>
      <c r="M429" s="3">
        <v>1.0</v>
      </c>
      <c r="N429" s="3" t="s">
        <v>121</v>
      </c>
      <c r="O429" s="3" t="s">
        <v>2374</v>
      </c>
      <c r="P429" s="3" t="s">
        <v>2378</v>
      </c>
      <c r="Q429" s="3">
        <v>2.0</v>
      </c>
      <c r="R429" s="3">
        <v>494.0</v>
      </c>
      <c r="S429" s="3">
        <v>57.480003</v>
      </c>
      <c r="T429" s="3">
        <v>12.625324</v>
      </c>
      <c r="U429" s="3" t="s">
        <v>2376</v>
      </c>
      <c r="V429" s="3">
        <v>0.0</v>
      </c>
      <c r="W429" s="3">
        <v>1614.0</v>
      </c>
      <c r="X429" s="3">
        <v>5597.0</v>
      </c>
      <c r="Y429" s="3">
        <v>38.0</v>
      </c>
      <c r="Z429" s="3">
        <v>130.0</v>
      </c>
      <c r="AA429" s="3">
        <v>241.0</v>
      </c>
      <c r="AB429" s="3">
        <v>641.0</v>
      </c>
      <c r="AC429" s="3">
        <v>229.0</v>
      </c>
    </row>
    <row r="430">
      <c r="A430" s="3">
        <v>428.0</v>
      </c>
      <c r="B430" s="3" t="s">
        <v>2373</v>
      </c>
      <c r="C430" s="3">
        <v>516.0</v>
      </c>
      <c r="D430" s="3" t="s">
        <v>1936</v>
      </c>
      <c r="E430" s="3">
        <v>17.239926</v>
      </c>
      <c r="F430" s="3">
        <v>-89.804629</v>
      </c>
      <c r="G430" s="3">
        <v>26.0</v>
      </c>
      <c r="H430" s="3">
        <v>3.0</v>
      </c>
      <c r="I430" s="3" t="s">
        <v>167</v>
      </c>
      <c r="J430" s="3">
        <v>564.0</v>
      </c>
      <c r="K430" s="3">
        <v>569.0</v>
      </c>
      <c r="L430" s="3" t="s">
        <v>133</v>
      </c>
      <c r="M430" s="3">
        <v>1.0</v>
      </c>
      <c r="N430" s="3" t="s">
        <v>121</v>
      </c>
      <c r="O430" s="3" t="s">
        <v>2374</v>
      </c>
      <c r="P430" s="3" t="s">
        <v>2378</v>
      </c>
      <c r="Q430" s="3">
        <v>2.0</v>
      </c>
      <c r="R430" s="3">
        <v>494.0</v>
      </c>
      <c r="S430" s="3">
        <v>57.480003</v>
      </c>
      <c r="T430" s="3">
        <v>12.625324</v>
      </c>
      <c r="U430" s="3" t="s">
        <v>2376</v>
      </c>
      <c r="V430" s="3">
        <v>0.0</v>
      </c>
      <c r="W430" s="3">
        <v>1616.0</v>
      </c>
      <c r="X430" s="3">
        <v>5637.0</v>
      </c>
      <c r="Y430" s="3">
        <v>38.0</v>
      </c>
      <c r="Z430" s="3">
        <v>128.0</v>
      </c>
      <c r="AA430" s="3">
        <v>244.0</v>
      </c>
      <c r="AB430" s="3">
        <v>647.0</v>
      </c>
      <c r="AC430" s="3">
        <v>226.0</v>
      </c>
    </row>
    <row r="431">
      <c r="A431" s="3">
        <v>429.0</v>
      </c>
      <c r="B431" s="3" t="s">
        <v>2373</v>
      </c>
      <c r="C431" s="3">
        <v>517.0</v>
      </c>
      <c r="D431" s="3" t="s">
        <v>1938</v>
      </c>
      <c r="E431" s="3">
        <v>17.228088</v>
      </c>
      <c r="F431" s="3">
        <v>-89.761455</v>
      </c>
      <c r="G431" s="3">
        <v>26.0</v>
      </c>
      <c r="H431" s="3">
        <v>3.0</v>
      </c>
      <c r="I431" s="3" t="s">
        <v>167</v>
      </c>
      <c r="J431" s="3">
        <v>564.0</v>
      </c>
      <c r="K431" s="3">
        <v>569.0</v>
      </c>
      <c r="L431" s="3" t="s">
        <v>133</v>
      </c>
      <c r="M431" s="3">
        <v>1.0</v>
      </c>
      <c r="N431" s="3" t="s">
        <v>121</v>
      </c>
      <c r="O431" s="3" t="s">
        <v>2374</v>
      </c>
      <c r="P431" s="3" t="s">
        <v>2378</v>
      </c>
      <c r="Q431" s="3">
        <v>2.0</v>
      </c>
      <c r="R431" s="3">
        <v>494.0</v>
      </c>
      <c r="S431" s="3">
        <v>57.480003</v>
      </c>
      <c r="T431" s="3">
        <v>12.625324</v>
      </c>
      <c r="U431" s="3" t="s">
        <v>2376</v>
      </c>
      <c r="V431" s="3">
        <v>0.0</v>
      </c>
      <c r="W431" s="3">
        <v>1614.0</v>
      </c>
      <c r="X431" s="3">
        <v>5597.0</v>
      </c>
      <c r="Y431" s="3">
        <v>38.0</v>
      </c>
      <c r="Z431" s="3">
        <v>130.0</v>
      </c>
      <c r="AA431" s="3">
        <v>241.0</v>
      </c>
      <c r="AB431" s="3">
        <v>641.0</v>
      </c>
      <c r="AC431" s="3">
        <v>229.0</v>
      </c>
    </row>
    <row r="432">
      <c r="A432" s="3">
        <v>430.0</v>
      </c>
      <c r="B432" s="3" t="s">
        <v>2373</v>
      </c>
      <c r="C432" s="3">
        <v>518.0</v>
      </c>
      <c r="D432" s="3" t="s">
        <v>1940</v>
      </c>
      <c r="E432" s="3">
        <v>17.228088</v>
      </c>
      <c r="F432" s="3">
        <v>-89.761455</v>
      </c>
      <c r="G432" s="3">
        <v>26.0</v>
      </c>
      <c r="H432" s="3">
        <v>3.0</v>
      </c>
      <c r="I432" s="3" t="s">
        <v>167</v>
      </c>
      <c r="J432" s="3">
        <v>564.0</v>
      </c>
      <c r="K432" s="3">
        <v>569.0</v>
      </c>
      <c r="L432" s="3" t="s">
        <v>133</v>
      </c>
      <c r="M432" s="3">
        <v>1.0</v>
      </c>
      <c r="N432" s="3" t="s">
        <v>121</v>
      </c>
      <c r="O432" s="3" t="s">
        <v>2374</v>
      </c>
      <c r="P432" s="3" t="s">
        <v>2378</v>
      </c>
      <c r="Q432" s="3">
        <v>2.0</v>
      </c>
      <c r="R432" s="3">
        <v>494.0</v>
      </c>
      <c r="S432" s="3">
        <v>57.480003</v>
      </c>
      <c r="T432" s="3">
        <v>12.625324</v>
      </c>
      <c r="U432" s="3" t="s">
        <v>2376</v>
      </c>
      <c r="V432" s="3">
        <v>0.0</v>
      </c>
      <c r="W432" s="3">
        <v>1614.0</v>
      </c>
      <c r="X432" s="3">
        <v>5597.0</v>
      </c>
      <c r="Y432" s="3">
        <v>38.0</v>
      </c>
      <c r="Z432" s="3">
        <v>130.0</v>
      </c>
      <c r="AA432" s="3">
        <v>241.0</v>
      </c>
      <c r="AB432" s="3">
        <v>641.0</v>
      </c>
      <c r="AC432" s="3">
        <v>229.0</v>
      </c>
    </row>
    <row r="433">
      <c r="A433" s="3">
        <v>431.0</v>
      </c>
      <c r="B433" s="3" t="s">
        <v>2373</v>
      </c>
      <c r="C433" s="3">
        <v>519.0</v>
      </c>
      <c r="D433" s="3" t="s">
        <v>1942</v>
      </c>
      <c r="E433" s="3">
        <v>17.239567</v>
      </c>
      <c r="F433" s="3">
        <v>-89.810542</v>
      </c>
      <c r="G433" s="3">
        <v>26.0</v>
      </c>
      <c r="H433" s="3">
        <v>3.0</v>
      </c>
      <c r="I433" s="3" t="s">
        <v>167</v>
      </c>
      <c r="J433" s="3">
        <v>564.0</v>
      </c>
      <c r="K433" s="3">
        <v>569.0</v>
      </c>
      <c r="L433" s="3" t="s">
        <v>133</v>
      </c>
      <c r="M433" s="3">
        <v>1.0</v>
      </c>
      <c r="N433" s="3" t="s">
        <v>121</v>
      </c>
      <c r="O433" s="3" t="s">
        <v>2374</v>
      </c>
      <c r="P433" s="3" t="s">
        <v>2378</v>
      </c>
      <c r="Q433" s="3">
        <v>2.0</v>
      </c>
      <c r="R433" s="3">
        <v>494.0</v>
      </c>
      <c r="S433" s="3">
        <v>57.480003</v>
      </c>
      <c r="T433" s="3">
        <v>12.625324</v>
      </c>
      <c r="U433" s="3" t="s">
        <v>2376</v>
      </c>
      <c r="V433" s="3">
        <v>0.0</v>
      </c>
      <c r="W433" s="3">
        <v>1621.0</v>
      </c>
      <c r="X433" s="3">
        <v>5627.0</v>
      </c>
      <c r="Y433" s="3">
        <v>38.0</v>
      </c>
      <c r="Z433" s="3">
        <v>130.0</v>
      </c>
      <c r="AA433" s="3">
        <v>245.0</v>
      </c>
      <c r="AB433" s="3">
        <v>649.0</v>
      </c>
      <c r="AC433" s="3">
        <v>249.0</v>
      </c>
    </row>
    <row r="434">
      <c r="A434" s="3">
        <v>432.0</v>
      </c>
      <c r="B434" s="3" t="s">
        <v>2373</v>
      </c>
      <c r="C434" s="3">
        <v>520.0</v>
      </c>
      <c r="D434" s="3" t="s">
        <v>416</v>
      </c>
      <c r="E434" s="3">
        <v>17.228088</v>
      </c>
      <c r="F434" s="3">
        <v>-89.761455</v>
      </c>
      <c r="G434" s="3">
        <v>26.0</v>
      </c>
      <c r="H434" s="3">
        <v>3.0</v>
      </c>
      <c r="I434" s="3" t="s">
        <v>167</v>
      </c>
      <c r="J434" s="3">
        <v>564.0</v>
      </c>
      <c r="K434" s="3">
        <v>569.0</v>
      </c>
      <c r="L434" s="3" t="s">
        <v>133</v>
      </c>
      <c r="M434" s="3">
        <v>1.0</v>
      </c>
      <c r="N434" s="3" t="s">
        <v>121</v>
      </c>
      <c r="O434" s="3" t="s">
        <v>2374</v>
      </c>
      <c r="P434" s="3" t="s">
        <v>2378</v>
      </c>
      <c r="Q434" s="3">
        <v>2.0</v>
      </c>
      <c r="R434" s="3">
        <v>494.0</v>
      </c>
      <c r="S434" s="3">
        <v>57.480003</v>
      </c>
      <c r="T434" s="3">
        <v>12.625324</v>
      </c>
      <c r="U434" s="3" t="s">
        <v>2376</v>
      </c>
      <c r="V434" s="3">
        <v>0.0</v>
      </c>
      <c r="W434" s="3">
        <v>1614.0</v>
      </c>
      <c r="X434" s="3">
        <v>5597.0</v>
      </c>
      <c r="Y434" s="3">
        <v>38.0</v>
      </c>
      <c r="Z434" s="3">
        <v>130.0</v>
      </c>
      <c r="AA434" s="3">
        <v>241.0</v>
      </c>
      <c r="AB434" s="3">
        <v>641.0</v>
      </c>
      <c r="AC434" s="3">
        <v>229.0</v>
      </c>
    </row>
    <row r="435">
      <c r="A435" s="3">
        <v>433.0</v>
      </c>
      <c r="B435" s="3" t="s">
        <v>2373</v>
      </c>
      <c r="C435" s="3">
        <v>521.0</v>
      </c>
      <c r="D435" s="3" t="s">
        <v>417</v>
      </c>
      <c r="E435" s="3">
        <v>17.228088</v>
      </c>
      <c r="F435" s="3">
        <v>-89.761455</v>
      </c>
      <c r="G435" s="3">
        <v>26.0</v>
      </c>
      <c r="H435" s="3">
        <v>3.0</v>
      </c>
      <c r="I435" s="3" t="s">
        <v>167</v>
      </c>
      <c r="J435" s="3">
        <v>564.0</v>
      </c>
      <c r="K435" s="3">
        <v>569.0</v>
      </c>
      <c r="L435" s="3" t="s">
        <v>133</v>
      </c>
      <c r="M435" s="3">
        <v>1.0</v>
      </c>
      <c r="N435" s="3" t="s">
        <v>121</v>
      </c>
      <c r="O435" s="3" t="s">
        <v>2374</v>
      </c>
      <c r="P435" s="3" t="s">
        <v>2378</v>
      </c>
      <c r="Q435" s="3">
        <v>2.0</v>
      </c>
      <c r="R435" s="3">
        <v>494.0</v>
      </c>
      <c r="S435" s="3">
        <v>57.480003</v>
      </c>
      <c r="T435" s="3">
        <v>12.625324</v>
      </c>
      <c r="U435" s="3" t="s">
        <v>2376</v>
      </c>
      <c r="V435" s="3">
        <v>0.0</v>
      </c>
      <c r="W435" s="3">
        <v>1614.0</v>
      </c>
      <c r="X435" s="3">
        <v>5597.0</v>
      </c>
      <c r="Y435" s="3">
        <v>38.0</v>
      </c>
      <c r="Z435" s="3">
        <v>130.0</v>
      </c>
      <c r="AA435" s="3">
        <v>241.0</v>
      </c>
      <c r="AB435" s="3">
        <v>641.0</v>
      </c>
      <c r="AC435" s="3">
        <v>229.0</v>
      </c>
    </row>
    <row r="436">
      <c r="A436" s="3">
        <v>434.0</v>
      </c>
      <c r="B436" s="3" t="s">
        <v>2373</v>
      </c>
      <c r="C436" s="3">
        <v>522.0</v>
      </c>
      <c r="D436" s="3" t="s">
        <v>429</v>
      </c>
      <c r="E436" s="3">
        <v>17.228088</v>
      </c>
      <c r="F436" s="3">
        <v>-89.761455</v>
      </c>
      <c r="G436" s="3">
        <v>26.0</v>
      </c>
      <c r="H436" s="3">
        <v>3.0</v>
      </c>
      <c r="I436" s="3" t="s">
        <v>167</v>
      </c>
      <c r="J436" s="3">
        <v>564.0</v>
      </c>
      <c r="K436" s="3">
        <v>569.0</v>
      </c>
      <c r="L436" s="3" t="s">
        <v>133</v>
      </c>
      <c r="M436" s="3">
        <v>1.0</v>
      </c>
      <c r="N436" s="3" t="s">
        <v>121</v>
      </c>
      <c r="O436" s="3" t="s">
        <v>2374</v>
      </c>
      <c r="P436" s="3" t="s">
        <v>2378</v>
      </c>
      <c r="Q436" s="3">
        <v>2.0</v>
      </c>
      <c r="R436" s="3">
        <v>494.0</v>
      </c>
      <c r="S436" s="3">
        <v>57.480003</v>
      </c>
      <c r="T436" s="3">
        <v>12.625324</v>
      </c>
      <c r="U436" s="3" t="s">
        <v>2376</v>
      </c>
      <c r="V436" s="3">
        <v>0.0</v>
      </c>
      <c r="W436" s="3">
        <v>1614.0</v>
      </c>
      <c r="X436" s="3">
        <v>5597.0</v>
      </c>
      <c r="Y436" s="3">
        <v>38.0</v>
      </c>
      <c r="Z436" s="3">
        <v>130.0</v>
      </c>
      <c r="AA436" s="3">
        <v>241.0</v>
      </c>
      <c r="AB436" s="3">
        <v>641.0</v>
      </c>
      <c r="AC436" s="3">
        <v>229.0</v>
      </c>
    </row>
    <row r="437">
      <c r="A437" s="3">
        <v>435.0</v>
      </c>
      <c r="B437" s="3" t="s">
        <v>2373</v>
      </c>
      <c r="C437" s="3">
        <v>523.0</v>
      </c>
      <c r="D437" s="3" t="s">
        <v>430</v>
      </c>
      <c r="E437" s="3">
        <v>17.239926</v>
      </c>
      <c r="F437" s="3">
        <v>-89.804629</v>
      </c>
      <c r="G437" s="3">
        <v>26.0</v>
      </c>
      <c r="H437" s="3">
        <v>3.0</v>
      </c>
      <c r="I437" s="3" t="s">
        <v>167</v>
      </c>
      <c r="J437" s="3">
        <v>564.0</v>
      </c>
      <c r="K437" s="3">
        <v>569.0</v>
      </c>
      <c r="L437" s="3" t="s">
        <v>133</v>
      </c>
      <c r="M437" s="3">
        <v>1.0</v>
      </c>
      <c r="N437" s="3" t="s">
        <v>121</v>
      </c>
      <c r="O437" s="3" t="s">
        <v>2374</v>
      </c>
      <c r="P437" s="3" t="s">
        <v>2378</v>
      </c>
      <c r="Q437" s="3">
        <v>2.0</v>
      </c>
      <c r="R437" s="3">
        <v>494.0</v>
      </c>
      <c r="S437" s="3">
        <v>57.480003</v>
      </c>
      <c r="T437" s="3">
        <v>12.625324</v>
      </c>
      <c r="U437" s="3" t="s">
        <v>2376</v>
      </c>
      <c r="V437" s="3">
        <v>0.0</v>
      </c>
      <c r="W437" s="3">
        <v>1616.0</v>
      </c>
      <c r="X437" s="3">
        <v>5637.0</v>
      </c>
      <c r="Y437" s="3">
        <v>38.0</v>
      </c>
      <c r="Z437" s="3">
        <v>128.0</v>
      </c>
      <c r="AA437" s="3">
        <v>244.0</v>
      </c>
      <c r="AB437" s="3">
        <v>647.0</v>
      </c>
      <c r="AC437" s="3">
        <v>226.0</v>
      </c>
    </row>
    <row r="438">
      <c r="A438" s="3">
        <v>436.0</v>
      </c>
      <c r="B438" s="3" t="s">
        <v>2373</v>
      </c>
      <c r="C438" s="3">
        <v>524.0</v>
      </c>
      <c r="D438" s="3" t="s">
        <v>431</v>
      </c>
      <c r="E438" s="3">
        <v>17.239567</v>
      </c>
      <c r="F438" s="3">
        <v>-89.810542</v>
      </c>
      <c r="G438" s="3">
        <v>26.0</v>
      </c>
      <c r="H438" s="3">
        <v>3.0</v>
      </c>
      <c r="I438" s="3" t="s">
        <v>167</v>
      </c>
      <c r="J438" s="3">
        <v>564.0</v>
      </c>
      <c r="K438" s="3">
        <v>569.0</v>
      </c>
      <c r="L438" s="3" t="s">
        <v>133</v>
      </c>
      <c r="M438" s="3">
        <v>1.0</v>
      </c>
      <c r="N438" s="3" t="s">
        <v>121</v>
      </c>
      <c r="O438" s="3" t="s">
        <v>2374</v>
      </c>
      <c r="P438" s="3" t="s">
        <v>2378</v>
      </c>
      <c r="Q438" s="3">
        <v>2.0</v>
      </c>
      <c r="R438" s="3">
        <v>494.0</v>
      </c>
      <c r="S438" s="3">
        <v>57.480003</v>
      </c>
      <c r="T438" s="3">
        <v>12.625324</v>
      </c>
      <c r="U438" s="3" t="s">
        <v>2376</v>
      </c>
      <c r="V438" s="3">
        <v>0.0</v>
      </c>
      <c r="W438" s="3">
        <v>1621.0</v>
      </c>
      <c r="X438" s="3">
        <v>5627.0</v>
      </c>
      <c r="Y438" s="3">
        <v>38.0</v>
      </c>
      <c r="Z438" s="3">
        <v>130.0</v>
      </c>
      <c r="AA438" s="3">
        <v>245.0</v>
      </c>
      <c r="AB438" s="3">
        <v>649.0</v>
      </c>
      <c r="AC438" s="3">
        <v>249.0</v>
      </c>
    </row>
    <row r="439">
      <c r="A439" s="3">
        <v>437.0</v>
      </c>
      <c r="B439" s="3" t="s">
        <v>2373</v>
      </c>
      <c r="C439" s="3">
        <v>525.0</v>
      </c>
      <c r="D439" s="3" t="s">
        <v>432</v>
      </c>
      <c r="E439" s="3">
        <v>17.228088</v>
      </c>
      <c r="F439" s="3">
        <v>-89.761455</v>
      </c>
      <c r="G439" s="3">
        <v>26.0</v>
      </c>
      <c r="H439" s="3">
        <v>3.0</v>
      </c>
      <c r="I439" s="3" t="s">
        <v>167</v>
      </c>
      <c r="J439" s="3">
        <v>564.0</v>
      </c>
      <c r="K439" s="3">
        <v>569.0</v>
      </c>
      <c r="L439" s="3" t="s">
        <v>133</v>
      </c>
      <c r="M439" s="3">
        <v>1.0</v>
      </c>
      <c r="N439" s="3" t="s">
        <v>121</v>
      </c>
      <c r="O439" s="3" t="s">
        <v>2374</v>
      </c>
      <c r="P439" s="3" t="s">
        <v>2378</v>
      </c>
      <c r="Q439" s="3">
        <v>2.0</v>
      </c>
      <c r="R439" s="3">
        <v>494.0</v>
      </c>
      <c r="S439" s="3">
        <v>57.480003</v>
      </c>
      <c r="T439" s="3">
        <v>12.625324</v>
      </c>
      <c r="U439" s="3" t="s">
        <v>2376</v>
      </c>
      <c r="V439" s="3">
        <v>0.0</v>
      </c>
      <c r="W439" s="3">
        <v>1614.0</v>
      </c>
      <c r="X439" s="3">
        <v>5597.0</v>
      </c>
      <c r="Y439" s="3">
        <v>38.0</v>
      </c>
      <c r="Z439" s="3">
        <v>130.0</v>
      </c>
      <c r="AA439" s="3">
        <v>241.0</v>
      </c>
      <c r="AB439" s="3">
        <v>641.0</v>
      </c>
      <c r="AC439" s="3">
        <v>229.0</v>
      </c>
    </row>
    <row r="440">
      <c r="A440" s="3">
        <v>438.0</v>
      </c>
      <c r="B440" s="3" t="s">
        <v>2373</v>
      </c>
      <c r="C440" s="3">
        <v>526.0</v>
      </c>
      <c r="D440" s="3" t="s">
        <v>433</v>
      </c>
      <c r="E440" s="3">
        <v>17.228088</v>
      </c>
      <c r="F440" s="3">
        <v>-89.761455</v>
      </c>
      <c r="G440" s="3">
        <v>26.0</v>
      </c>
      <c r="H440" s="3">
        <v>3.0</v>
      </c>
      <c r="I440" s="3" t="s">
        <v>167</v>
      </c>
      <c r="J440" s="3">
        <v>564.0</v>
      </c>
      <c r="K440" s="3">
        <v>569.0</v>
      </c>
      <c r="L440" s="3" t="s">
        <v>133</v>
      </c>
      <c r="M440" s="3">
        <v>1.0</v>
      </c>
      <c r="N440" s="3" t="s">
        <v>121</v>
      </c>
      <c r="O440" s="3" t="s">
        <v>2374</v>
      </c>
      <c r="P440" s="3" t="s">
        <v>2378</v>
      </c>
      <c r="Q440" s="3">
        <v>2.0</v>
      </c>
      <c r="R440" s="3">
        <v>494.0</v>
      </c>
      <c r="S440" s="3">
        <v>57.480003</v>
      </c>
      <c r="T440" s="3">
        <v>12.625324</v>
      </c>
      <c r="U440" s="3" t="s">
        <v>2376</v>
      </c>
      <c r="V440" s="3">
        <v>0.0</v>
      </c>
      <c r="W440" s="3">
        <v>1614.0</v>
      </c>
      <c r="X440" s="3">
        <v>5597.0</v>
      </c>
      <c r="Y440" s="3">
        <v>38.0</v>
      </c>
      <c r="Z440" s="3">
        <v>130.0</v>
      </c>
      <c r="AA440" s="3">
        <v>241.0</v>
      </c>
      <c r="AB440" s="3">
        <v>641.0</v>
      </c>
      <c r="AC440" s="3">
        <v>229.0</v>
      </c>
    </row>
    <row r="441">
      <c r="A441" s="3">
        <v>439.0</v>
      </c>
      <c r="B441" s="3" t="s">
        <v>2373</v>
      </c>
      <c r="C441" s="3">
        <v>527.0</v>
      </c>
      <c r="D441" s="3" t="s">
        <v>434</v>
      </c>
      <c r="E441" s="3">
        <v>17.228088</v>
      </c>
      <c r="F441" s="3">
        <v>-89.761455</v>
      </c>
      <c r="G441" s="3">
        <v>26.0</v>
      </c>
      <c r="H441" s="3">
        <v>3.0</v>
      </c>
      <c r="I441" s="3" t="s">
        <v>167</v>
      </c>
      <c r="J441" s="3">
        <v>564.0</v>
      </c>
      <c r="K441" s="3">
        <v>569.0</v>
      </c>
      <c r="L441" s="3" t="s">
        <v>133</v>
      </c>
      <c r="M441" s="3">
        <v>1.0</v>
      </c>
      <c r="N441" s="3" t="s">
        <v>121</v>
      </c>
      <c r="O441" s="3" t="s">
        <v>2374</v>
      </c>
      <c r="P441" s="3" t="s">
        <v>2378</v>
      </c>
      <c r="Q441" s="3">
        <v>2.0</v>
      </c>
      <c r="R441" s="3">
        <v>494.0</v>
      </c>
      <c r="S441" s="3">
        <v>57.480003</v>
      </c>
      <c r="T441" s="3">
        <v>12.625324</v>
      </c>
      <c r="U441" s="3" t="s">
        <v>2376</v>
      </c>
      <c r="V441" s="3">
        <v>0.0</v>
      </c>
      <c r="W441" s="3">
        <v>1614.0</v>
      </c>
      <c r="X441" s="3">
        <v>5597.0</v>
      </c>
      <c r="Y441" s="3">
        <v>38.0</v>
      </c>
      <c r="Z441" s="3">
        <v>130.0</v>
      </c>
      <c r="AA441" s="3">
        <v>241.0</v>
      </c>
      <c r="AB441" s="3">
        <v>641.0</v>
      </c>
      <c r="AC441" s="3">
        <v>229.0</v>
      </c>
    </row>
    <row r="442">
      <c r="A442" s="3">
        <v>440.0</v>
      </c>
      <c r="B442" s="3" t="s">
        <v>2373</v>
      </c>
      <c r="C442" s="3">
        <v>528.0</v>
      </c>
      <c r="D442" s="3" t="s">
        <v>1025</v>
      </c>
      <c r="E442" s="3">
        <v>16.916667</v>
      </c>
      <c r="F442" s="3">
        <v>-89.833333</v>
      </c>
      <c r="G442" s="3">
        <v>26.0</v>
      </c>
      <c r="H442" s="3">
        <v>3.0</v>
      </c>
      <c r="I442" s="3" t="s">
        <v>167</v>
      </c>
      <c r="J442" s="3">
        <v>564.0</v>
      </c>
      <c r="K442" s="3">
        <v>569.0</v>
      </c>
      <c r="L442" s="3" t="s">
        <v>133</v>
      </c>
      <c r="M442" s="3">
        <v>1.0</v>
      </c>
      <c r="N442" s="3" t="s">
        <v>121</v>
      </c>
      <c r="O442" s="3" t="s">
        <v>2374</v>
      </c>
      <c r="P442" s="3" t="s">
        <v>2378</v>
      </c>
      <c r="Q442" s="3">
        <v>2.0</v>
      </c>
      <c r="R442" s="3">
        <v>494.0</v>
      </c>
      <c r="S442" s="3">
        <v>57.480003</v>
      </c>
      <c r="T442" s="3">
        <v>12.625324</v>
      </c>
      <c r="U442" s="3" t="s">
        <v>2376</v>
      </c>
      <c r="V442" s="3">
        <v>0.0</v>
      </c>
      <c r="W442" s="3">
        <v>1738.0</v>
      </c>
      <c r="X442" s="3">
        <v>5677.0</v>
      </c>
      <c r="Y442" s="3">
        <v>36.0</v>
      </c>
      <c r="Z442" s="3">
        <v>144.0</v>
      </c>
      <c r="AA442" s="3">
        <v>255.0</v>
      </c>
      <c r="AB442" s="3">
        <v>690.0</v>
      </c>
      <c r="AC442" s="3">
        <v>131.0</v>
      </c>
    </row>
    <row r="443">
      <c r="A443" s="3">
        <v>441.0</v>
      </c>
      <c r="B443" s="3" t="s">
        <v>2373</v>
      </c>
      <c r="C443" s="3">
        <v>529.0</v>
      </c>
      <c r="D443" s="3" t="s">
        <v>1028</v>
      </c>
      <c r="E443" s="3">
        <v>16.916667</v>
      </c>
      <c r="F443" s="3">
        <v>-89.833333</v>
      </c>
      <c r="G443" s="3">
        <v>26.0</v>
      </c>
      <c r="H443" s="3">
        <v>3.0</v>
      </c>
      <c r="I443" s="3" t="s">
        <v>167</v>
      </c>
      <c r="J443" s="3">
        <v>564.0</v>
      </c>
      <c r="K443" s="3">
        <v>569.0</v>
      </c>
      <c r="L443" s="3" t="s">
        <v>133</v>
      </c>
      <c r="M443" s="3">
        <v>1.0</v>
      </c>
      <c r="N443" s="3" t="s">
        <v>121</v>
      </c>
      <c r="O443" s="3" t="s">
        <v>2374</v>
      </c>
      <c r="P443" s="3" t="s">
        <v>2378</v>
      </c>
      <c r="Q443" s="3">
        <v>2.0</v>
      </c>
      <c r="R443" s="3">
        <v>494.0</v>
      </c>
      <c r="S443" s="3">
        <v>57.480003</v>
      </c>
      <c r="T443" s="3">
        <v>12.625324</v>
      </c>
      <c r="U443" s="3" t="s">
        <v>2376</v>
      </c>
      <c r="V443" s="3">
        <v>0.0</v>
      </c>
      <c r="W443" s="3">
        <v>1738.0</v>
      </c>
      <c r="X443" s="3">
        <v>5677.0</v>
      </c>
      <c r="Y443" s="3">
        <v>36.0</v>
      </c>
      <c r="Z443" s="3">
        <v>144.0</v>
      </c>
      <c r="AA443" s="3">
        <v>255.0</v>
      </c>
      <c r="AB443" s="3">
        <v>690.0</v>
      </c>
      <c r="AC443" s="3">
        <v>131.0</v>
      </c>
    </row>
    <row r="444">
      <c r="A444" s="3">
        <v>442.0</v>
      </c>
      <c r="B444" s="3" t="s">
        <v>2373</v>
      </c>
      <c r="C444" s="3">
        <v>530.0</v>
      </c>
      <c r="D444" s="3" t="s">
        <v>1031</v>
      </c>
      <c r="E444" s="3">
        <v>16.916667</v>
      </c>
      <c r="F444" s="3">
        <v>-89.833333</v>
      </c>
      <c r="G444" s="3">
        <v>26.0</v>
      </c>
      <c r="H444" s="3">
        <v>3.0</v>
      </c>
      <c r="I444" s="3" t="s">
        <v>167</v>
      </c>
      <c r="J444" s="3">
        <v>564.0</v>
      </c>
      <c r="K444" s="3">
        <v>569.0</v>
      </c>
      <c r="L444" s="3" t="s">
        <v>133</v>
      </c>
      <c r="M444" s="3">
        <v>1.0</v>
      </c>
      <c r="N444" s="3" t="s">
        <v>121</v>
      </c>
      <c r="O444" s="3" t="s">
        <v>2374</v>
      </c>
      <c r="P444" s="3" t="s">
        <v>2378</v>
      </c>
      <c r="Q444" s="3">
        <v>2.0</v>
      </c>
      <c r="R444" s="3">
        <v>494.0</v>
      </c>
      <c r="S444" s="3">
        <v>57.480003</v>
      </c>
      <c r="T444" s="3">
        <v>12.625324</v>
      </c>
      <c r="U444" s="3" t="s">
        <v>2376</v>
      </c>
      <c r="V444" s="3">
        <v>0.0</v>
      </c>
      <c r="W444" s="3">
        <v>1738.0</v>
      </c>
      <c r="X444" s="3">
        <v>5677.0</v>
      </c>
      <c r="Y444" s="3">
        <v>36.0</v>
      </c>
      <c r="Z444" s="3">
        <v>144.0</v>
      </c>
      <c r="AA444" s="3">
        <v>255.0</v>
      </c>
      <c r="AB444" s="3">
        <v>690.0</v>
      </c>
      <c r="AC444" s="3">
        <v>131.0</v>
      </c>
    </row>
    <row r="445">
      <c r="A445" s="3">
        <v>443.0</v>
      </c>
      <c r="B445" s="3" t="s">
        <v>2373</v>
      </c>
      <c r="C445" s="3">
        <v>531.0</v>
      </c>
      <c r="D445" s="3" t="s">
        <v>1032</v>
      </c>
      <c r="E445" s="3">
        <v>16.916667</v>
      </c>
      <c r="F445" s="3">
        <v>-89.833333</v>
      </c>
      <c r="G445" s="3">
        <v>26.0</v>
      </c>
      <c r="H445" s="3">
        <v>3.0</v>
      </c>
      <c r="I445" s="3" t="s">
        <v>167</v>
      </c>
      <c r="J445" s="3">
        <v>564.0</v>
      </c>
      <c r="K445" s="3">
        <v>569.0</v>
      </c>
      <c r="L445" s="3" t="s">
        <v>133</v>
      </c>
      <c r="M445" s="3">
        <v>1.0</v>
      </c>
      <c r="N445" s="3" t="s">
        <v>121</v>
      </c>
      <c r="O445" s="3" t="s">
        <v>2374</v>
      </c>
      <c r="P445" s="3" t="s">
        <v>2378</v>
      </c>
      <c r="Q445" s="3">
        <v>2.0</v>
      </c>
      <c r="R445" s="3">
        <v>494.0</v>
      </c>
      <c r="S445" s="3">
        <v>57.480003</v>
      </c>
      <c r="T445" s="3">
        <v>12.625324</v>
      </c>
      <c r="U445" s="3" t="s">
        <v>2376</v>
      </c>
      <c r="V445" s="3">
        <v>0.0</v>
      </c>
      <c r="W445" s="3">
        <v>1738.0</v>
      </c>
      <c r="X445" s="3">
        <v>5677.0</v>
      </c>
      <c r="Y445" s="3">
        <v>36.0</v>
      </c>
      <c r="Z445" s="3">
        <v>144.0</v>
      </c>
      <c r="AA445" s="3">
        <v>255.0</v>
      </c>
      <c r="AB445" s="3">
        <v>690.0</v>
      </c>
      <c r="AC445" s="3">
        <v>131.0</v>
      </c>
    </row>
    <row r="446">
      <c r="A446" s="3">
        <v>444.0</v>
      </c>
      <c r="B446" s="3" t="s">
        <v>2373</v>
      </c>
      <c r="C446" s="3">
        <v>532.0</v>
      </c>
      <c r="D446" s="3" t="s">
        <v>1967</v>
      </c>
      <c r="E446" s="3">
        <v>16.916667</v>
      </c>
      <c r="F446" s="3">
        <v>-89.833333</v>
      </c>
      <c r="G446" s="3">
        <v>26.0</v>
      </c>
      <c r="H446" s="3">
        <v>3.0</v>
      </c>
      <c r="I446" s="3" t="s">
        <v>167</v>
      </c>
      <c r="J446" s="3">
        <v>564.0</v>
      </c>
      <c r="K446" s="3">
        <v>569.0</v>
      </c>
      <c r="L446" s="3" t="s">
        <v>133</v>
      </c>
      <c r="M446" s="3">
        <v>1.0</v>
      </c>
      <c r="N446" s="3" t="s">
        <v>121</v>
      </c>
      <c r="O446" s="3" t="s">
        <v>2374</v>
      </c>
      <c r="P446" s="3" t="s">
        <v>2378</v>
      </c>
      <c r="Q446" s="3">
        <v>2.0</v>
      </c>
      <c r="R446" s="3">
        <v>494.0</v>
      </c>
      <c r="S446" s="3">
        <v>57.480003</v>
      </c>
      <c r="T446" s="3">
        <v>12.625324</v>
      </c>
      <c r="U446" s="3" t="s">
        <v>2376</v>
      </c>
      <c r="V446" s="3">
        <v>0.0</v>
      </c>
      <c r="W446" s="3">
        <v>1738.0</v>
      </c>
      <c r="X446" s="3">
        <v>5677.0</v>
      </c>
      <c r="Y446" s="3">
        <v>36.0</v>
      </c>
      <c r="Z446" s="3">
        <v>144.0</v>
      </c>
      <c r="AA446" s="3">
        <v>255.0</v>
      </c>
      <c r="AB446" s="3">
        <v>690.0</v>
      </c>
      <c r="AC446" s="3">
        <v>131.0</v>
      </c>
    </row>
    <row r="447">
      <c r="A447" s="3">
        <v>445.0</v>
      </c>
      <c r="B447" s="3" t="s">
        <v>2373</v>
      </c>
      <c r="C447" s="3">
        <v>546.0</v>
      </c>
      <c r="D447" s="3" t="s">
        <v>1098</v>
      </c>
      <c r="E447" s="3">
        <v>16.916667</v>
      </c>
      <c r="F447" s="3">
        <v>-89.833333</v>
      </c>
      <c r="G447" s="3">
        <v>26.0</v>
      </c>
      <c r="H447" s="3">
        <v>3.0</v>
      </c>
      <c r="I447" s="3" t="s">
        <v>167</v>
      </c>
      <c r="J447" s="3">
        <v>564.0</v>
      </c>
      <c r="K447" s="3">
        <v>569.0</v>
      </c>
      <c r="L447" s="3" t="s">
        <v>133</v>
      </c>
      <c r="M447" s="3">
        <v>1.0</v>
      </c>
      <c r="N447" s="3" t="s">
        <v>121</v>
      </c>
      <c r="O447" s="3" t="s">
        <v>2374</v>
      </c>
      <c r="P447" s="3" t="s">
        <v>2378</v>
      </c>
      <c r="Q447" s="3">
        <v>2.0</v>
      </c>
      <c r="R447" s="3">
        <v>494.0</v>
      </c>
      <c r="S447" s="3">
        <v>57.480003</v>
      </c>
      <c r="T447" s="3">
        <v>12.625324</v>
      </c>
      <c r="U447" s="3" t="s">
        <v>2376</v>
      </c>
      <c r="V447" s="3">
        <v>0.0</v>
      </c>
      <c r="W447" s="3">
        <v>1738.0</v>
      </c>
      <c r="X447" s="3">
        <v>5677.0</v>
      </c>
      <c r="Y447" s="3">
        <v>36.0</v>
      </c>
      <c r="Z447" s="3">
        <v>144.0</v>
      </c>
      <c r="AA447" s="3">
        <v>255.0</v>
      </c>
      <c r="AB447" s="3">
        <v>690.0</v>
      </c>
      <c r="AC447" s="3">
        <v>131.0</v>
      </c>
    </row>
    <row r="448">
      <c r="A448" s="3">
        <v>446.0</v>
      </c>
      <c r="B448" s="3" t="s">
        <v>2373</v>
      </c>
      <c r="C448" s="3">
        <v>547.0</v>
      </c>
      <c r="D448" s="3" t="s">
        <v>1115</v>
      </c>
      <c r="E448" s="3">
        <v>16.916667</v>
      </c>
      <c r="F448" s="3">
        <v>-89.833333</v>
      </c>
      <c r="G448" s="3">
        <v>26.0</v>
      </c>
      <c r="H448" s="3">
        <v>3.0</v>
      </c>
      <c r="I448" s="3" t="s">
        <v>167</v>
      </c>
      <c r="J448" s="3">
        <v>564.0</v>
      </c>
      <c r="K448" s="3">
        <v>569.0</v>
      </c>
      <c r="L448" s="3" t="s">
        <v>133</v>
      </c>
      <c r="M448" s="3">
        <v>1.0</v>
      </c>
      <c r="N448" s="3" t="s">
        <v>121</v>
      </c>
      <c r="O448" s="3" t="s">
        <v>2374</v>
      </c>
      <c r="P448" s="3" t="s">
        <v>2378</v>
      </c>
      <c r="Q448" s="3">
        <v>2.0</v>
      </c>
      <c r="R448" s="3">
        <v>494.0</v>
      </c>
      <c r="S448" s="3">
        <v>57.480003</v>
      </c>
      <c r="T448" s="3">
        <v>12.625324</v>
      </c>
      <c r="U448" s="3" t="s">
        <v>2376</v>
      </c>
      <c r="V448" s="3">
        <v>0.0</v>
      </c>
      <c r="W448" s="3">
        <v>1738.0</v>
      </c>
      <c r="X448" s="3">
        <v>5677.0</v>
      </c>
      <c r="Y448" s="3">
        <v>36.0</v>
      </c>
      <c r="Z448" s="3">
        <v>144.0</v>
      </c>
      <c r="AA448" s="3">
        <v>255.0</v>
      </c>
      <c r="AB448" s="3">
        <v>690.0</v>
      </c>
      <c r="AC448" s="3">
        <v>131.0</v>
      </c>
    </row>
    <row r="449">
      <c r="A449" s="3">
        <v>447.0</v>
      </c>
      <c r="B449" s="3" t="s">
        <v>2373</v>
      </c>
      <c r="C449" s="3">
        <v>548.0</v>
      </c>
      <c r="D449" s="3" t="s">
        <v>1117</v>
      </c>
      <c r="E449" s="3">
        <v>16.916667</v>
      </c>
      <c r="F449" s="3">
        <v>-89.833333</v>
      </c>
      <c r="G449" s="3">
        <v>26.0</v>
      </c>
      <c r="H449" s="3">
        <v>3.0</v>
      </c>
      <c r="I449" s="3" t="s">
        <v>167</v>
      </c>
      <c r="J449" s="3">
        <v>564.0</v>
      </c>
      <c r="K449" s="3">
        <v>569.0</v>
      </c>
      <c r="L449" s="3" t="s">
        <v>133</v>
      </c>
      <c r="M449" s="3">
        <v>1.0</v>
      </c>
      <c r="N449" s="3" t="s">
        <v>121</v>
      </c>
      <c r="O449" s="3" t="s">
        <v>2374</v>
      </c>
      <c r="P449" s="3" t="s">
        <v>2378</v>
      </c>
      <c r="Q449" s="3">
        <v>2.0</v>
      </c>
      <c r="R449" s="3">
        <v>494.0</v>
      </c>
      <c r="S449" s="3">
        <v>57.480003</v>
      </c>
      <c r="T449" s="3">
        <v>12.625324</v>
      </c>
      <c r="U449" s="3" t="s">
        <v>2376</v>
      </c>
      <c r="V449" s="3">
        <v>0.0</v>
      </c>
      <c r="W449" s="3">
        <v>1738.0</v>
      </c>
      <c r="X449" s="3">
        <v>5677.0</v>
      </c>
      <c r="Y449" s="3">
        <v>36.0</v>
      </c>
      <c r="Z449" s="3">
        <v>144.0</v>
      </c>
      <c r="AA449" s="3">
        <v>255.0</v>
      </c>
      <c r="AB449" s="3">
        <v>690.0</v>
      </c>
      <c r="AC449" s="3">
        <v>131.0</v>
      </c>
    </row>
    <row r="450">
      <c r="A450" s="3">
        <v>448.0</v>
      </c>
      <c r="B450" s="3" t="s">
        <v>2373</v>
      </c>
      <c r="C450" s="3">
        <v>606.0</v>
      </c>
      <c r="D450" s="3" t="s">
        <v>2148</v>
      </c>
      <c r="E450" s="3">
        <v>16.916667</v>
      </c>
      <c r="F450" s="3">
        <v>-89.833333</v>
      </c>
      <c r="G450" s="3">
        <v>26.0</v>
      </c>
      <c r="H450" s="3">
        <v>3.0</v>
      </c>
      <c r="I450" s="3" t="s">
        <v>167</v>
      </c>
      <c r="J450" s="3">
        <v>564.0</v>
      </c>
      <c r="K450" s="3">
        <v>569.0</v>
      </c>
      <c r="L450" s="3" t="s">
        <v>133</v>
      </c>
      <c r="M450" s="3">
        <v>1.0</v>
      </c>
      <c r="N450" s="3" t="s">
        <v>121</v>
      </c>
      <c r="O450" s="3" t="s">
        <v>2374</v>
      </c>
      <c r="P450" s="3" t="s">
        <v>2378</v>
      </c>
      <c r="Q450" s="3">
        <v>2.0</v>
      </c>
      <c r="R450" s="3">
        <v>494.0</v>
      </c>
      <c r="S450" s="3">
        <v>57.480003</v>
      </c>
      <c r="T450" s="3">
        <v>12.625324</v>
      </c>
      <c r="U450" s="3" t="s">
        <v>2376</v>
      </c>
      <c r="V450" s="3">
        <v>0.0</v>
      </c>
      <c r="W450" s="3">
        <v>1738.0</v>
      </c>
      <c r="X450" s="3">
        <v>5677.0</v>
      </c>
      <c r="Y450" s="3">
        <v>36.0</v>
      </c>
      <c r="Z450" s="3">
        <v>144.0</v>
      </c>
      <c r="AA450" s="3">
        <v>255.0</v>
      </c>
      <c r="AB450" s="3">
        <v>690.0</v>
      </c>
      <c r="AC450" s="3">
        <v>131.0</v>
      </c>
    </row>
    <row r="451">
      <c r="A451" s="3">
        <v>449.0</v>
      </c>
      <c r="B451" s="3" t="s">
        <v>2373</v>
      </c>
      <c r="C451" s="3">
        <v>607.0</v>
      </c>
      <c r="D451" s="3" t="s">
        <v>2151</v>
      </c>
      <c r="E451" s="3">
        <v>16.916667</v>
      </c>
      <c r="F451" s="3">
        <v>-89.833333</v>
      </c>
      <c r="G451" s="3">
        <v>26.0</v>
      </c>
      <c r="H451" s="3">
        <v>3.0</v>
      </c>
      <c r="I451" s="3" t="s">
        <v>167</v>
      </c>
      <c r="J451" s="3">
        <v>564.0</v>
      </c>
      <c r="K451" s="3">
        <v>569.0</v>
      </c>
      <c r="L451" s="3" t="s">
        <v>133</v>
      </c>
      <c r="M451" s="3">
        <v>1.0</v>
      </c>
      <c r="N451" s="3" t="s">
        <v>121</v>
      </c>
      <c r="O451" s="3" t="s">
        <v>2374</v>
      </c>
      <c r="P451" s="3" t="s">
        <v>2378</v>
      </c>
      <c r="Q451" s="3">
        <v>2.0</v>
      </c>
      <c r="R451" s="3">
        <v>494.0</v>
      </c>
      <c r="S451" s="3">
        <v>57.480003</v>
      </c>
      <c r="T451" s="3">
        <v>12.625324</v>
      </c>
      <c r="U451" s="3" t="s">
        <v>2376</v>
      </c>
      <c r="V451" s="3">
        <v>0.0</v>
      </c>
      <c r="W451" s="3">
        <v>1738.0</v>
      </c>
      <c r="X451" s="3">
        <v>5677.0</v>
      </c>
      <c r="Y451" s="3">
        <v>36.0</v>
      </c>
      <c r="Z451" s="3">
        <v>144.0</v>
      </c>
      <c r="AA451" s="3">
        <v>255.0</v>
      </c>
      <c r="AB451" s="3">
        <v>690.0</v>
      </c>
      <c r="AC451" s="3">
        <v>131.0</v>
      </c>
    </row>
    <row r="452">
      <c r="A452" s="3">
        <v>450.0</v>
      </c>
      <c r="B452" s="3" t="s">
        <v>2373</v>
      </c>
      <c r="C452" s="3">
        <v>191.0</v>
      </c>
      <c r="D452" s="3" t="s">
        <v>1158</v>
      </c>
      <c r="E452" s="3">
        <v>13.941022</v>
      </c>
      <c r="F452" s="3">
        <v>-90.629732</v>
      </c>
      <c r="G452" s="3">
        <v>28.0</v>
      </c>
      <c r="H452" s="3">
        <v>3.0</v>
      </c>
      <c r="I452" s="3" t="s">
        <v>167</v>
      </c>
      <c r="J452" s="3">
        <v>678.0</v>
      </c>
      <c r="K452" s="3">
        <v>683.0</v>
      </c>
      <c r="L452" s="3" t="s">
        <v>1162</v>
      </c>
      <c r="M452" s="3">
        <v>14.0</v>
      </c>
      <c r="N452" s="3" t="s">
        <v>659</v>
      </c>
      <c r="O452" s="3" t="s">
        <v>2374</v>
      </c>
      <c r="P452" s="3" t="s">
        <v>2377</v>
      </c>
      <c r="Q452" s="3">
        <v>1.0</v>
      </c>
      <c r="R452" s="3">
        <v>617.0</v>
      </c>
      <c r="S452" s="3">
        <v>46.35933</v>
      </c>
      <c r="T452" s="3">
        <v>0.651802</v>
      </c>
      <c r="U452" s="3" t="s">
        <v>2376</v>
      </c>
      <c r="V452" s="3">
        <v>0.0</v>
      </c>
      <c r="W452" s="3">
        <v>1707.0</v>
      </c>
      <c r="X452" s="3">
        <v>9271.0</v>
      </c>
      <c r="Y452" s="3">
        <v>2.0</v>
      </c>
      <c r="Z452" s="3">
        <v>12.0</v>
      </c>
      <c r="AA452" s="3">
        <v>343.0</v>
      </c>
      <c r="AB452" s="3">
        <v>819.0</v>
      </c>
      <c r="AC452" s="3">
        <v>7.0</v>
      </c>
    </row>
    <row r="453">
      <c r="A453" s="3">
        <v>451.0</v>
      </c>
      <c r="B453" s="3" t="s">
        <v>2373</v>
      </c>
      <c r="C453" s="3">
        <v>192.0</v>
      </c>
      <c r="D453" s="3" t="s">
        <v>1163</v>
      </c>
      <c r="E453" s="3">
        <v>13.941022</v>
      </c>
      <c r="F453" s="3">
        <v>-90.629732</v>
      </c>
      <c r="G453" s="3">
        <v>28.0</v>
      </c>
      <c r="H453" s="3">
        <v>3.0</v>
      </c>
      <c r="I453" s="3" t="s">
        <v>167</v>
      </c>
      <c r="J453" s="3">
        <v>678.0</v>
      </c>
      <c r="K453" s="3">
        <v>683.0</v>
      </c>
      <c r="L453" s="3" t="s">
        <v>1162</v>
      </c>
      <c r="M453" s="3">
        <v>14.0</v>
      </c>
      <c r="N453" s="3" t="s">
        <v>659</v>
      </c>
      <c r="O453" s="3" t="s">
        <v>2374</v>
      </c>
      <c r="P453" s="3" t="s">
        <v>2377</v>
      </c>
      <c r="Q453" s="3">
        <v>1.0</v>
      </c>
      <c r="R453" s="3">
        <v>617.0</v>
      </c>
      <c r="S453" s="3">
        <v>46.35933</v>
      </c>
      <c r="T453" s="3">
        <v>0.651802</v>
      </c>
      <c r="U453" s="3" t="s">
        <v>2376</v>
      </c>
      <c r="V453" s="3">
        <v>0.0</v>
      </c>
      <c r="W453" s="3">
        <v>1707.0</v>
      </c>
      <c r="X453" s="3">
        <v>9271.0</v>
      </c>
      <c r="Y453" s="3">
        <v>2.0</v>
      </c>
      <c r="Z453" s="3">
        <v>12.0</v>
      </c>
      <c r="AA453" s="3">
        <v>343.0</v>
      </c>
      <c r="AB453" s="3">
        <v>819.0</v>
      </c>
      <c r="AC453" s="3">
        <v>7.0</v>
      </c>
    </row>
    <row r="454">
      <c r="A454" s="3">
        <v>452.0</v>
      </c>
      <c r="B454" s="3" t="s">
        <v>2373</v>
      </c>
      <c r="C454" s="3">
        <v>193.0</v>
      </c>
      <c r="D454" s="3" t="s">
        <v>1164</v>
      </c>
      <c r="E454" s="3">
        <v>13.941022</v>
      </c>
      <c r="F454" s="3">
        <v>-90.629732</v>
      </c>
      <c r="G454" s="3">
        <v>28.0</v>
      </c>
      <c r="H454" s="3">
        <v>3.0</v>
      </c>
      <c r="I454" s="3" t="s">
        <v>167</v>
      </c>
      <c r="J454" s="3">
        <v>678.0</v>
      </c>
      <c r="K454" s="3">
        <v>683.0</v>
      </c>
      <c r="L454" s="3" t="s">
        <v>1162</v>
      </c>
      <c r="M454" s="3">
        <v>14.0</v>
      </c>
      <c r="N454" s="3" t="s">
        <v>659</v>
      </c>
      <c r="O454" s="3" t="s">
        <v>2374</v>
      </c>
      <c r="P454" s="3" t="s">
        <v>2377</v>
      </c>
      <c r="Q454" s="3">
        <v>1.0</v>
      </c>
      <c r="R454" s="3">
        <v>617.0</v>
      </c>
      <c r="S454" s="3">
        <v>46.35933</v>
      </c>
      <c r="T454" s="3">
        <v>0.651802</v>
      </c>
      <c r="U454" s="3" t="s">
        <v>2376</v>
      </c>
      <c r="V454" s="3">
        <v>0.0</v>
      </c>
      <c r="W454" s="3">
        <v>1707.0</v>
      </c>
      <c r="X454" s="3">
        <v>9271.0</v>
      </c>
      <c r="Y454" s="3">
        <v>2.0</v>
      </c>
      <c r="Z454" s="3">
        <v>12.0</v>
      </c>
      <c r="AA454" s="3">
        <v>343.0</v>
      </c>
      <c r="AB454" s="3">
        <v>819.0</v>
      </c>
      <c r="AC454" s="3">
        <v>7.0</v>
      </c>
    </row>
    <row r="455">
      <c r="A455" s="3">
        <v>453.0</v>
      </c>
      <c r="B455" s="3" t="s">
        <v>2373</v>
      </c>
      <c r="C455" s="3">
        <v>194.0</v>
      </c>
      <c r="D455" s="3" t="s">
        <v>1165</v>
      </c>
      <c r="E455" s="3">
        <v>14.538711</v>
      </c>
      <c r="F455" s="3">
        <v>-92.202276</v>
      </c>
      <c r="G455" s="3">
        <v>28.0</v>
      </c>
      <c r="H455" s="3">
        <v>3.0</v>
      </c>
      <c r="I455" s="3" t="s">
        <v>167</v>
      </c>
      <c r="J455" s="3">
        <v>678.0</v>
      </c>
      <c r="K455" s="3">
        <v>683.0</v>
      </c>
      <c r="L455" s="3" t="s">
        <v>1162</v>
      </c>
      <c r="M455" s="3">
        <v>14.0</v>
      </c>
      <c r="N455" s="3" t="s">
        <v>659</v>
      </c>
      <c r="O455" s="3" t="s">
        <v>2374</v>
      </c>
      <c r="P455" s="3" t="s">
        <v>2377</v>
      </c>
      <c r="Q455" s="3">
        <v>1.0</v>
      </c>
      <c r="R455" s="3">
        <v>617.0</v>
      </c>
      <c r="S455" s="3">
        <v>46.35933</v>
      </c>
      <c r="T455" s="3">
        <v>0.651802</v>
      </c>
      <c r="U455" s="3" t="s">
        <v>2376</v>
      </c>
      <c r="V455" s="3">
        <v>0.0</v>
      </c>
      <c r="W455" s="3">
        <v>1385.0</v>
      </c>
      <c r="X455" s="3">
        <v>9489.0</v>
      </c>
      <c r="Y455" s="3">
        <v>2.0</v>
      </c>
      <c r="Z455" s="3">
        <v>11.0</v>
      </c>
      <c r="AA455" s="3">
        <v>292.0</v>
      </c>
      <c r="AB455" s="3">
        <v>680.0</v>
      </c>
      <c r="AC455" s="3">
        <v>2.0</v>
      </c>
    </row>
    <row r="456">
      <c r="A456" s="3">
        <v>454.0</v>
      </c>
      <c r="B456" s="3" t="s">
        <v>2373</v>
      </c>
      <c r="C456" s="3">
        <v>196.0</v>
      </c>
      <c r="D456" s="78" t="s">
        <v>1178</v>
      </c>
      <c r="E456" s="3">
        <v>14.517108</v>
      </c>
      <c r="F456" s="3">
        <v>-92.118835</v>
      </c>
      <c r="G456" s="3">
        <v>28.0</v>
      </c>
      <c r="H456" s="3">
        <v>3.0</v>
      </c>
      <c r="I456" s="3" t="s">
        <v>167</v>
      </c>
      <c r="J456" s="3">
        <v>678.0</v>
      </c>
      <c r="K456" s="3">
        <v>683.0</v>
      </c>
      <c r="L456" s="3" t="s">
        <v>1162</v>
      </c>
      <c r="M456" s="3">
        <v>14.0</v>
      </c>
      <c r="N456" s="3" t="s">
        <v>659</v>
      </c>
      <c r="O456" s="3" t="s">
        <v>2374</v>
      </c>
      <c r="P456" s="3" t="s">
        <v>2377</v>
      </c>
      <c r="Q456" s="3">
        <v>1.0</v>
      </c>
      <c r="R456" s="3">
        <v>617.0</v>
      </c>
      <c r="S456" s="3">
        <v>46.35933</v>
      </c>
      <c r="T456" s="3">
        <v>0.651802</v>
      </c>
      <c r="U456" s="3" t="s">
        <v>2376</v>
      </c>
      <c r="V456" s="3">
        <v>0.0</v>
      </c>
      <c r="W456" s="3">
        <v>1385.0</v>
      </c>
      <c r="X456" s="3">
        <v>9569.0</v>
      </c>
      <c r="Y456" s="3">
        <v>1.0</v>
      </c>
      <c r="Z456" s="3">
        <v>11.0</v>
      </c>
      <c r="AA456" s="3">
        <v>311.0</v>
      </c>
      <c r="AB456" s="3">
        <v>691.0</v>
      </c>
      <c r="AC456" s="3">
        <v>9.0</v>
      </c>
    </row>
    <row r="457">
      <c r="A457" s="3">
        <v>455.0</v>
      </c>
      <c r="B457" s="3" t="s">
        <v>2373</v>
      </c>
      <c r="C457" s="3">
        <v>197.0</v>
      </c>
      <c r="D457" s="3" t="s">
        <v>1180</v>
      </c>
      <c r="E457" s="3">
        <v>14.517108</v>
      </c>
      <c r="F457" s="3">
        <v>-92.118835</v>
      </c>
      <c r="G457" s="3">
        <v>28.0</v>
      </c>
      <c r="H457" s="3">
        <v>3.0</v>
      </c>
      <c r="I457" s="3" t="s">
        <v>167</v>
      </c>
      <c r="J457" s="3">
        <v>678.0</v>
      </c>
      <c r="K457" s="3">
        <v>683.0</v>
      </c>
      <c r="L457" s="3" t="s">
        <v>1162</v>
      </c>
      <c r="M457" s="3">
        <v>14.0</v>
      </c>
      <c r="N457" s="3" t="s">
        <v>659</v>
      </c>
      <c r="O457" s="3" t="s">
        <v>2374</v>
      </c>
      <c r="P457" s="3" t="s">
        <v>2377</v>
      </c>
      <c r="Q457" s="3">
        <v>1.0</v>
      </c>
      <c r="R457" s="3">
        <v>617.0</v>
      </c>
      <c r="S457" s="3">
        <v>46.35933</v>
      </c>
      <c r="T457" s="3">
        <v>0.651802</v>
      </c>
      <c r="U457" s="3" t="s">
        <v>2376</v>
      </c>
      <c r="V457" s="3">
        <v>0.0</v>
      </c>
      <c r="W457" s="3">
        <v>1385.0</v>
      </c>
      <c r="X457" s="3">
        <v>9569.0</v>
      </c>
      <c r="Y457" s="3">
        <v>1.0</v>
      </c>
      <c r="Z457" s="3">
        <v>11.0</v>
      </c>
      <c r="AA457" s="3">
        <v>311.0</v>
      </c>
      <c r="AB457" s="3">
        <v>691.0</v>
      </c>
      <c r="AC457" s="3">
        <v>9.0</v>
      </c>
    </row>
    <row r="458">
      <c r="A458" s="3">
        <v>456.0</v>
      </c>
      <c r="B458" s="3" t="s">
        <v>2373</v>
      </c>
      <c r="C458" s="3">
        <v>199.0</v>
      </c>
      <c r="D458" s="3" t="s">
        <v>1182</v>
      </c>
      <c r="E458" s="3">
        <v>14.538711</v>
      </c>
      <c r="F458" s="3">
        <v>-92.202276</v>
      </c>
      <c r="G458" s="3">
        <v>28.0</v>
      </c>
      <c r="H458" s="3">
        <v>3.0</v>
      </c>
      <c r="I458" s="3" t="s">
        <v>167</v>
      </c>
      <c r="J458" s="3">
        <v>678.0</v>
      </c>
      <c r="K458" s="3">
        <v>683.0</v>
      </c>
      <c r="L458" s="3" t="s">
        <v>1162</v>
      </c>
      <c r="M458" s="3">
        <v>14.0</v>
      </c>
      <c r="N458" s="3" t="s">
        <v>659</v>
      </c>
      <c r="O458" s="3" t="s">
        <v>2374</v>
      </c>
      <c r="P458" s="3" t="s">
        <v>2377</v>
      </c>
      <c r="Q458" s="3">
        <v>1.0</v>
      </c>
      <c r="R458" s="3">
        <v>617.0</v>
      </c>
      <c r="S458" s="3">
        <v>46.35933</v>
      </c>
      <c r="T458" s="3">
        <v>0.651802</v>
      </c>
      <c r="U458" s="3" t="s">
        <v>2376</v>
      </c>
      <c r="V458" s="3">
        <v>0.0</v>
      </c>
      <c r="W458" s="3">
        <v>1385.0</v>
      </c>
      <c r="X458" s="3">
        <v>9489.0</v>
      </c>
      <c r="Y458" s="3">
        <v>2.0</v>
      </c>
      <c r="Z458" s="3">
        <v>11.0</v>
      </c>
      <c r="AA458" s="3">
        <v>292.0</v>
      </c>
      <c r="AB458" s="3">
        <v>680.0</v>
      </c>
      <c r="AC458" s="3">
        <v>2.0</v>
      </c>
    </row>
    <row r="459">
      <c r="A459" s="3">
        <v>457.0</v>
      </c>
      <c r="B459" s="3" t="s">
        <v>2373</v>
      </c>
      <c r="C459" s="3">
        <v>200.0</v>
      </c>
      <c r="D459" s="3" t="s">
        <v>1193</v>
      </c>
      <c r="E459" s="3">
        <v>13.941022</v>
      </c>
      <c r="F459" s="3">
        <v>-90.629732</v>
      </c>
      <c r="G459" s="3">
        <v>28.0</v>
      </c>
      <c r="H459" s="3">
        <v>3.0</v>
      </c>
      <c r="I459" s="3" t="s">
        <v>167</v>
      </c>
      <c r="J459" s="3">
        <v>678.0</v>
      </c>
      <c r="K459" s="3">
        <v>683.0</v>
      </c>
      <c r="L459" s="3" t="s">
        <v>1162</v>
      </c>
      <c r="M459" s="3">
        <v>14.0</v>
      </c>
      <c r="N459" s="3" t="s">
        <v>659</v>
      </c>
      <c r="O459" s="3" t="s">
        <v>2374</v>
      </c>
      <c r="P459" s="3" t="s">
        <v>2377</v>
      </c>
      <c r="Q459" s="3">
        <v>1.0</v>
      </c>
      <c r="R459" s="3">
        <v>617.0</v>
      </c>
      <c r="S459" s="3">
        <v>46.35933</v>
      </c>
      <c r="T459" s="3">
        <v>0.651802</v>
      </c>
      <c r="U459" s="3" t="s">
        <v>2376</v>
      </c>
      <c r="V459" s="3">
        <v>0.0</v>
      </c>
      <c r="W459" s="3">
        <v>1707.0</v>
      </c>
      <c r="X459" s="3">
        <v>9271.0</v>
      </c>
      <c r="Y459" s="3">
        <v>2.0</v>
      </c>
      <c r="Z459" s="3">
        <v>12.0</v>
      </c>
      <c r="AA459" s="3">
        <v>343.0</v>
      </c>
      <c r="AB459" s="3">
        <v>819.0</v>
      </c>
      <c r="AC459" s="3">
        <v>7.0</v>
      </c>
    </row>
    <row r="460">
      <c r="A460" s="3">
        <v>458.0</v>
      </c>
      <c r="B460" s="3" t="s">
        <v>2373</v>
      </c>
      <c r="C460" s="3">
        <v>201.0</v>
      </c>
      <c r="D460" s="3" t="s">
        <v>1194</v>
      </c>
      <c r="E460" s="3">
        <v>13.941022</v>
      </c>
      <c r="F460" s="3">
        <v>-90.629732</v>
      </c>
      <c r="G460" s="3">
        <v>28.0</v>
      </c>
      <c r="H460" s="3">
        <v>3.0</v>
      </c>
      <c r="I460" s="3" t="s">
        <v>167</v>
      </c>
      <c r="J460" s="3">
        <v>678.0</v>
      </c>
      <c r="K460" s="3">
        <v>683.0</v>
      </c>
      <c r="L460" s="3" t="s">
        <v>1162</v>
      </c>
      <c r="M460" s="3">
        <v>14.0</v>
      </c>
      <c r="N460" s="3" t="s">
        <v>659</v>
      </c>
      <c r="O460" s="3" t="s">
        <v>2374</v>
      </c>
      <c r="P460" s="3" t="s">
        <v>2377</v>
      </c>
      <c r="Q460" s="3">
        <v>1.0</v>
      </c>
      <c r="R460" s="3">
        <v>617.0</v>
      </c>
      <c r="S460" s="3">
        <v>46.35933</v>
      </c>
      <c r="T460" s="3">
        <v>0.651802</v>
      </c>
      <c r="U460" s="3" t="s">
        <v>2376</v>
      </c>
      <c r="V460" s="3">
        <v>0.0</v>
      </c>
      <c r="W460" s="3">
        <v>1707.0</v>
      </c>
      <c r="X460" s="3">
        <v>9271.0</v>
      </c>
      <c r="Y460" s="3">
        <v>2.0</v>
      </c>
      <c r="Z460" s="3">
        <v>12.0</v>
      </c>
      <c r="AA460" s="3">
        <v>343.0</v>
      </c>
      <c r="AB460" s="3">
        <v>819.0</v>
      </c>
      <c r="AC460" s="3">
        <v>7.0</v>
      </c>
    </row>
    <row r="461">
      <c r="A461" s="3">
        <v>459.0</v>
      </c>
      <c r="B461" s="3" t="s">
        <v>2373</v>
      </c>
      <c r="C461" s="3">
        <v>202.0</v>
      </c>
      <c r="D461" s="3" t="s">
        <v>1195</v>
      </c>
      <c r="E461" s="3">
        <v>13.941022</v>
      </c>
      <c r="F461" s="3">
        <v>-90.629732</v>
      </c>
      <c r="G461" s="3">
        <v>28.0</v>
      </c>
      <c r="H461" s="3">
        <v>3.0</v>
      </c>
      <c r="I461" s="3" t="s">
        <v>167</v>
      </c>
      <c r="J461" s="3">
        <v>678.0</v>
      </c>
      <c r="K461" s="3">
        <v>683.0</v>
      </c>
      <c r="L461" s="3" t="s">
        <v>1162</v>
      </c>
      <c r="M461" s="3">
        <v>14.0</v>
      </c>
      <c r="N461" s="3" t="s">
        <v>659</v>
      </c>
      <c r="O461" s="3" t="s">
        <v>2374</v>
      </c>
      <c r="P461" s="3" t="s">
        <v>2377</v>
      </c>
      <c r="Q461" s="3">
        <v>1.0</v>
      </c>
      <c r="R461" s="3">
        <v>617.0</v>
      </c>
      <c r="S461" s="3">
        <v>46.35933</v>
      </c>
      <c r="T461" s="3">
        <v>0.651802</v>
      </c>
      <c r="U461" s="3" t="s">
        <v>2376</v>
      </c>
      <c r="V461" s="3">
        <v>0.0</v>
      </c>
      <c r="W461" s="3">
        <v>1707.0</v>
      </c>
      <c r="X461" s="3">
        <v>9271.0</v>
      </c>
      <c r="Y461" s="3">
        <v>2.0</v>
      </c>
      <c r="Z461" s="3">
        <v>12.0</v>
      </c>
      <c r="AA461" s="3">
        <v>343.0</v>
      </c>
      <c r="AB461" s="3">
        <v>819.0</v>
      </c>
      <c r="AC461" s="3">
        <v>7.0</v>
      </c>
    </row>
    <row r="462">
      <c r="A462" s="3">
        <v>460.0</v>
      </c>
      <c r="B462" s="3" t="s">
        <v>2373</v>
      </c>
      <c r="C462" s="3">
        <v>203.0</v>
      </c>
      <c r="D462" s="3" t="s">
        <v>1196</v>
      </c>
      <c r="E462" s="3">
        <v>14.517108</v>
      </c>
      <c r="F462" s="3">
        <v>-92.118835</v>
      </c>
      <c r="G462" s="3">
        <v>28.0</v>
      </c>
      <c r="H462" s="3">
        <v>3.0</v>
      </c>
      <c r="I462" s="3" t="s">
        <v>167</v>
      </c>
      <c r="J462" s="3">
        <v>678.0</v>
      </c>
      <c r="K462" s="3">
        <v>683.0</v>
      </c>
      <c r="L462" s="3" t="s">
        <v>1162</v>
      </c>
      <c r="M462" s="3">
        <v>14.0</v>
      </c>
      <c r="N462" s="3" t="s">
        <v>659</v>
      </c>
      <c r="O462" s="3" t="s">
        <v>2374</v>
      </c>
      <c r="P462" s="3" t="s">
        <v>2377</v>
      </c>
      <c r="Q462" s="3">
        <v>1.0</v>
      </c>
      <c r="R462" s="3">
        <v>617.0</v>
      </c>
      <c r="S462" s="3">
        <v>46.35933</v>
      </c>
      <c r="T462" s="3">
        <v>0.651802</v>
      </c>
      <c r="U462" s="3" t="s">
        <v>2376</v>
      </c>
      <c r="V462" s="3">
        <v>0.0</v>
      </c>
      <c r="W462" s="3">
        <v>1385.0</v>
      </c>
      <c r="X462" s="3">
        <v>9569.0</v>
      </c>
      <c r="Y462" s="3">
        <v>1.0</v>
      </c>
      <c r="Z462" s="3">
        <v>11.0</v>
      </c>
      <c r="AA462" s="3">
        <v>311.0</v>
      </c>
      <c r="AB462" s="3">
        <v>691.0</v>
      </c>
      <c r="AC462" s="3">
        <v>9.0</v>
      </c>
    </row>
    <row r="463">
      <c r="A463" s="3">
        <v>461.0</v>
      </c>
      <c r="B463" s="3" t="s">
        <v>2373</v>
      </c>
      <c r="C463" s="3">
        <v>205.0</v>
      </c>
      <c r="D463" s="3" t="s">
        <v>1199</v>
      </c>
      <c r="E463" s="3">
        <v>14.538711</v>
      </c>
      <c r="F463" s="3">
        <v>-92.202276</v>
      </c>
      <c r="G463" s="3">
        <v>28.0</v>
      </c>
      <c r="H463" s="3">
        <v>3.0</v>
      </c>
      <c r="I463" s="3" t="s">
        <v>167</v>
      </c>
      <c r="J463" s="3">
        <v>678.0</v>
      </c>
      <c r="K463" s="3">
        <v>683.0</v>
      </c>
      <c r="L463" s="3" t="s">
        <v>1162</v>
      </c>
      <c r="M463" s="3">
        <v>14.0</v>
      </c>
      <c r="N463" s="3" t="s">
        <v>659</v>
      </c>
      <c r="O463" s="3" t="s">
        <v>2374</v>
      </c>
      <c r="P463" s="3" t="s">
        <v>2377</v>
      </c>
      <c r="Q463" s="3">
        <v>1.0</v>
      </c>
      <c r="R463" s="3">
        <v>617.0</v>
      </c>
      <c r="S463" s="3">
        <v>46.35933</v>
      </c>
      <c r="T463" s="3">
        <v>0.651802</v>
      </c>
      <c r="U463" s="3" t="s">
        <v>2376</v>
      </c>
      <c r="V463" s="3">
        <v>0.0</v>
      </c>
      <c r="W463" s="3">
        <v>1385.0</v>
      </c>
      <c r="X463" s="3">
        <v>9489.0</v>
      </c>
      <c r="Y463" s="3">
        <v>2.0</v>
      </c>
      <c r="Z463" s="3">
        <v>11.0</v>
      </c>
      <c r="AA463" s="3">
        <v>292.0</v>
      </c>
      <c r="AB463" s="3">
        <v>680.0</v>
      </c>
      <c r="AC463" s="3">
        <v>2.0</v>
      </c>
    </row>
    <row r="464">
      <c r="A464" s="3">
        <v>462.0</v>
      </c>
      <c r="B464" s="3" t="s">
        <v>2373</v>
      </c>
      <c r="C464" s="3">
        <v>206.0</v>
      </c>
      <c r="D464" s="3" t="s">
        <v>1210</v>
      </c>
      <c r="E464" s="3">
        <v>13.941022</v>
      </c>
      <c r="F464" s="3">
        <v>-90.629732</v>
      </c>
      <c r="G464" s="3">
        <v>28.0</v>
      </c>
      <c r="H464" s="3">
        <v>3.0</v>
      </c>
      <c r="I464" s="3" t="s">
        <v>167</v>
      </c>
      <c r="J464" s="3">
        <v>678.0</v>
      </c>
      <c r="K464" s="3">
        <v>683.0</v>
      </c>
      <c r="L464" s="3" t="s">
        <v>1162</v>
      </c>
      <c r="M464" s="3">
        <v>14.0</v>
      </c>
      <c r="N464" s="3" t="s">
        <v>659</v>
      </c>
      <c r="O464" s="3" t="s">
        <v>2374</v>
      </c>
      <c r="P464" s="3" t="s">
        <v>2377</v>
      </c>
      <c r="Q464" s="3">
        <v>1.0</v>
      </c>
      <c r="R464" s="3">
        <v>617.0</v>
      </c>
      <c r="S464" s="3">
        <v>46.35933</v>
      </c>
      <c r="T464" s="3">
        <v>0.651802</v>
      </c>
      <c r="U464" s="3" t="s">
        <v>2376</v>
      </c>
      <c r="V464" s="3">
        <v>0.0</v>
      </c>
      <c r="W464" s="3">
        <v>1707.0</v>
      </c>
      <c r="X464" s="3">
        <v>9271.0</v>
      </c>
      <c r="Y464" s="3">
        <v>2.0</v>
      </c>
      <c r="Z464" s="3">
        <v>12.0</v>
      </c>
      <c r="AA464" s="3">
        <v>343.0</v>
      </c>
      <c r="AB464" s="3">
        <v>819.0</v>
      </c>
      <c r="AC464" s="3">
        <v>7.0</v>
      </c>
    </row>
    <row r="465">
      <c r="A465" s="3">
        <v>463.0</v>
      </c>
      <c r="B465" s="3" t="s">
        <v>2373</v>
      </c>
      <c r="C465" s="3">
        <v>207.0</v>
      </c>
      <c r="D465" s="3" t="s">
        <v>1211</v>
      </c>
      <c r="E465" s="3">
        <v>13.941022</v>
      </c>
      <c r="F465" s="3">
        <v>-90.629732</v>
      </c>
      <c r="G465" s="3">
        <v>28.0</v>
      </c>
      <c r="H465" s="3">
        <v>3.0</v>
      </c>
      <c r="I465" s="3" t="s">
        <v>167</v>
      </c>
      <c r="J465" s="3">
        <v>678.0</v>
      </c>
      <c r="K465" s="3">
        <v>683.0</v>
      </c>
      <c r="L465" s="3" t="s">
        <v>1162</v>
      </c>
      <c r="M465" s="3">
        <v>14.0</v>
      </c>
      <c r="N465" s="3" t="s">
        <v>659</v>
      </c>
      <c r="O465" s="3" t="s">
        <v>2374</v>
      </c>
      <c r="P465" s="3" t="s">
        <v>2377</v>
      </c>
      <c r="Q465" s="3">
        <v>1.0</v>
      </c>
      <c r="R465" s="3">
        <v>617.0</v>
      </c>
      <c r="S465" s="3">
        <v>46.35933</v>
      </c>
      <c r="T465" s="3">
        <v>0.651802</v>
      </c>
      <c r="U465" s="3" t="s">
        <v>2376</v>
      </c>
      <c r="V465" s="3">
        <v>0.0</v>
      </c>
      <c r="W465" s="3">
        <v>1707.0</v>
      </c>
      <c r="X465" s="3">
        <v>9271.0</v>
      </c>
      <c r="Y465" s="3">
        <v>2.0</v>
      </c>
      <c r="Z465" s="3">
        <v>12.0</v>
      </c>
      <c r="AA465" s="3">
        <v>343.0</v>
      </c>
      <c r="AB465" s="3">
        <v>819.0</v>
      </c>
      <c r="AC465" s="3">
        <v>7.0</v>
      </c>
    </row>
    <row r="466">
      <c r="A466" s="3">
        <v>464.0</v>
      </c>
      <c r="B466" s="3" t="s">
        <v>2373</v>
      </c>
      <c r="C466" s="3">
        <v>208.0</v>
      </c>
      <c r="D466" s="3" t="s">
        <v>1212</v>
      </c>
      <c r="E466" s="3">
        <v>13.941022</v>
      </c>
      <c r="F466" s="3">
        <v>-90.629732</v>
      </c>
      <c r="G466" s="3">
        <v>28.0</v>
      </c>
      <c r="H466" s="3">
        <v>3.0</v>
      </c>
      <c r="I466" s="3" t="s">
        <v>167</v>
      </c>
      <c r="J466" s="3">
        <v>678.0</v>
      </c>
      <c r="K466" s="3">
        <v>683.0</v>
      </c>
      <c r="L466" s="3" t="s">
        <v>1162</v>
      </c>
      <c r="M466" s="3">
        <v>14.0</v>
      </c>
      <c r="N466" s="3" t="s">
        <v>659</v>
      </c>
      <c r="O466" s="3" t="s">
        <v>2374</v>
      </c>
      <c r="P466" s="3" t="s">
        <v>2377</v>
      </c>
      <c r="Q466" s="3">
        <v>1.0</v>
      </c>
      <c r="R466" s="3">
        <v>617.0</v>
      </c>
      <c r="S466" s="3">
        <v>46.35933</v>
      </c>
      <c r="T466" s="3">
        <v>0.651802</v>
      </c>
      <c r="U466" s="3" t="s">
        <v>2376</v>
      </c>
      <c r="V466" s="3">
        <v>0.0</v>
      </c>
      <c r="W466" s="3">
        <v>1707.0</v>
      </c>
      <c r="X466" s="3">
        <v>9271.0</v>
      </c>
      <c r="Y466" s="3">
        <v>2.0</v>
      </c>
      <c r="Z466" s="3">
        <v>12.0</v>
      </c>
      <c r="AA466" s="3">
        <v>343.0</v>
      </c>
      <c r="AB466" s="3">
        <v>819.0</v>
      </c>
      <c r="AC466" s="3">
        <v>7.0</v>
      </c>
    </row>
    <row r="467">
      <c r="A467" s="3">
        <v>465.0</v>
      </c>
      <c r="B467" s="3" t="s">
        <v>2373</v>
      </c>
      <c r="C467" s="3">
        <v>8.0</v>
      </c>
      <c r="D467" s="3" t="s">
        <v>1227</v>
      </c>
      <c r="E467" s="3">
        <v>14.873719</v>
      </c>
      <c r="F467" s="3">
        <v>-87.983813</v>
      </c>
      <c r="G467" s="3">
        <v>30.0</v>
      </c>
      <c r="H467" s="3">
        <v>4.0</v>
      </c>
      <c r="I467" s="3" t="s">
        <v>63</v>
      </c>
      <c r="J467" s="3">
        <v>117.0</v>
      </c>
      <c r="K467" s="3">
        <v>119.0</v>
      </c>
      <c r="L467" s="3" t="s">
        <v>1232</v>
      </c>
      <c r="M467" s="3">
        <v>1.0</v>
      </c>
      <c r="N467" s="3" t="s">
        <v>121</v>
      </c>
      <c r="O467" s="3" t="s">
        <v>2374</v>
      </c>
      <c r="P467" s="3" t="s">
        <v>2378</v>
      </c>
      <c r="Q467" s="3">
        <v>2.0</v>
      </c>
      <c r="R467" s="3">
        <v>450.0</v>
      </c>
      <c r="S467" s="3">
        <v>68.539906</v>
      </c>
      <c r="T467" s="3">
        <v>7.495782</v>
      </c>
      <c r="U467" s="3" t="s">
        <v>2376</v>
      </c>
      <c r="V467" s="3">
        <v>0.0</v>
      </c>
      <c r="W467" s="3">
        <v>2246.0</v>
      </c>
      <c r="X467" s="3">
        <v>6470.0</v>
      </c>
      <c r="Y467" s="3">
        <v>45.0</v>
      </c>
      <c r="Z467" s="3">
        <v>160.0</v>
      </c>
      <c r="AA467" s="3">
        <v>359.0</v>
      </c>
      <c r="AB467" s="3">
        <v>1016.0</v>
      </c>
      <c r="AC467" s="3">
        <v>635.0</v>
      </c>
    </row>
    <row r="468">
      <c r="A468" s="3">
        <v>466.0</v>
      </c>
      <c r="B468" s="3" t="s">
        <v>2373</v>
      </c>
      <c r="C468" s="3">
        <v>9.0</v>
      </c>
      <c r="D468" s="3" t="s">
        <v>1233</v>
      </c>
      <c r="E468" s="3">
        <v>14.867</v>
      </c>
      <c r="F468" s="3">
        <v>-89.125</v>
      </c>
      <c r="G468" s="3">
        <v>33.0</v>
      </c>
      <c r="H468" s="3">
        <v>4.0</v>
      </c>
      <c r="I468" s="3" t="s">
        <v>63</v>
      </c>
      <c r="J468" s="3">
        <v>120.0</v>
      </c>
      <c r="K468" s="3">
        <v>122.0</v>
      </c>
      <c r="L468" s="3" t="s">
        <v>77</v>
      </c>
      <c r="M468" s="3">
        <v>3.0</v>
      </c>
      <c r="N468" s="3" t="s">
        <v>78</v>
      </c>
      <c r="O468" s="3" t="s">
        <v>2374</v>
      </c>
      <c r="P468" s="3" t="s">
        <v>2380</v>
      </c>
      <c r="Q468" s="3">
        <v>2.0</v>
      </c>
      <c r="R468" s="3">
        <v>553.0</v>
      </c>
      <c r="S468" s="3">
        <v>130.831169</v>
      </c>
      <c r="T468" s="3">
        <v>9.312385</v>
      </c>
      <c r="U468" s="3" t="s">
        <v>2376</v>
      </c>
      <c r="V468" s="3">
        <v>0.0</v>
      </c>
      <c r="W468" s="3">
        <v>1510.0</v>
      </c>
      <c r="X468" s="3">
        <v>7799.0</v>
      </c>
      <c r="Y468" s="3">
        <v>20.0</v>
      </c>
      <c r="Z468" s="3">
        <v>74.0</v>
      </c>
      <c r="AA468" s="3">
        <v>276.0</v>
      </c>
      <c r="AB468" s="3">
        <v>719.0</v>
      </c>
      <c r="AC468" s="3">
        <v>784.0</v>
      </c>
    </row>
    <row r="469">
      <c r="A469" s="3">
        <v>467.0</v>
      </c>
      <c r="B469" s="3" t="s">
        <v>2373</v>
      </c>
      <c r="C469" s="3">
        <v>148.0</v>
      </c>
      <c r="D469" s="3" t="s">
        <v>61</v>
      </c>
      <c r="E469" s="3">
        <v>14.867</v>
      </c>
      <c r="F469" s="3">
        <v>-89.125</v>
      </c>
      <c r="G469" s="3">
        <v>33.0</v>
      </c>
      <c r="H469" s="3">
        <v>4.0</v>
      </c>
      <c r="I469" s="3" t="s">
        <v>63</v>
      </c>
      <c r="J469" s="3">
        <v>120.0</v>
      </c>
      <c r="K469" s="3">
        <v>122.0</v>
      </c>
      <c r="L469" s="3" t="s">
        <v>77</v>
      </c>
      <c r="M469" s="3">
        <v>3.0</v>
      </c>
      <c r="N469" s="3" t="s">
        <v>78</v>
      </c>
      <c r="O469" s="3" t="s">
        <v>2374</v>
      </c>
      <c r="P469" s="3" t="s">
        <v>2380</v>
      </c>
      <c r="Q469" s="3">
        <v>2.0</v>
      </c>
      <c r="R469" s="3">
        <v>553.0</v>
      </c>
      <c r="S469" s="3">
        <v>130.831169</v>
      </c>
      <c r="T469" s="3">
        <v>9.312385</v>
      </c>
      <c r="U469" s="3" t="s">
        <v>2376</v>
      </c>
      <c r="V469" s="3">
        <v>0.0</v>
      </c>
      <c r="W469" s="3">
        <v>1510.0</v>
      </c>
      <c r="X469" s="3">
        <v>7799.0</v>
      </c>
      <c r="Y469" s="3">
        <v>20.0</v>
      </c>
      <c r="Z469" s="3">
        <v>74.0</v>
      </c>
      <c r="AA469" s="3">
        <v>276.0</v>
      </c>
      <c r="AB469" s="3">
        <v>719.0</v>
      </c>
      <c r="AC469" s="3">
        <v>784.0</v>
      </c>
    </row>
    <row r="470">
      <c r="A470" s="3">
        <v>468.0</v>
      </c>
      <c r="B470" s="3" t="s">
        <v>2373</v>
      </c>
      <c r="C470" s="3">
        <v>149.0</v>
      </c>
      <c r="D470" s="3" t="s">
        <v>79</v>
      </c>
      <c r="E470" s="3">
        <v>14.867</v>
      </c>
      <c r="F470" s="3">
        <v>-89.125</v>
      </c>
      <c r="G470" s="3">
        <v>33.0</v>
      </c>
      <c r="H470" s="3">
        <v>4.0</v>
      </c>
      <c r="I470" s="3" t="s">
        <v>63</v>
      </c>
      <c r="J470" s="3">
        <v>120.0</v>
      </c>
      <c r="K470" s="3">
        <v>122.0</v>
      </c>
      <c r="L470" s="3" t="s">
        <v>77</v>
      </c>
      <c r="M470" s="3">
        <v>3.0</v>
      </c>
      <c r="N470" s="3" t="s">
        <v>78</v>
      </c>
      <c r="O470" s="3" t="s">
        <v>2374</v>
      </c>
      <c r="P470" s="3" t="s">
        <v>2380</v>
      </c>
      <c r="Q470" s="3">
        <v>2.0</v>
      </c>
      <c r="R470" s="3">
        <v>553.0</v>
      </c>
      <c r="S470" s="3">
        <v>130.831169</v>
      </c>
      <c r="T470" s="3">
        <v>9.312385</v>
      </c>
      <c r="U470" s="3" t="s">
        <v>2376</v>
      </c>
      <c r="V470" s="3">
        <v>0.0</v>
      </c>
      <c r="W470" s="3">
        <v>1510.0</v>
      </c>
      <c r="X470" s="3">
        <v>7799.0</v>
      </c>
      <c r="Y470" s="3">
        <v>20.0</v>
      </c>
      <c r="Z470" s="3">
        <v>74.0</v>
      </c>
      <c r="AA470" s="3">
        <v>276.0</v>
      </c>
      <c r="AB470" s="3">
        <v>719.0</v>
      </c>
      <c r="AC470" s="3">
        <v>784.0</v>
      </c>
    </row>
    <row r="471">
      <c r="A471" s="3">
        <v>469.0</v>
      </c>
      <c r="B471" s="3" t="s">
        <v>2373</v>
      </c>
      <c r="C471" s="3">
        <v>301.0</v>
      </c>
      <c r="D471" s="3" t="s">
        <v>1402</v>
      </c>
      <c r="E471" s="3">
        <v>14.870485</v>
      </c>
      <c r="F471" s="3">
        <v>-89.117181</v>
      </c>
      <c r="G471" s="3">
        <v>33.0</v>
      </c>
      <c r="H471" s="3">
        <v>4.0</v>
      </c>
      <c r="I471" s="3" t="s">
        <v>63</v>
      </c>
      <c r="J471" s="3">
        <v>120.0</v>
      </c>
      <c r="K471" s="3">
        <v>122.0</v>
      </c>
      <c r="L471" s="3" t="s">
        <v>77</v>
      </c>
      <c r="M471" s="3">
        <v>3.0</v>
      </c>
      <c r="N471" s="3" t="s">
        <v>78</v>
      </c>
      <c r="O471" s="3" t="s">
        <v>2374</v>
      </c>
      <c r="P471" s="3" t="s">
        <v>2380</v>
      </c>
      <c r="Q471" s="3">
        <v>2.0</v>
      </c>
      <c r="R471" s="3">
        <v>553.0</v>
      </c>
      <c r="S471" s="3">
        <v>130.831169</v>
      </c>
      <c r="T471" s="3">
        <v>9.312385</v>
      </c>
      <c r="U471" s="3" t="s">
        <v>2376</v>
      </c>
      <c r="V471" s="3">
        <v>0.0</v>
      </c>
      <c r="W471" s="3">
        <v>1510.0</v>
      </c>
      <c r="X471" s="3">
        <v>7799.0</v>
      </c>
      <c r="Y471" s="3">
        <v>20.0</v>
      </c>
      <c r="Z471" s="3">
        <v>74.0</v>
      </c>
      <c r="AA471" s="3">
        <v>276.0</v>
      </c>
      <c r="AB471" s="3">
        <v>719.0</v>
      </c>
      <c r="AC471" s="3">
        <v>784.0</v>
      </c>
    </row>
    <row r="472">
      <c r="A472" s="3">
        <v>470.0</v>
      </c>
      <c r="B472" s="3" t="s">
        <v>2373</v>
      </c>
      <c r="C472" s="3">
        <v>549.0</v>
      </c>
      <c r="D472" s="3" t="s">
        <v>1756</v>
      </c>
      <c r="E472" s="3">
        <v>16.147314</v>
      </c>
      <c r="F472" s="3">
        <v>-91.768701</v>
      </c>
      <c r="G472" s="3">
        <v>40.0</v>
      </c>
      <c r="H472" s="3">
        <v>5.0</v>
      </c>
      <c r="I472" s="3" t="s">
        <v>92</v>
      </c>
      <c r="J472" s="3">
        <v>120.0</v>
      </c>
      <c r="K472" s="3">
        <v>122.0</v>
      </c>
      <c r="L472" s="3" t="s">
        <v>77</v>
      </c>
      <c r="M472" s="3">
        <v>3.0</v>
      </c>
      <c r="N472" s="3" t="s">
        <v>78</v>
      </c>
      <c r="O472" s="3" t="s">
        <v>2374</v>
      </c>
      <c r="P472" s="3" t="s">
        <v>2380</v>
      </c>
      <c r="Q472" s="3">
        <v>2.0</v>
      </c>
      <c r="R472" s="3">
        <v>553.0</v>
      </c>
      <c r="S472" s="3">
        <v>130.831169</v>
      </c>
      <c r="T472" s="3">
        <v>9.312385</v>
      </c>
      <c r="U472" s="3" t="s">
        <v>2376</v>
      </c>
      <c r="V472" s="3">
        <v>0.0</v>
      </c>
      <c r="W472" s="3">
        <v>2150.0</v>
      </c>
      <c r="X472" s="3">
        <v>7746.0</v>
      </c>
      <c r="Y472" s="3">
        <v>35.0</v>
      </c>
      <c r="Z472" s="3">
        <v>132.0</v>
      </c>
      <c r="AA472" s="3">
        <v>382.0</v>
      </c>
      <c r="AB472" s="3">
        <v>1038.0</v>
      </c>
      <c r="AC472" s="3">
        <v>1497.0</v>
      </c>
    </row>
    <row r="473">
      <c r="A473" s="3">
        <v>471.0</v>
      </c>
      <c r="B473" s="3" t="s">
        <v>2373</v>
      </c>
      <c r="C473" s="3">
        <v>551.0</v>
      </c>
      <c r="D473" s="3" t="s">
        <v>1761</v>
      </c>
      <c r="E473" s="3">
        <v>16.147314</v>
      </c>
      <c r="F473" s="3">
        <v>-91.768701</v>
      </c>
      <c r="G473" s="3">
        <v>40.0</v>
      </c>
      <c r="H473" s="3">
        <v>5.0</v>
      </c>
      <c r="I473" s="3" t="s">
        <v>92</v>
      </c>
      <c r="J473" s="3">
        <v>120.0</v>
      </c>
      <c r="K473" s="3">
        <v>122.0</v>
      </c>
      <c r="L473" s="3" t="s">
        <v>77</v>
      </c>
      <c r="M473" s="3">
        <v>3.0</v>
      </c>
      <c r="N473" s="3" t="s">
        <v>78</v>
      </c>
      <c r="O473" s="3" t="s">
        <v>2374</v>
      </c>
      <c r="P473" s="3" t="s">
        <v>2380</v>
      </c>
      <c r="Q473" s="3">
        <v>2.0</v>
      </c>
      <c r="R473" s="3">
        <v>553.0</v>
      </c>
      <c r="S473" s="3">
        <v>130.831169</v>
      </c>
      <c r="T473" s="3">
        <v>9.312385</v>
      </c>
      <c r="U473" s="3" t="s">
        <v>2376</v>
      </c>
      <c r="V473" s="3">
        <v>0.0</v>
      </c>
      <c r="W473" s="3">
        <v>2150.0</v>
      </c>
      <c r="X473" s="3">
        <v>7746.0</v>
      </c>
      <c r="Y473" s="3">
        <v>35.0</v>
      </c>
      <c r="Z473" s="3">
        <v>132.0</v>
      </c>
      <c r="AA473" s="3">
        <v>382.0</v>
      </c>
      <c r="AB473" s="3">
        <v>1038.0</v>
      </c>
      <c r="AC473" s="3">
        <v>1497.0</v>
      </c>
    </row>
    <row r="474">
      <c r="A474" s="3">
        <v>472.0</v>
      </c>
      <c r="B474" s="3" t="s">
        <v>2373</v>
      </c>
      <c r="C474" s="3">
        <v>616.0</v>
      </c>
      <c r="D474" s="3" t="s">
        <v>166</v>
      </c>
      <c r="E474" s="3">
        <v>16.147314</v>
      </c>
      <c r="F474" s="3">
        <v>-91.768701</v>
      </c>
      <c r="G474" s="3">
        <v>40.0</v>
      </c>
      <c r="H474" s="3">
        <v>5.0</v>
      </c>
      <c r="I474" s="3" t="s">
        <v>92</v>
      </c>
      <c r="J474" s="3">
        <v>120.0</v>
      </c>
      <c r="K474" s="3">
        <v>122.0</v>
      </c>
      <c r="L474" s="3" t="s">
        <v>77</v>
      </c>
      <c r="M474" s="3">
        <v>3.0</v>
      </c>
      <c r="N474" s="3" t="s">
        <v>78</v>
      </c>
      <c r="O474" s="3" t="s">
        <v>2374</v>
      </c>
      <c r="P474" s="3" t="s">
        <v>2380</v>
      </c>
      <c r="Q474" s="3">
        <v>2.0</v>
      </c>
      <c r="R474" s="3">
        <v>553.0</v>
      </c>
      <c r="S474" s="3">
        <v>130.831169</v>
      </c>
      <c r="T474" s="3">
        <v>9.312385</v>
      </c>
      <c r="U474" s="3" t="s">
        <v>2376</v>
      </c>
      <c r="V474" s="3">
        <v>0.0</v>
      </c>
      <c r="W474" s="3">
        <v>2150.0</v>
      </c>
      <c r="X474" s="3">
        <v>7746.0</v>
      </c>
      <c r="Y474" s="3">
        <v>35.0</v>
      </c>
      <c r="Z474" s="3">
        <v>132.0</v>
      </c>
      <c r="AA474" s="3">
        <v>382.0</v>
      </c>
      <c r="AB474" s="3">
        <v>1038.0</v>
      </c>
      <c r="AC474" s="3">
        <v>1497.0</v>
      </c>
    </row>
    <row r="475">
      <c r="A475" s="3">
        <v>473.0</v>
      </c>
      <c r="B475" s="3" t="s">
        <v>2373</v>
      </c>
      <c r="C475" s="3">
        <v>617.0</v>
      </c>
      <c r="D475" s="3" t="s">
        <v>175</v>
      </c>
      <c r="E475" s="3">
        <v>16.147314</v>
      </c>
      <c r="F475" s="3">
        <v>-91.768701</v>
      </c>
      <c r="G475" s="3">
        <v>40.0</v>
      </c>
      <c r="H475" s="3">
        <v>5.0</v>
      </c>
      <c r="I475" s="3" t="s">
        <v>92</v>
      </c>
      <c r="J475" s="3">
        <v>120.0</v>
      </c>
      <c r="K475" s="3">
        <v>122.0</v>
      </c>
      <c r="L475" s="3" t="s">
        <v>77</v>
      </c>
      <c r="M475" s="3">
        <v>3.0</v>
      </c>
      <c r="N475" s="3" t="s">
        <v>78</v>
      </c>
      <c r="O475" s="3" t="s">
        <v>2374</v>
      </c>
      <c r="P475" s="3" t="s">
        <v>2380</v>
      </c>
      <c r="Q475" s="3">
        <v>2.0</v>
      </c>
      <c r="R475" s="3">
        <v>553.0</v>
      </c>
      <c r="S475" s="3">
        <v>130.831169</v>
      </c>
      <c r="T475" s="3">
        <v>9.312385</v>
      </c>
      <c r="U475" s="3" t="s">
        <v>2376</v>
      </c>
      <c r="V475" s="3">
        <v>0.0</v>
      </c>
      <c r="W475" s="3">
        <v>2150.0</v>
      </c>
      <c r="X475" s="3">
        <v>7746.0</v>
      </c>
      <c r="Y475" s="3">
        <v>35.0</v>
      </c>
      <c r="Z475" s="3">
        <v>132.0</v>
      </c>
      <c r="AA475" s="3">
        <v>382.0</v>
      </c>
      <c r="AB475" s="3">
        <v>1038.0</v>
      </c>
      <c r="AC475" s="3">
        <v>1497.0</v>
      </c>
    </row>
    <row r="476">
      <c r="A476" s="3">
        <v>474.0</v>
      </c>
      <c r="B476" s="3" t="s">
        <v>2373</v>
      </c>
      <c r="C476" s="3">
        <v>550.0</v>
      </c>
      <c r="D476" s="3" t="s">
        <v>1757</v>
      </c>
      <c r="E476" s="3">
        <v>16.115819</v>
      </c>
      <c r="F476" s="3">
        <v>-91.726393</v>
      </c>
      <c r="G476" s="3">
        <v>42.0</v>
      </c>
      <c r="H476" s="3">
        <v>5.0</v>
      </c>
      <c r="I476" s="3" t="s">
        <v>92</v>
      </c>
      <c r="J476" s="3">
        <v>161.0</v>
      </c>
      <c r="K476" s="3">
        <v>163.0</v>
      </c>
      <c r="L476" s="3" t="s">
        <v>333</v>
      </c>
      <c r="M476" s="3">
        <v>1.0</v>
      </c>
      <c r="N476" s="3" t="s">
        <v>121</v>
      </c>
      <c r="O476" s="3" t="s">
        <v>2374</v>
      </c>
      <c r="P476" s="3" t="s">
        <v>2378</v>
      </c>
      <c r="Q476" s="3">
        <v>2.0</v>
      </c>
      <c r="R476" s="3">
        <v>452.0</v>
      </c>
      <c r="S476" s="3">
        <v>15.966272</v>
      </c>
      <c r="T476" s="3">
        <v>0.488343</v>
      </c>
      <c r="U476" s="3" t="s">
        <v>2376</v>
      </c>
      <c r="V476" s="3">
        <v>0.0</v>
      </c>
      <c r="W476" s="3">
        <v>2405.0</v>
      </c>
      <c r="X476" s="3">
        <v>7450.0</v>
      </c>
      <c r="Y476" s="3">
        <v>40.0</v>
      </c>
      <c r="Z476" s="3">
        <v>152.0</v>
      </c>
      <c r="AA476" s="3">
        <v>414.0</v>
      </c>
      <c r="AB476" s="3">
        <v>1144.0</v>
      </c>
      <c r="AC476" s="3">
        <v>1500.0</v>
      </c>
    </row>
    <row r="477">
      <c r="A477" s="3">
        <v>475.0</v>
      </c>
      <c r="B477" s="3" t="s">
        <v>2373</v>
      </c>
      <c r="C477" s="3">
        <v>552.0</v>
      </c>
      <c r="D477" s="3" t="s">
        <v>1768</v>
      </c>
      <c r="E477" s="3">
        <v>16.115819</v>
      </c>
      <c r="F477" s="3">
        <v>-91.726393</v>
      </c>
      <c r="G477" s="3">
        <v>42.0</v>
      </c>
      <c r="H477" s="3">
        <v>5.0</v>
      </c>
      <c r="I477" s="3" t="s">
        <v>92</v>
      </c>
      <c r="J477" s="3">
        <v>161.0</v>
      </c>
      <c r="K477" s="3">
        <v>163.0</v>
      </c>
      <c r="L477" s="3" t="s">
        <v>333</v>
      </c>
      <c r="M477" s="3">
        <v>1.0</v>
      </c>
      <c r="N477" s="3" t="s">
        <v>121</v>
      </c>
      <c r="O477" s="3" t="s">
        <v>2374</v>
      </c>
      <c r="P477" s="3" t="s">
        <v>2378</v>
      </c>
      <c r="Q477" s="3">
        <v>2.0</v>
      </c>
      <c r="R477" s="3">
        <v>452.0</v>
      </c>
      <c r="S477" s="3">
        <v>15.966272</v>
      </c>
      <c r="T477" s="3">
        <v>0.488343</v>
      </c>
      <c r="U477" s="3" t="s">
        <v>2376</v>
      </c>
      <c r="V477" s="3">
        <v>0.0</v>
      </c>
      <c r="W477" s="3">
        <v>2405.0</v>
      </c>
      <c r="X477" s="3">
        <v>7450.0</v>
      </c>
      <c r="Y477" s="3">
        <v>40.0</v>
      </c>
      <c r="Z477" s="3">
        <v>152.0</v>
      </c>
      <c r="AA477" s="3">
        <v>414.0</v>
      </c>
      <c r="AB477" s="3">
        <v>1144.0</v>
      </c>
      <c r="AC477" s="3">
        <v>1500.0</v>
      </c>
    </row>
    <row r="478">
      <c r="A478" s="3">
        <v>476.0</v>
      </c>
      <c r="B478" s="3" t="s">
        <v>2373</v>
      </c>
      <c r="C478" s="3">
        <v>614.0</v>
      </c>
      <c r="D478" s="3" t="s">
        <v>329</v>
      </c>
      <c r="E478" s="3">
        <v>16.097067</v>
      </c>
      <c r="F478" s="3">
        <v>-91.682166</v>
      </c>
      <c r="G478" s="3">
        <v>42.0</v>
      </c>
      <c r="H478" s="3">
        <v>5.0</v>
      </c>
      <c r="I478" s="3" t="s">
        <v>92</v>
      </c>
      <c r="J478" s="3">
        <v>161.0</v>
      </c>
      <c r="K478" s="3">
        <v>163.0</v>
      </c>
      <c r="L478" s="3" t="s">
        <v>333</v>
      </c>
      <c r="M478" s="3">
        <v>1.0</v>
      </c>
      <c r="N478" s="3" t="s">
        <v>121</v>
      </c>
      <c r="O478" s="3" t="s">
        <v>2374</v>
      </c>
      <c r="P478" s="3" t="s">
        <v>2378</v>
      </c>
      <c r="Q478" s="3">
        <v>2.0</v>
      </c>
      <c r="R478" s="3">
        <v>452.0</v>
      </c>
      <c r="S478" s="3">
        <v>15.966272</v>
      </c>
      <c r="T478" s="3">
        <v>0.488343</v>
      </c>
      <c r="U478" s="3" t="s">
        <v>2376</v>
      </c>
      <c r="V478" s="3">
        <v>0.0</v>
      </c>
      <c r="W478" s="3">
        <v>2679.0</v>
      </c>
      <c r="X478" s="3">
        <v>7104.0</v>
      </c>
      <c r="Y478" s="3">
        <v>50.0</v>
      </c>
      <c r="Z478" s="3">
        <v>184.0</v>
      </c>
      <c r="AA478" s="3">
        <v>443.0</v>
      </c>
      <c r="AB478" s="3">
        <v>1248.0</v>
      </c>
      <c r="AC478" s="3">
        <v>1582.0</v>
      </c>
    </row>
    <row r="479">
      <c r="A479" s="3">
        <v>477.0</v>
      </c>
      <c r="B479" s="3" t="s">
        <v>2373</v>
      </c>
      <c r="C479" s="3">
        <v>615.0</v>
      </c>
      <c r="D479" s="3" t="s">
        <v>334</v>
      </c>
      <c r="E479" s="3">
        <v>16.097067</v>
      </c>
      <c r="F479" s="3">
        <v>-91.682166</v>
      </c>
      <c r="G479" s="3">
        <v>42.0</v>
      </c>
      <c r="H479" s="3">
        <v>5.0</v>
      </c>
      <c r="I479" s="3" t="s">
        <v>92</v>
      </c>
      <c r="J479" s="3">
        <v>161.0</v>
      </c>
      <c r="K479" s="3">
        <v>163.0</v>
      </c>
      <c r="L479" s="3" t="s">
        <v>333</v>
      </c>
      <c r="M479" s="3">
        <v>1.0</v>
      </c>
      <c r="N479" s="3" t="s">
        <v>121</v>
      </c>
      <c r="O479" s="3" t="s">
        <v>2374</v>
      </c>
      <c r="P479" s="3" t="s">
        <v>2378</v>
      </c>
      <c r="Q479" s="3">
        <v>2.0</v>
      </c>
      <c r="R479" s="3">
        <v>452.0</v>
      </c>
      <c r="S479" s="3">
        <v>15.966272</v>
      </c>
      <c r="T479" s="3">
        <v>0.488343</v>
      </c>
      <c r="U479" s="3" t="s">
        <v>2376</v>
      </c>
      <c r="V479" s="3">
        <v>0.0</v>
      </c>
      <c r="W479" s="3">
        <v>2679.0</v>
      </c>
      <c r="X479" s="3">
        <v>7104.0</v>
      </c>
      <c r="Y479" s="3">
        <v>50.0</v>
      </c>
      <c r="Z479" s="3">
        <v>184.0</v>
      </c>
      <c r="AA479" s="3">
        <v>443.0</v>
      </c>
      <c r="AB479" s="3">
        <v>1248.0</v>
      </c>
      <c r="AC479" s="3">
        <v>1582.0</v>
      </c>
    </row>
    <row r="480">
      <c r="A480" s="3">
        <v>478.0</v>
      </c>
      <c r="B480" s="3" t="s">
        <v>2373</v>
      </c>
      <c r="C480" s="3">
        <v>118.0</v>
      </c>
      <c r="D480" s="3" t="s">
        <v>1374</v>
      </c>
      <c r="E480" s="3">
        <v>20.849071</v>
      </c>
      <c r="F480" s="3">
        <v>-86.878374</v>
      </c>
      <c r="G480" s="3">
        <v>44.0</v>
      </c>
      <c r="H480" s="3">
        <v>5.0</v>
      </c>
      <c r="I480" s="3" t="s">
        <v>92</v>
      </c>
      <c r="J480" s="3">
        <v>431.0</v>
      </c>
      <c r="K480" s="3">
        <v>436.0</v>
      </c>
      <c r="L480" s="3" t="s">
        <v>658</v>
      </c>
      <c r="M480" s="3">
        <v>14.0</v>
      </c>
      <c r="N480" s="3" t="s">
        <v>659</v>
      </c>
      <c r="O480" s="3" t="s">
        <v>2374</v>
      </c>
      <c r="P480" s="3" t="s">
        <v>2377</v>
      </c>
      <c r="Q480" s="3">
        <v>1.0</v>
      </c>
      <c r="R480" s="3">
        <v>613.0</v>
      </c>
      <c r="S480" s="3">
        <v>95.343925</v>
      </c>
      <c r="T480" s="3">
        <v>2.279907</v>
      </c>
      <c r="U480" s="3" t="s">
        <v>2376</v>
      </c>
      <c r="V480" s="3">
        <v>0.0</v>
      </c>
      <c r="W480" s="3">
        <v>1267.0</v>
      </c>
      <c r="X480" s="3">
        <v>4890.0</v>
      </c>
      <c r="Y480" s="3">
        <v>40.0</v>
      </c>
      <c r="Z480" s="3">
        <v>141.0</v>
      </c>
      <c r="AA480" s="3">
        <v>195.0</v>
      </c>
      <c r="AB480" s="3">
        <v>517.0</v>
      </c>
      <c r="AC480" s="3">
        <v>1.0</v>
      </c>
    </row>
    <row r="481">
      <c r="A481" s="3">
        <v>479.0</v>
      </c>
      <c r="B481" s="3" t="s">
        <v>2373</v>
      </c>
      <c r="C481" s="3">
        <v>351.0</v>
      </c>
      <c r="D481" s="3" t="s">
        <v>1776</v>
      </c>
      <c r="E481" s="3">
        <v>21.579444</v>
      </c>
      <c r="F481" s="3">
        <v>-88.072222</v>
      </c>
      <c r="G481" s="3">
        <v>44.0</v>
      </c>
      <c r="H481" s="3">
        <v>5.0</v>
      </c>
      <c r="I481" s="3" t="s">
        <v>92</v>
      </c>
      <c r="J481" s="3">
        <v>431.0</v>
      </c>
      <c r="K481" s="3">
        <v>436.0</v>
      </c>
      <c r="L481" s="3" t="s">
        <v>658</v>
      </c>
      <c r="M481" s="3">
        <v>14.0</v>
      </c>
      <c r="N481" s="3" t="s">
        <v>659</v>
      </c>
      <c r="O481" s="3" t="s">
        <v>2374</v>
      </c>
      <c r="P481" s="3" t="s">
        <v>2377</v>
      </c>
      <c r="Q481" s="3">
        <v>1.0</v>
      </c>
      <c r="R481" s="3">
        <v>613.0</v>
      </c>
      <c r="S481" s="3">
        <v>95.343925</v>
      </c>
      <c r="T481" s="3">
        <v>2.279907</v>
      </c>
      <c r="U481" s="3" t="s">
        <v>2376</v>
      </c>
      <c r="V481" s="3">
        <v>0.0</v>
      </c>
      <c r="W481" s="3">
        <v>755.0</v>
      </c>
      <c r="X481" s="3">
        <v>5510.0</v>
      </c>
      <c r="Y481" s="3">
        <v>20.0</v>
      </c>
      <c r="Z481" s="3">
        <v>75.0</v>
      </c>
      <c r="AA481" s="3">
        <v>128.0</v>
      </c>
      <c r="AB481" s="3">
        <v>314.0</v>
      </c>
      <c r="AC481" s="3">
        <v>1.0</v>
      </c>
    </row>
    <row r="482">
      <c r="A482" s="3">
        <v>480.0</v>
      </c>
      <c r="B482" s="3" t="s">
        <v>2373</v>
      </c>
      <c r="C482" s="3">
        <v>352.0</v>
      </c>
      <c r="D482" s="3" t="s">
        <v>1779</v>
      </c>
      <c r="E482" s="3">
        <v>21.579444</v>
      </c>
      <c r="F482" s="3">
        <v>-88.072222</v>
      </c>
      <c r="G482" s="3">
        <v>44.0</v>
      </c>
      <c r="H482" s="3">
        <v>5.0</v>
      </c>
      <c r="I482" s="3" t="s">
        <v>92</v>
      </c>
      <c r="J482" s="3">
        <v>431.0</v>
      </c>
      <c r="K482" s="3">
        <v>436.0</v>
      </c>
      <c r="L482" s="3" t="s">
        <v>658</v>
      </c>
      <c r="M482" s="3">
        <v>14.0</v>
      </c>
      <c r="N482" s="3" t="s">
        <v>659</v>
      </c>
      <c r="O482" s="3" t="s">
        <v>2374</v>
      </c>
      <c r="P482" s="3" t="s">
        <v>2377</v>
      </c>
      <c r="Q482" s="3">
        <v>1.0</v>
      </c>
      <c r="R482" s="3">
        <v>613.0</v>
      </c>
      <c r="S482" s="3">
        <v>95.343925</v>
      </c>
      <c r="T482" s="3">
        <v>2.279907</v>
      </c>
      <c r="U482" s="3" t="s">
        <v>2376</v>
      </c>
      <c r="V482" s="3">
        <v>0.0</v>
      </c>
      <c r="W482" s="3">
        <v>755.0</v>
      </c>
      <c r="X482" s="3">
        <v>5510.0</v>
      </c>
      <c r="Y482" s="3">
        <v>20.0</v>
      </c>
      <c r="Z482" s="3">
        <v>75.0</v>
      </c>
      <c r="AA482" s="3">
        <v>128.0</v>
      </c>
      <c r="AB482" s="3">
        <v>314.0</v>
      </c>
      <c r="AC482" s="3">
        <v>1.0</v>
      </c>
    </row>
    <row r="483">
      <c r="A483" s="3">
        <v>481.0</v>
      </c>
      <c r="B483" s="3" t="s">
        <v>2373</v>
      </c>
      <c r="C483" s="3">
        <v>360.0</v>
      </c>
      <c r="D483" s="3" t="s">
        <v>1807</v>
      </c>
      <c r="E483" s="3">
        <v>20.13125</v>
      </c>
      <c r="F483" s="3">
        <v>-90.454556</v>
      </c>
      <c r="G483" s="3">
        <v>44.0</v>
      </c>
      <c r="H483" s="3">
        <v>5.0</v>
      </c>
      <c r="I483" s="3" t="s">
        <v>92</v>
      </c>
      <c r="J483" s="3">
        <v>431.0</v>
      </c>
      <c r="K483" s="3">
        <v>436.0</v>
      </c>
      <c r="L483" s="3" t="s">
        <v>658</v>
      </c>
      <c r="M483" s="3">
        <v>14.0</v>
      </c>
      <c r="N483" s="3" t="s">
        <v>659</v>
      </c>
      <c r="O483" s="3" t="s">
        <v>2374</v>
      </c>
      <c r="P483" s="3" t="s">
        <v>2377</v>
      </c>
      <c r="Q483" s="3">
        <v>1.0</v>
      </c>
      <c r="R483" s="3">
        <v>613.0</v>
      </c>
      <c r="S483" s="3">
        <v>95.343925</v>
      </c>
      <c r="T483" s="3">
        <v>2.279907</v>
      </c>
      <c r="U483" s="3" t="s">
        <v>2376</v>
      </c>
      <c r="V483" s="3">
        <v>0.0</v>
      </c>
      <c r="W483" s="3">
        <v>1050.0</v>
      </c>
      <c r="X483" s="3">
        <v>8249.0</v>
      </c>
      <c r="Y483" s="3">
        <v>15.0</v>
      </c>
      <c r="Z483" s="3">
        <v>50.0</v>
      </c>
      <c r="AA483" s="3">
        <v>206.0</v>
      </c>
      <c r="AB483" s="3">
        <v>546.0</v>
      </c>
      <c r="AC483" s="3">
        <v>1.0</v>
      </c>
    </row>
    <row r="484">
      <c r="A484" s="3">
        <v>482.0</v>
      </c>
      <c r="B484" s="3" t="s">
        <v>2373</v>
      </c>
      <c r="C484" s="3">
        <v>361.0</v>
      </c>
      <c r="D484" s="3" t="s">
        <v>1811</v>
      </c>
      <c r="E484" s="3">
        <v>20.13125</v>
      </c>
      <c r="F484" s="3">
        <v>-90.454556</v>
      </c>
      <c r="G484" s="3">
        <v>44.0</v>
      </c>
      <c r="H484" s="3">
        <v>5.0</v>
      </c>
      <c r="I484" s="3" t="s">
        <v>92</v>
      </c>
      <c r="J484" s="3">
        <v>431.0</v>
      </c>
      <c r="K484" s="3">
        <v>436.0</v>
      </c>
      <c r="L484" s="3" t="s">
        <v>658</v>
      </c>
      <c r="M484" s="3">
        <v>14.0</v>
      </c>
      <c r="N484" s="3" t="s">
        <v>659</v>
      </c>
      <c r="O484" s="3" t="s">
        <v>2374</v>
      </c>
      <c r="P484" s="3" t="s">
        <v>2377</v>
      </c>
      <c r="Q484" s="3">
        <v>1.0</v>
      </c>
      <c r="R484" s="3">
        <v>613.0</v>
      </c>
      <c r="S484" s="3">
        <v>95.343925</v>
      </c>
      <c r="T484" s="3">
        <v>2.279907</v>
      </c>
      <c r="U484" s="3" t="s">
        <v>2376</v>
      </c>
      <c r="V484" s="3">
        <v>0.0</v>
      </c>
      <c r="W484" s="3">
        <v>1050.0</v>
      </c>
      <c r="X484" s="3">
        <v>8249.0</v>
      </c>
      <c r="Y484" s="3">
        <v>15.0</v>
      </c>
      <c r="Z484" s="3">
        <v>50.0</v>
      </c>
      <c r="AA484" s="3">
        <v>206.0</v>
      </c>
      <c r="AB484" s="3">
        <v>546.0</v>
      </c>
      <c r="AC484" s="3">
        <v>1.0</v>
      </c>
    </row>
    <row r="485">
      <c r="A485" s="3">
        <v>483.0</v>
      </c>
      <c r="B485" s="3" t="s">
        <v>2373</v>
      </c>
      <c r="C485" s="3">
        <v>362.0</v>
      </c>
      <c r="D485" s="3" t="s">
        <v>1812</v>
      </c>
      <c r="E485" s="3">
        <v>20.13125</v>
      </c>
      <c r="F485" s="3">
        <v>-90.454556</v>
      </c>
      <c r="G485" s="3">
        <v>44.0</v>
      </c>
      <c r="H485" s="3">
        <v>5.0</v>
      </c>
      <c r="I485" s="3" t="s">
        <v>92</v>
      </c>
      <c r="J485" s="3">
        <v>431.0</v>
      </c>
      <c r="K485" s="3">
        <v>436.0</v>
      </c>
      <c r="L485" s="3" t="s">
        <v>658</v>
      </c>
      <c r="M485" s="3">
        <v>14.0</v>
      </c>
      <c r="N485" s="3" t="s">
        <v>659</v>
      </c>
      <c r="O485" s="3" t="s">
        <v>2374</v>
      </c>
      <c r="P485" s="3" t="s">
        <v>2377</v>
      </c>
      <c r="Q485" s="3">
        <v>1.0</v>
      </c>
      <c r="R485" s="3">
        <v>613.0</v>
      </c>
      <c r="S485" s="3">
        <v>95.343925</v>
      </c>
      <c r="T485" s="3">
        <v>2.279907</v>
      </c>
      <c r="U485" s="3" t="s">
        <v>2376</v>
      </c>
      <c r="V485" s="3">
        <v>0.0</v>
      </c>
      <c r="W485" s="3">
        <v>1050.0</v>
      </c>
      <c r="X485" s="3">
        <v>8249.0</v>
      </c>
      <c r="Y485" s="3">
        <v>15.0</v>
      </c>
      <c r="Z485" s="3">
        <v>50.0</v>
      </c>
      <c r="AA485" s="3">
        <v>206.0</v>
      </c>
      <c r="AB485" s="3">
        <v>546.0</v>
      </c>
      <c r="AC485" s="3">
        <v>1.0</v>
      </c>
    </row>
    <row r="486">
      <c r="A486" s="3">
        <v>484.0</v>
      </c>
      <c r="B486" s="3" t="s">
        <v>2373</v>
      </c>
      <c r="C486" s="3">
        <v>363.0</v>
      </c>
      <c r="D486" s="3" t="s">
        <v>1813</v>
      </c>
      <c r="E486" s="3">
        <v>20.13125</v>
      </c>
      <c r="F486" s="3">
        <v>-90.454556</v>
      </c>
      <c r="G486" s="3">
        <v>44.0</v>
      </c>
      <c r="H486" s="3">
        <v>5.0</v>
      </c>
      <c r="I486" s="3" t="s">
        <v>92</v>
      </c>
      <c r="J486" s="3">
        <v>431.0</v>
      </c>
      <c r="K486" s="3">
        <v>436.0</v>
      </c>
      <c r="L486" s="3" t="s">
        <v>658</v>
      </c>
      <c r="M486" s="3">
        <v>14.0</v>
      </c>
      <c r="N486" s="3" t="s">
        <v>659</v>
      </c>
      <c r="O486" s="3" t="s">
        <v>2374</v>
      </c>
      <c r="P486" s="3" t="s">
        <v>2377</v>
      </c>
      <c r="Q486" s="3">
        <v>1.0</v>
      </c>
      <c r="R486" s="3">
        <v>613.0</v>
      </c>
      <c r="S486" s="3">
        <v>95.343925</v>
      </c>
      <c r="T486" s="3">
        <v>2.279907</v>
      </c>
      <c r="U486" s="3" t="s">
        <v>2376</v>
      </c>
      <c r="V486" s="3">
        <v>0.0</v>
      </c>
      <c r="W486" s="3">
        <v>1050.0</v>
      </c>
      <c r="X486" s="3">
        <v>8249.0</v>
      </c>
      <c r="Y486" s="3">
        <v>15.0</v>
      </c>
      <c r="Z486" s="3">
        <v>50.0</v>
      </c>
      <c r="AA486" s="3">
        <v>206.0</v>
      </c>
      <c r="AB486" s="3">
        <v>546.0</v>
      </c>
      <c r="AC486" s="3">
        <v>1.0</v>
      </c>
    </row>
    <row r="487">
      <c r="A487" s="3">
        <v>485.0</v>
      </c>
      <c r="B487" s="3" t="s">
        <v>2373</v>
      </c>
      <c r="C487" s="3">
        <v>533.0</v>
      </c>
      <c r="D487" s="3" t="s">
        <v>1087</v>
      </c>
      <c r="E487" s="3">
        <v>20.38821</v>
      </c>
      <c r="F487" s="3">
        <v>-90.428587</v>
      </c>
      <c r="G487" s="3">
        <v>44.0</v>
      </c>
      <c r="H487" s="3">
        <v>5.0</v>
      </c>
      <c r="I487" s="3" t="s">
        <v>92</v>
      </c>
      <c r="J487" s="3">
        <v>431.0</v>
      </c>
      <c r="K487" s="3">
        <v>436.0</v>
      </c>
      <c r="L487" s="3" t="s">
        <v>658</v>
      </c>
      <c r="M487" s="3">
        <v>14.0</v>
      </c>
      <c r="N487" s="3" t="s">
        <v>659</v>
      </c>
      <c r="O487" s="3" t="s">
        <v>2374</v>
      </c>
      <c r="P487" s="3" t="s">
        <v>2377</v>
      </c>
      <c r="Q487" s="3">
        <v>1.0</v>
      </c>
      <c r="R487" s="3">
        <v>613.0</v>
      </c>
      <c r="S487" s="3">
        <v>95.343925</v>
      </c>
      <c r="T487" s="3">
        <v>2.279907</v>
      </c>
      <c r="U487" s="3" t="s">
        <v>2376</v>
      </c>
      <c r="V487" s="3">
        <v>0.0</v>
      </c>
      <c r="W487" s="3">
        <v>926.0</v>
      </c>
      <c r="X487" s="3">
        <v>8239.0</v>
      </c>
      <c r="Y487" s="3">
        <v>12.0</v>
      </c>
      <c r="Z487" s="3">
        <v>42.0</v>
      </c>
      <c r="AA487" s="3">
        <v>176.0</v>
      </c>
      <c r="AB487" s="3">
        <v>479.0</v>
      </c>
      <c r="AC487" s="3">
        <v>4.0</v>
      </c>
    </row>
    <row r="488">
      <c r="A488" s="3">
        <v>486.0</v>
      </c>
      <c r="B488" s="3" t="s">
        <v>2373</v>
      </c>
      <c r="C488" s="3">
        <v>534.0</v>
      </c>
      <c r="D488" s="3" t="s">
        <v>1090</v>
      </c>
      <c r="E488" s="3">
        <v>20.38821</v>
      </c>
      <c r="F488" s="3">
        <v>-90.428587</v>
      </c>
      <c r="G488" s="3">
        <v>44.0</v>
      </c>
      <c r="H488" s="3">
        <v>5.0</v>
      </c>
      <c r="I488" s="3" t="s">
        <v>92</v>
      </c>
      <c r="J488" s="3">
        <v>431.0</v>
      </c>
      <c r="K488" s="3">
        <v>436.0</v>
      </c>
      <c r="L488" s="3" t="s">
        <v>658</v>
      </c>
      <c r="M488" s="3">
        <v>14.0</v>
      </c>
      <c r="N488" s="3" t="s">
        <v>659</v>
      </c>
      <c r="O488" s="3" t="s">
        <v>2374</v>
      </c>
      <c r="P488" s="3" t="s">
        <v>2377</v>
      </c>
      <c r="Q488" s="3">
        <v>1.0</v>
      </c>
      <c r="R488" s="3">
        <v>613.0</v>
      </c>
      <c r="S488" s="3">
        <v>95.343925</v>
      </c>
      <c r="T488" s="3">
        <v>2.279907</v>
      </c>
      <c r="U488" s="3" t="s">
        <v>2376</v>
      </c>
      <c r="V488" s="3">
        <v>0.0</v>
      </c>
      <c r="W488" s="3">
        <v>926.0</v>
      </c>
      <c r="X488" s="3">
        <v>8239.0</v>
      </c>
      <c r="Y488" s="3">
        <v>12.0</v>
      </c>
      <c r="Z488" s="3">
        <v>42.0</v>
      </c>
      <c r="AA488" s="3">
        <v>176.0</v>
      </c>
      <c r="AB488" s="3">
        <v>479.0</v>
      </c>
      <c r="AC488" s="3">
        <v>4.0</v>
      </c>
    </row>
    <row r="489">
      <c r="A489" s="3">
        <v>487.0</v>
      </c>
      <c r="B489" s="3" t="s">
        <v>2373</v>
      </c>
      <c r="C489" s="3">
        <v>535.0</v>
      </c>
      <c r="D489" s="3" t="s">
        <v>1091</v>
      </c>
      <c r="E489" s="3">
        <v>20.38821</v>
      </c>
      <c r="F489" s="3">
        <v>-90.428587</v>
      </c>
      <c r="G489" s="3">
        <v>44.0</v>
      </c>
      <c r="H489" s="3">
        <v>5.0</v>
      </c>
      <c r="I489" s="3" t="s">
        <v>92</v>
      </c>
      <c r="J489" s="3">
        <v>431.0</v>
      </c>
      <c r="K489" s="3">
        <v>436.0</v>
      </c>
      <c r="L489" s="3" t="s">
        <v>658</v>
      </c>
      <c r="M489" s="3">
        <v>14.0</v>
      </c>
      <c r="N489" s="3" t="s">
        <v>659</v>
      </c>
      <c r="O489" s="3" t="s">
        <v>2374</v>
      </c>
      <c r="P489" s="3" t="s">
        <v>2377</v>
      </c>
      <c r="Q489" s="3">
        <v>1.0</v>
      </c>
      <c r="R489" s="3">
        <v>613.0</v>
      </c>
      <c r="S489" s="3">
        <v>95.343925</v>
      </c>
      <c r="T489" s="3">
        <v>2.279907</v>
      </c>
      <c r="U489" s="3" t="s">
        <v>2376</v>
      </c>
      <c r="V489" s="3">
        <v>0.0</v>
      </c>
      <c r="W489" s="3">
        <v>926.0</v>
      </c>
      <c r="X489" s="3">
        <v>8239.0</v>
      </c>
      <c r="Y489" s="3">
        <v>12.0</v>
      </c>
      <c r="Z489" s="3">
        <v>42.0</v>
      </c>
      <c r="AA489" s="3">
        <v>176.0</v>
      </c>
      <c r="AB489" s="3">
        <v>479.0</v>
      </c>
      <c r="AC489" s="3">
        <v>4.0</v>
      </c>
    </row>
    <row r="490">
      <c r="A490" s="3">
        <v>488.0</v>
      </c>
      <c r="B490" s="3" t="s">
        <v>2373</v>
      </c>
      <c r="C490" s="3">
        <v>543.0</v>
      </c>
      <c r="D490" s="3" t="s">
        <v>1995</v>
      </c>
      <c r="E490" s="3">
        <v>18.495674</v>
      </c>
      <c r="F490" s="3">
        <v>-88.400921</v>
      </c>
      <c r="G490" s="3">
        <v>44.0</v>
      </c>
      <c r="H490" s="3">
        <v>5.0</v>
      </c>
      <c r="I490" s="3" t="s">
        <v>92</v>
      </c>
      <c r="J490" s="3">
        <v>431.0</v>
      </c>
      <c r="K490" s="3">
        <v>436.0</v>
      </c>
      <c r="L490" s="3" t="s">
        <v>658</v>
      </c>
      <c r="M490" s="3">
        <v>14.0</v>
      </c>
      <c r="N490" s="3" t="s">
        <v>659</v>
      </c>
      <c r="O490" s="3" t="s">
        <v>2374</v>
      </c>
      <c r="P490" s="3" t="s">
        <v>2377</v>
      </c>
      <c r="Q490" s="3">
        <v>1.0</v>
      </c>
      <c r="R490" s="3">
        <v>613.0</v>
      </c>
      <c r="S490" s="3">
        <v>95.343925</v>
      </c>
      <c r="T490" s="3">
        <v>2.279907</v>
      </c>
      <c r="U490" s="3" t="s">
        <v>2376</v>
      </c>
      <c r="V490" s="3">
        <v>0.0</v>
      </c>
      <c r="W490" s="3">
        <v>1203.0</v>
      </c>
      <c r="X490" s="3">
        <v>5915.0</v>
      </c>
      <c r="Y490" s="3">
        <v>23.0</v>
      </c>
      <c r="Z490" s="3">
        <v>92.0</v>
      </c>
      <c r="AA490" s="3">
        <v>189.0</v>
      </c>
      <c r="AB490" s="3">
        <v>481.0</v>
      </c>
      <c r="AC490" s="3">
        <v>5.0</v>
      </c>
    </row>
    <row r="491">
      <c r="A491" s="3">
        <v>489.0</v>
      </c>
      <c r="B491" s="3" t="s">
        <v>2373</v>
      </c>
      <c r="C491" s="3">
        <v>544.0</v>
      </c>
      <c r="D491" s="3" t="s">
        <v>1335</v>
      </c>
      <c r="E491" s="3">
        <v>18.495674</v>
      </c>
      <c r="F491" s="3">
        <v>-88.400921</v>
      </c>
      <c r="G491" s="3">
        <v>44.0</v>
      </c>
      <c r="H491" s="3">
        <v>5.0</v>
      </c>
      <c r="I491" s="3" t="s">
        <v>92</v>
      </c>
      <c r="J491" s="3">
        <v>431.0</v>
      </c>
      <c r="K491" s="3">
        <v>436.0</v>
      </c>
      <c r="L491" s="3" t="s">
        <v>658</v>
      </c>
      <c r="M491" s="3">
        <v>14.0</v>
      </c>
      <c r="N491" s="3" t="s">
        <v>659</v>
      </c>
      <c r="O491" s="3" t="s">
        <v>2374</v>
      </c>
      <c r="P491" s="3" t="s">
        <v>2377</v>
      </c>
      <c r="Q491" s="3">
        <v>1.0</v>
      </c>
      <c r="R491" s="3">
        <v>613.0</v>
      </c>
      <c r="S491" s="3">
        <v>95.343925</v>
      </c>
      <c r="T491" s="3">
        <v>2.279907</v>
      </c>
      <c r="U491" s="3" t="s">
        <v>2376</v>
      </c>
      <c r="V491" s="3">
        <v>0.0</v>
      </c>
      <c r="W491" s="3">
        <v>1203.0</v>
      </c>
      <c r="X491" s="3">
        <v>5915.0</v>
      </c>
      <c r="Y491" s="3">
        <v>23.0</v>
      </c>
      <c r="Z491" s="3">
        <v>92.0</v>
      </c>
      <c r="AA491" s="3">
        <v>189.0</v>
      </c>
      <c r="AB491" s="3">
        <v>481.0</v>
      </c>
      <c r="AC491" s="3">
        <v>5.0</v>
      </c>
    </row>
    <row r="492">
      <c r="A492" s="3">
        <v>490.0</v>
      </c>
      <c r="B492" s="3" t="s">
        <v>2373</v>
      </c>
      <c r="C492" s="3">
        <v>545.0</v>
      </c>
      <c r="D492" s="3" t="s">
        <v>1341</v>
      </c>
      <c r="E492" s="3">
        <v>18.495674</v>
      </c>
      <c r="F492" s="3">
        <v>-88.400921</v>
      </c>
      <c r="G492" s="3">
        <v>44.0</v>
      </c>
      <c r="H492" s="3">
        <v>5.0</v>
      </c>
      <c r="I492" s="3" t="s">
        <v>92</v>
      </c>
      <c r="J492" s="3">
        <v>431.0</v>
      </c>
      <c r="K492" s="3">
        <v>436.0</v>
      </c>
      <c r="L492" s="3" t="s">
        <v>658</v>
      </c>
      <c r="M492" s="3">
        <v>14.0</v>
      </c>
      <c r="N492" s="3" t="s">
        <v>659</v>
      </c>
      <c r="O492" s="3" t="s">
        <v>2374</v>
      </c>
      <c r="P492" s="3" t="s">
        <v>2377</v>
      </c>
      <c r="Q492" s="3">
        <v>1.0</v>
      </c>
      <c r="R492" s="3">
        <v>613.0</v>
      </c>
      <c r="S492" s="3">
        <v>95.343925</v>
      </c>
      <c r="T492" s="3">
        <v>2.279907</v>
      </c>
      <c r="U492" s="3" t="s">
        <v>2376</v>
      </c>
      <c r="V492" s="3">
        <v>0.0</v>
      </c>
      <c r="W492" s="3">
        <v>1203.0</v>
      </c>
      <c r="X492" s="3">
        <v>5915.0</v>
      </c>
      <c r="Y492" s="3">
        <v>23.0</v>
      </c>
      <c r="Z492" s="3">
        <v>92.0</v>
      </c>
      <c r="AA492" s="3">
        <v>189.0</v>
      </c>
      <c r="AB492" s="3">
        <v>481.0</v>
      </c>
      <c r="AC492" s="3">
        <v>5.0</v>
      </c>
    </row>
    <row r="493">
      <c r="A493" s="3">
        <v>491.0</v>
      </c>
      <c r="B493" s="3" t="s">
        <v>2373</v>
      </c>
      <c r="C493" s="3">
        <v>555.0</v>
      </c>
      <c r="D493" s="3" t="s">
        <v>1867</v>
      </c>
      <c r="E493" s="3">
        <v>19.613729</v>
      </c>
      <c r="F493" s="3">
        <v>-87.45764</v>
      </c>
      <c r="G493" s="3">
        <v>44.0</v>
      </c>
      <c r="H493" s="3">
        <v>5.0</v>
      </c>
      <c r="I493" s="3" t="s">
        <v>92</v>
      </c>
      <c r="J493" s="3">
        <v>431.0</v>
      </c>
      <c r="K493" s="3">
        <v>436.0</v>
      </c>
      <c r="L493" s="3" t="s">
        <v>658</v>
      </c>
      <c r="M493" s="3">
        <v>14.0</v>
      </c>
      <c r="N493" s="3" t="s">
        <v>659</v>
      </c>
      <c r="O493" s="3" t="s">
        <v>2374</v>
      </c>
      <c r="P493" s="3" t="s">
        <v>2377</v>
      </c>
      <c r="Q493" s="3">
        <v>1.0</v>
      </c>
      <c r="R493" s="3">
        <v>613.0</v>
      </c>
      <c r="S493" s="3">
        <v>95.343925</v>
      </c>
      <c r="T493" s="3">
        <v>2.279907</v>
      </c>
      <c r="U493" s="3" t="s">
        <v>2376</v>
      </c>
      <c r="V493" s="3">
        <v>0.014064</v>
      </c>
      <c r="W493" s="3">
        <v>1316.0</v>
      </c>
      <c r="X493" s="3">
        <v>5276.0</v>
      </c>
      <c r="Y493" s="3">
        <v>35.0</v>
      </c>
      <c r="Z493" s="3">
        <v>131.0</v>
      </c>
      <c r="AA493" s="3">
        <v>208.0</v>
      </c>
      <c r="AB493" s="3">
        <v>538.0</v>
      </c>
      <c r="AC493" s="3">
        <v>1.0</v>
      </c>
    </row>
    <row r="494">
      <c r="A494" s="3">
        <v>492.0</v>
      </c>
      <c r="B494" s="3" t="s">
        <v>2373</v>
      </c>
      <c r="C494" s="3">
        <v>556.0</v>
      </c>
      <c r="D494" s="3" t="s">
        <v>1869</v>
      </c>
      <c r="E494" s="3">
        <v>19.703751</v>
      </c>
      <c r="F494" s="3">
        <v>-87.484473</v>
      </c>
      <c r="G494" s="3">
        <v>44.0</v>
      </c>
      <c r="H494" s="3">
        <v>5.0</v>
      </c>
      <c r="I494" s="3" t="s">
        <v>92</v>
      </c>
      <c r="J494" s="3">
        <v>431.0</v>
      </c>
      <c r="K494" s="3">
        <v>436.0</v>
      </c>
      <c r="L494" s="3" t="s">
        <v>658</v>
      </c>
      <c r="M494" s="3">
        <v>14.0</v>
      </c>
      <c r="N494" s="3" t="s">
        <v>659</v>
      </c>
      <c r="O494" s="3" t="s">
        <v>2374</v>
      </c>
      <c r="P494" s="3" t="s">
        <v>2377</v>
      </c>
      <c r="Q494" s="3">
        <v>1.0</v>
      </c>
      <c r="R494" s="3">
        <v>613.0</v>
      </c>
      <c r="S494" s="3">
        <v>95.343925</v>
      </c>
      <c r="T494" s="3">
        <v>2.279907</v>
      </c>
      <c r="U494" s="3" t="s">
        <v>2376</v>
      </c>
      <c r="V494" s="3">
        <v>0.079659</v>
      </c>
      <c r="W494" s="3">
        <v>1289.0</v>
      </c>
      <c r="X494" s="3">
        <v>5381.0</v>
      </c>
      <c r="Y494" s="3">
        <v>35.0</v>
      </c>
      <c r="Z494" s="3">
        <v>128.0</v>
      </c>
      <c r="AA494" s="3">
        <v>205.0</v>
      </c>
      <c r="AB494" s="3">
        <v>534.0</v>
      </c>
      <c r="AC494" s="3">
        <v>1.0</v>
      </c>
    </row>
    <row r="495">
      <c r="A495" s="3">
        <v>493.0</v>
      </c>
      <c r="B495" s="3" t="s">
        <v>2373</v>
      </c>
      <c r="C495" s="3">
        <v>229.0</v>
      </c>
      <c r="D495" s="3" t="s">
        <v>1392</v>
      </c>
      <c r="E495" s="3">
        <v>18.332135</v>
      </c>
      <c r="F495" s="3">
        <v>-93.30773</v>
      </c>
      <c r="G495" s="3">
        <v>45.0</v>
      </c>
      <c r="H495" s="3">
        <v>5.0</v>
      </c>
      <c r="I495" s="3" t="s">
        <v>92</v>
      </c>
      <c r="J495" s="3">
        <v>551.0</v>
      </c>
      <c r="K495" s="3">
        <v>556.0</v>
      </c>
      <c r="L495" s="3" t="s">
        <v>1401</v>
      </c>
      <c r="M495" s="3">
        <v>1.0</v>
      </c>
      <c r="N495" s="3" t="s">
        <v>121</v>
      </c>
      <c r="O495" s="3" t="s">
        <v>2374</v>
      </c>
      <c r="P495" s="3" t="s">
        <v>2378</v>
      </c>
      <c r="Q495" s="3">
        <v>3.0</v>
      </c>
      <c r="R495" s="3">
        <v>489.0</v>
      </c>
      <c r="S495" s="3">
        <v>8.879024</v>
      </c>
      <c r="T495" s="3">
        <v>1.464108</v>
      </c>
      <c r="U495" s="3" t="s">
        <v>2376</v>
      </c>
      <c r="V495" s="3">
        <v>0.0</v>
      </c>
      <c r="W495" s="3">
        <v>1823.0</v>
      </c>
      <c r="X495" s="3">
        <v>5987.0</v>
      </c>
      <c r="Y495" s="3">
        <v>42.0</v>
      </c>
      <c r="Z495" s="3">
        <v>144.0</v>
      </c>
      <c r="AA495" s="3">
        <v>344.0</v>
      </c>
      <c r="AB495" s="3">
        <v>822.0</v>
      </c>
      <c r="AC495" s="3">
        <v>5.0</v>
      </c>
    </row>
    <row r="496">
      <c r="A496" s="3">
        <v>494.0</v>
      </c>
      <c r="B496" s="3" t="s">
        <v>2373</v>
      </c>
      <c r="C496" s="3">
        <v>430.0</v>
      </c>
      <c r="D496" s="3" t="s">
        <v>1452</v>
      </c>
      <c r="E496" s="3">
        <v>17.718838</v>
      </c>
      <c r="F496" s="3">
        <v>-91.695387</v>
      </c>
      <c r="G496" s="3">
        <v>45.0</v>
      </c>
      <c r="H496" s="3">
        <v>5.0</v>
      </c>
      <c r="I496" s="3" t="s">
        <v>92</v>
      </c>
      <c r="J496" s="3">
        <v>551.0</v>
      </c>
      <c r="K496" s="3">
        <v>556.0</v>
      </c>
      <c r="L496" s="3" t="s">
        <v>1401</v>
      </c>
      <c r="M496" s="3">
        <v>1.0</v>
      </c>
      <c r="N496" s="3" t="s">
        <v>121</v>
      </c>
      <c r="O496" s="3" t="s">
        <v>2374</v>
      </c>
      <c r="P496" s="3" t="s">
        <v>2378</v>
      </c>
      <c r="Q496" s="3">
        <v>3.0</v>
      </c>
      <c r="R496" s="3">
        <v>489.0</v>
      </c>
      <c r="S496" s="3">
        <v>8.879024</v>
      </c>
      <c r="T496" s="3">
        <v>1.464108</v>
      </c>
      <c r="U496" s="3" t="s">
        <v>2376</v>
      </c>
      <c r="V496" s="3">
        <v>0.0</v>
      </c>
      <c r="W496" s="3">
        <v>2096.0</v>
      </c>
      <c r="X496" s="3">
        <v>5426.0</v>
      </c>
      <c r="Y496" s="3">
        <v>57.0</v>
      </c>
      <c r="Z496" s="3">
        <v>205.0</v>
      </c>
      <c r="AA496" s="3">
        <v>339.0</v>
      </c>
      <c r="AB496" s="3">
        <v>892.0</v>
      </c>
      <c r="AC496" s="3">
        <v>15.0</v>
      </c>
    </row>
    <row r="497">
      <c r="A497" s="3">
        <v>495.0</v>
      </c>
      <c r="B497" s="3" t="s">
        <v>2373</v>
      </c>
      <c r="C497" s="3">
        <v>431.0</v>
      </c>
      <c r="D497" s="3" t="s">
        <v>1458</v>
      </c>
      <c r="E497" s="3">
        <v>17.718838</v>
      </c>
      <c r="F497" s="3">
        <v>-91.695387</v>
      </c>
      <c r="G497" s="3">
        <v>45.0</v>
      </c>
      <c r="H497" s="3">
        <v>5.0</v>
      </c>
      <c r="I497" s="3" t="s">
        <v>92</v>
      </c>
      <c r="J497" s="3">
        <v>551.0</v>
      </c>
      <c r="K497" s="3">
        <v>556.0</v>
      </c>
      <c r="L497" s="3" t="s">
        <v>1401</v>
      </c>
      <c r="M497" s="3">
        <v>1.0</v>
      </c>
      <c r="N497" s="3" t="s">
        <v>121</v>
      </c>
      <c r="O497" s="3" t="s">
        <v>2374</v>
      </c>
      <c r="P497" s="3" t="s">
        <v>2378</v>
      </c>
      <c r="Q497" s="3">
        <v>3.0</v>
      </c>
      <c r="R497" s="3">
        <v>489.0</v>
      </c>
      <c r="S497" s="3">
        <v>8.879024</v>
      </c>
      <c r="T497" s="3">
        <v>1.464108</v>
      </c>
      <c r="U497" s="3" t="s">
        <v>2376</v>
      </c>
      <c r="V497" s="3">
        <v>0.0</v>
      </c>
      <c r="W497" s="3">
        <v>2096.0</v>
      </c>
      <c r="X497" s="3">
        <v>5426.0</v>
      </c>
      <c r="Y497" s="3">
        <v>57.0</v>
      </c>
      <c r="Z497" s="3">
        <v>205.0</v>
      </c>
      <c r="AA497" s="3">
        <v>339.0</v>
      </c>
      <c r="AB497" s="3">
        <v>892.0</v>
      </c>
      <c r="AC497" s="3">
        <v>15.0</v>
      </c>
    </row>
    <row r="498">
      <c r="A498" s="3">
        <v>496.0</v>
      </c>
      <c r="B498" s="3" t="s">
        <v>2373</v>
      </c>
      <c r="C498" s="3">
        <v>432.0</v>
      </c>
      <c r="D498" s="3" t="s">
        <v>1462</v>
      </c>
      <c r="E498" s="3">
        <v>17.718838</v>
      </c>
      <c r="F498" s="3">
        <v>-91.695387</v>
      </c>
      <c r="G498" s="3">
        <v>45.0</v>
      </c>
      <c r="H498" s="3">
        <v>5.0</v>
      </c>
      <c r="I498" s="3" t="s">
        <v>92</v>
      </c>
      <c r="J498" s="3">
        <v>551.0</v>
      </c>
      <c r="K498" s="3">
        <v>556.0</v>
      </c>
      <c r="L498" s="3" t="s">
        <v>1401</v>
      </c>
      <c r="M498" s="3">
        <v>1.0</v>
      </c>
      <c r="N498" s="3" t="s">
        <v>121</v>
      </c>
      <c r="O498" s="3" t="s">
        <v>2374</v>
      </c>
      <c r="P498" s="3" t="s">
        <v>2378</v>
      </c>
      <c r="Q498" s="3">
        <v>3.0</v>
      </c>
      <c r="R498" s="3">
        <v>489.0</v>
      </c>
      <c r="S498" s="3">
        <v>8.879024</v>
      </c>
      <c r="T498" s="3">
        <v>1.464108</v>
      </c>
      <c r="U498" s="3" t="s">
        <v>2376</v>
      </c>
      <c r="V498" s="3">
        <v>0.0</v>
      </c>
      <c r="W498" s="3">
        <v>2096.0</v>
      </c>
      <c r="X498" s="3">
        <v>5426.0</v>
      </c>
      <c r="Y498" s="3">
        <v>57.0</v>
      </c>
      <c r="Z498" s="3">
        <v>205.0</v>
      </c>
      <c r="AA498" s="3">
        <v>339.0</v>
      </c>
      <c r="AB498" s="3">
        <v>892.0</v>
      </c>
      <c r="AC498" s="3">
        <v>15.0</v>
      </c>
    </row>
    <row r="499">
      <c r="A499" s="3">
        <v>497.0</v>
      </c>
      <c r="B499" s="3" t="s">
        <v>2373</v>
      </c>
      <c r="C499" s="3">
        <v>433.0</v>
      </c>
      <c r="D499" s="3" t="s">
        <v>1464</v>
      </c>
      <c r="E499" s="3">
        <v>17.718838</v>
      </c>
      <c r="F499" s="3">
        <v>-91.695387</v>
      </c>
      <c r="G499" s="3">
        <v>45.0</v>
      </c>
      <c r="H499" s="3">
        <v>5.0</v>
      </c>
      <c r="I499" s="3" t="s">
        <v>92</v>
      </c>
      <c r="J499" s="3">
        <v>551.0</v>
      </c>
      <c r="K499" s="3">
        <v>556.0</v>
      </c>
      <c r="L499" s="3" t="s">
        <v>1401</v>
      </c>
      <c r="M499" s="3">
        <v>1.0</v>
      </c>
      <c r="N499" s="3" t="s">
        <v>121</v>
      </c>
      <c r="O499" s="3" t="s">
        <v>2374</v>
      </c>
      <c r="P499" s="3" t="s">
        <v>2378</v>
      </c>
      <c r="Q499" s="3">
        <v>3.0</v>
      </c>
      <c r="R499" s="3">
        <v>489.0</v>
      </c>
      <c r="S499" s="3">
        <v>8.879024</v>
      </c>
      <c r="T499" s="3">
        <v>1.464108</v>
      </c>
      <c r="U499" s="3" t="s">
        <v>2376</v>
      </c>
      <c r="V499" s="3">
        <v>0.0</v>
      </c>
      <c r="W499" s="3">
        <v>2096.0</v>
      </c>
      <c r="X499" s="3">
        <v>5426.0</v>
      </c>
      <c r="Y499" s="3">
        <v>57.0</v>
      </c>
      <c r="Z499" s="3">
        <v>205.0</v>
      </c>
      <c r="AA499" s="3">
        <v>339.0</v>
      </c>
      <c r="AB499" s="3">
        <v>892.0</v>
      </c>
      <c r="AC499" s="3">
        <v>15.0</v>
      </c>
    </row>
    <row r="500">
      <c r="A500" s="3">
        <v>498.0</v>
      </c>
      <c r="B500" s="3" t="s">
        <v>2373</v>
      </c>
      <c r="C500" s="3">
        <v>470.0</v>
      </c>
      <c r="D500" s="3" t="s">
        <v>1465</v>
      </c>
      <c r="E500" s="3">
        <v>17.718838</v>
      </c>
      <c r="F500" s="3">
        <v>-91.695387</v>
      </c>
      <c r="G500" s="3">
        <v>45.0</v>
      </c>
      <c r="H500" s="3">
        <v>5.0</v>
      </c>
      <c r="I500" s="3" t="s">
        <v>92</v>
      </c>
      <c r="J500" s="3">
        <v>551.0</v>
      </c>
      <c r="K500" s="3">
        <v>556.0</v>
      </c>
      <c r="L500" s="3" t="s">
        <v>1401</v>
      </c>
      <c r="M500" s="3">
        <v>1.0</v>
      </c>
      <c r="N500" s="3" t="s">
        <v>121</v>
      </c>
      <c r="O500" s="3" t="s">
        <v>2374</v>
      </c>
      <c r="P500" s="3" t="s">
        <v>2378</v>
      </c>
      <c r="Q500" s="3">
        <v>3.0</v>
      </c>
      <c r="R500" s="3">
        <v>489.0</v>
      </c>
      <c r="S500" s="3">
        <v>8.879024</v>
      </c>
      <c r="T500" s="3">
        <v>1.464108</v>
      </c>
      <c r="U500" s="3" t="s">
        <v>2376</v>
      </c>
      <c r="V500" s="3">
        <v>0.0</v>
      </c>
      <c r="W500" s="3">
        <v>2096.0</v>
      </c>
      <c r="X500" s="3">
        <v>5426.0</v>
      </c>
      <c r="Y500" s="3">
        <v>57.0</v>
      </c>
      <c r="Z500" s="3">
        <v>205.0</v>
      </c>
      <c r="AA500" s="3">
        <v>339.0</v>
      </c>
      <c r="AB500" s="3">
        <v>892.0</v>
      </c>
      <c r="AC500" s="3">
        <v>15.0</v>
      </c>
    </row>
    <row r="501">
      <c r="A501" s="3">
        <v>499.0</v>
      </c>
      <c r="B501" s="3" t="s">
        <v>2373</v>
      </c>
      <c r="C501" s="3">
        <v>117.0</v>
      </c>
      <c r="D501" s="3" t="s">
        <v>1839</v>
      </c>
      <c r="E501" s="3">
        <v>18.140625</v>
      </c>
      <c r="F501" s="3">
        <v>-93.988578</v>
      </c>
      <c r="G501" s="3">
        <v>46.0</v>
      </c>
      <c r="H501" s="3">
        <v>5.0</v>
      </c>
      <c r="I501" s="3" t="s">
        <v>92</v>
      </c>
      <c r="J501" s="3">
        <v>564.0</v>
      </c>
      <c r="K501" s="3">
        <v>569.0</v>
      </c>
      <c r="L501" s="3" t="s">
        <v>133</v>
      </c>
      <c r="M501" s="3">
        <v>1.0</v>
      </c>
      <c r="N501" s="3" t="s">
        <v>121</v>
      </c>
      <c r="O501" s="3" t="s">
        <v>2374</v>
      </c>
      <c r="P501" s="3" t="s">
        <v>2378</v>
      </c>
      <c r="Q501" s="3">
        <v>2.0</v>
      </c>
      <c r="R501" s="3">
        <v>494.0</v>
      </c>
      <c r="S501" s="3">
        <v>57.480003</v>
      </c>
      <c r="T501" s="3">
        <v>12.625324</v>
      </c>
      <c r="U501" s="3" t="s">
        <v>2376</v>
      </c>
      <c r="V501" s="3">
        <v>0.0</v>
      </c>
      <c r="W501" s="3">
        <v>2413.0</v>
      </c>
      <c r="X501" s="3">
        <v>6130.0</v>
      </c>
      <c r="Y501" s="3">
        <v>46.0</v>
      </c>
      <c r="Z501" s="3">
        <v>172.0</v>
      </c>
      <c r="AA501" s="3">
        <v>444.0</v>
      </c>
      <c r="AB501" s="3">
        <v>1084.0</v>
      </c>
      <c r="AC501" s="3">
        <v>3.0</v>
      </c>
    </row>
    <row r="502">
      <c r="A502" s="3">
        <v>500.0</v>
      </c>
      <c r="B502" s="3" t="s">
        <v>2373</v>
      </c>
      <c r="C502" s="3">
        <v>242.0</v>
      </c>
      <c r="D502" s="3" t="s">
        <v>1881</v>
      </c>
      <c r="E502" s="3">
        <v>16.991</v>
      </c>
      <c r="F502" s="3">
        <v>-91.59156</v>
      </c>
      <c r="G502" s="3">
        <v>46.0</v>
      </c>
      <c r="H502" s="3">
        <v>5.0</v>
      </c>
      <c r="I502" s="3" t="s">
        <v>92</v>
      </c>
      <c r="J502" s="3">
        <v>564.0</v>
      </c>
      <c r="K502" s="3">
        <v>569.0</v>
      </c>
      <c r="L502" s="3" t="s">
        <v>133</v>
      </c>
      <c r="M502" s="3">
        <v>1.0</v>
      </c>
      <c r="N502" s="3" t="s">
        <v>121</v>
      </c>
      <c r="O502" s="3" t="s">
        <v>2374</v>
      </c>
      <c r="P502" s="3" t="s">
        <v>2378</v>
      </c>
      <c r="Q502" s="3">
        <v>2.0</v>
      </c>
      <c r="R502" s="3">
        <v>494.0</v>
      </c>
      <c r="S502" s="3">
        <v>57.480003</v>
      </c>
      <c r="T502" s="3">
        <v>12.625324</v>
      </c>
      <c r="U502" s="3" t="s">
        <v>2376</v>
      </c>
      <c r="V502" s="3">
        <v>0.0</v>
      </c>
      <c r="W502" s="3">
        <v>2106.0</v>
      </c>
      <c r="X502" s="3">
        <v>6177.0</v>
      </c>
      <c r="Y502" s="3">
        <v>57.0</v>
      </c>
      <c r="Z502" s="3">
        <v>187.0</v>
      </c>
      <c r="AA502" s="3">
        <v>353.0</v>
      </c>
      <c r="AB502" s="3">
        <v>892.0</v>
      </c>
      <c r="AC502" s="3">
        <v>835.0</v>
      </c>
    </row>
    <row r="503">
      <c r="A503" s="3">
        <v>501.0</v>
      </c>
      <c r="B503" s="3" t="s">
        <v>2373</v>
      </c>
      <c r="C503" s="3">
        <v>471.0</v>
      </c>
      <c r="D503" s="3" t="s">
        <v>2213</v>
      </c>
      <c r="E503" s="3">
        <v>17.815556</v>
      </c>
      <c r="F503" s="3">
        <v>-90.120833</v>
      </c>
      <c r="G503" s="3">
        <v>46.0</v>
      </c>
      <c r="H503" s="3">
        <v>5.0</v>
      </c>
      <c r="I503" s="3" t="s">
        <v>92</v>
      </c>
      <c r="J503" s="3">
        <v>564.0</v>
      </c>
      <c r="K503" s="3">
        <v>569.0</v>
      </c>
      <c r="L503" s="3" t="s">
        <v>133</v>
      </c>
      <c r="M503" s="3">
        <v>1.0</v>
      </c>
      <c r="N503" s="3" t="s">
        <v>121</v>
      </c>
      <c r="O503" s="3" t="s">
        <v>2374</v>
      </c>
      <c r="P503" s="3" t="s">
        <v>2378</v>
      </c>
      <c r="Q503" s="3">
        <v>2.0</v>
      </c>
      <c r="R503" s="3">
        <v>494.0</v>
      </c>
      <c r="S503" s="3">
        <v>57.480003</v>
      </c>
      <c r="T503" s="3">
        <v>12.625324</v>
      </c>
      <c r="U503" s="3" t="s">
        <v>2376</v>
      </c>
      <c r="V503" s="3">
        <v>0.0</v>
      </c>
      <c r="W503" s="3">
        <v>1405.0</v>
      </c>
      <c r="X503" s="3">
        <v>6231.0</v>
      </c>
      <c r="Y503" s="3">
        <v>32.0</v>
      </c>
      <c r="Z503" s="3">
        <v>105.0</v>
      </c>
      <c r="AA503" s="3">
        <v>252.0</v>
      </c>
      <c r="AB503" s="3">
        <v>622.0</v>
      </c>
      <c r="AC503" s="3">
        <v>196.0</v>
      </c>
    </row>
    <row r="504">
      <c r="A504" s="3">
        <v>502.0</v>
      </c>
      <c r="B504" s="3" t="s">
        <v>2373</v>
      </c>
      <c r="C504" s="3">
        <v>472.0</v>
      </c>
      <c r="D504" s="3" t="s">
        <v>2215</v>
      </c>
      <c r="E504" s="3">
        <v>17.815556</v>
      </c>
      <c r="F504" s="3">
        <v>-90.120833</v>
      </c>
      <c r="G504" s="3">
        <v>46.0</v>
      </c>
      <c r="H504" s="3">
        <v>5.0</v>
      </c>
      <c r="I504" s="3" t="s">
        <v>92</v>
      </c>
      <c r="J504" s="3">
        <v>564.0</v>
      </c>
      <c r="K504" s="3">
        <v>569.0</v>
      </c>
      <c r="L504" s="3" t="s">
        <v>133</v>
      </c>
      <c r="M504" s="3">
        <v>1.0</v>
      </c>
      <c r="N504" s="3" t="s">
        <v>121</v>
      </c>
      <c r="O504" s="3" t="s">
        <v>2374</v>
      </c>
      <c r="P504" s="3" t="s">
        <v>2378</v>
      </c>
      <c r="Q504" s="3">
        <v>2.0</v>
      </c>
      <c r="R504" s="3">
        <v>494.0</v>
      </c>
      <c r="S504" s="3">
        <v>57.480003</v>
      </c>
      <c r="T504" s="3">
        <v>12.625324</v>
      </c>
      <c r="U504" s="3" t="s">
        <v>2376</v>
      </c>
      <c r="V504" s="3">
        <v>0.0</v>
      </c>
      <c r="W504" s="3">
        <v>1405.0</v>
      </c>
      <c r="X504" s="3">
        <v>6231.0</v>
      </c>
      <c r="Y504" s="3">
        <v>32.0</v>
      </c>
      <c r="Z504" s="3">
        <v>105.0</v>
      </c>
      <c r="AA504" s="3">
        <v>252.0</v>
      </c>
      <c r="AB504" s="3">
        <v>622.0</v>
      </c>
      <c r="AC504" s="3">
        <v>196.0</v>
      </c>
    </row>
    <row r="505">
      <c r="A505" s="3">
        <v>503.0</v>
      </c>
      <c r="B505" s="3" t="s">
        <v>2373</v>
      </c>
      <c r="C505" s="3">
        <v>473.0</v>
      </c>
      <c r="D505" s="3" t="s">
        <v>2216</v>
      </c>
      <c r="E505" s="3">
        <v>17.815556</v>
      </c>
      <c r="F505" s="3">
        <v>-90.120833</v>
      </c>
      <c r="G505" s="3">
        <v>46.0</v>
      </c>
      <c r="H505" s="3">
        <v>5.0</v>
      </c>
      <c r="I505" s="3" t="s">
        <v>92</v>
      </c>
      <c r="J505" s="3">
        <v>564.0</v>
      </c>
      <c r="K505" s="3">
        <v>569.0</v>
      </c>
      <c r="L505" s="3" t="s">
        <v>133</v>
      </c>
      <c r="M505" s="3">
        <v>1.0</v>
      </c>
      <c r="N505" s="3" t="s">
        <v>121</v>
      </c>
      <c r="O505" s="3" t="s">
        <v>2374</v>
      </c>
      <c r="P505" s="3" t="s">
        <v>2378</v>
      </c>
      <c r="Q505" s="3">
        <v>2.0</v>
      </c>
      <c r="R505" s="3">
        <v>494.0</v>
      </c>
      <c r="S505" s="3">
        <v>57.480003</v>
      </c>
      <c r="T505" s="3">
        <v>12.625324</v>
      </c>
      <c r="U505" s="3" t="s">
        <v>2376</v>
      </c>
      <c r="V505" s="3">
        <v>0.0</v>
      </c>
      <c r="W505" s="3">
        <v>1405.0</v>
      </c>
      <c r="X505" s="3">
        <v>6231.0</v>
      </c>
      <c r="Y505" s="3">
        <v>32.0</v>
      </c>
      <c r="Z505" s="3">
        <v>105.0</v>
      </c>
      <c r="AA505" s="3">
        <v>252.0</v>
      </c>
      <c r="AB505" s="3">
        <v>622.0</v>
      </c>
      <c r="AC505" s="3">
        <v>196.0</v>
      </c>
    </row>
    <row r="506">
      <c r="A506" s="3">
        <v>504.0</v>
      </c>
      <c r="B506" s="3" t="s">
        <v>2373</v>
      </c>
      <c r="C506" s="3">
        <v>474.0</v>
      </c>
      <c r="D506" s="3" t="s">
        <v>2217</v>
      </c>
      <c r="E506" s="3">
        <v>17.815556</v>
      </c>
      <c r="F506" s="3">
        <v>-90.120833</v>
      </c>
      <c r="G506" s="3">
        <v>46.0</v>
      </c>
      <c r="H506" s="3">
        <v>5.0</v>
      </c>
      <c r="I506" s="3" t="s">
        <v>92</v>
      </c>
      <c r="J506" s="3">
        <v>564.0</v>
      </c>
      <c r="K506" s="3">
        <v>569.0</v>
      </c>
      <c r="L506" s="3" t="s">
        <v>133</v>
      </c>
      <c r="M506" s="3">
        <v>1.0</v>
      </c>
      <c r="N506" s="3" t="s">
        <v>121</v>
      </c>
      <c r="O506" s="3" t="s">
        <v>2374</v>
      </c>
      <c r="P506" s="3" t="s">
        <v>2378</v>
      </c>
      <c r="Q506" s="3">
        <v>2.0</v>
      </c>
      <c r="R506" s="3">
        <v>494.0</v>
      </c>
      <c r="S506" s="3">
        <v>57.480003</v>
      </c>
      <c r="T506" s="3">
        <v>12.625324</v>
      </c>
      <c r="U506" s="3" t="s">
        <v>2376</v>
      </c>
      <c r="V506" s="3">
        <v>0.0</v>
      </c>
      <c r="W506" s="3">
        <v>1405.0</v>
      </c>
      <c r="X506" s="3">
        <v>6231.0</v>
      </c>
      <c r="Y506" s="3">
        <v>32.0</v>
      </c>
      <c r="Z506" s="3">
        <v>105.0</v>
      </c>
      <c r="AA506" s="3">
        <v>252.0</v>
      </c>
      <c r="AB506" s="3">
        <v>622.0</v>
      </c>
      <c r="AC506" s="3">
        <v>196.0</v>
      </c>
    </row>
    <row r="507">
      <c r="A507" s="3">
        <v>505.0</v>
      </c>
      <c r="B507" s="3" t="s">
        <v>2373</v>
      </c>
      <c r="C507" s="3">
        <v>475.0</v>
      </c>
      <c r="D507" s="3" t="s">
        <v>2218</v>
      </c>
      <c r="E507" s="3">
        <v>17.815556</v>
      </c>
      <c r="F507" s="3">
        <v>-90.120833</v>
      </c>
      <c r="G507" s="3">
        <v>46.0</v>
      </c>
      <c r="H507" s="3">
        <v>5.0</v>
      </c>
      <c r="I507" s="3" t="s">
        <v>92</v>
      </c>
      <c r="J507" s="3">
        <v>564.0</v>
      </c>
      <c r="K507" s="3">
        <v>569.0</v>
      </c>
      <c r="L507" s="3" t="s">
        <v>133</v>
      </c>
      <c r="M507" s="3">
        <v>1.0</v>
      </c>
      <c r="N507" s="3" t="s">
        <v>121</v>
      </c>
      <c r="O507" s="3" t="s">
        <v>2374</v>
      </c>
      <c r="P507" s="3" t="s">
        <v>2378</v>
      </c>
      <c r="Q507" s="3">
        <v>2.0</v>
      </c>
      <c r="R507" s="3">
        <v>494.0</v>
      </c>
      <c r="S507" s="3">
        <v>57.480003</v>
      </c>
      <c r="T507" s="3">
        <v>12.625324</v>
      </c>
      <c r="U507" s="3" t="s">
        <v>2376</v>
      </c>
      <c r="V507" s="3">
        <v>0.0</v>
      </c>
      <c r="W507" s="3">
        <v>1405.0</v>
      </c>
      <c r="X507" s="3">
        <v>6231.0</v>
      </c>
      <c r="Y507" s="3">
        <v>32.0</v>
      </c>
      <c r="Z507" s="3">
        <v>105.0</v>
      </c>
      <c r="AA507" s="3">
        <v>252.0</v>
      </c>
      <c r="AB507" s="3">
        <v>622.0</v>
      </c>
      <c r="AC507" s="3">
        <v>196.0</v>
      </c>
    </row>
    <row r="508">
      <c r="A508" s="3">
        <v>506.0</v>
      </c>
      <c r="B508" s="3" t="s">
        <v>2373</v>
      </c>
      <c r="C508" s="3">
        <v>502.0</v>
      </c>
      <c r="D508" s="3" t="s">
        <v>607</v>
      </c>
      <c r="E508" s="3">
        <v>16.9</v>
      </c>
      <c r="F508" s="3">
        <v>-91.6</v>
      </c>
      <c r="G508" s="3">
        <v>46.0</v>
      </c>
      <c r="H508" s="3">
        <v>5.0</v>
      </c>
      <c r="I508" s="3" t="s">
        <v>92</v>
      </c>
      <c r="J508" s="3">
        <v>564.0</v>
      </c>
      <c r="K508" s="3">
        <v>569.0</v>
      </c>
      <c r="L508" s="3" t="s">
        <v>133</v>
      </c>
      <c r="M508" s="3">
        <v>1.0</v>
      </c>
      <c r="N508" s="3" t="s">
        <v>121</v>
      </c>
      <c r="O508" s="3" t="s">
        <v>2374</v>
      </c>
      <c r="P508" s="3" t="s">
        <v>2378</v>
      </c>
      <c r="Q508" s="3">
        <v>2.0</v>
      </c>
      <c r="R508" s="3">
        <v>494.0</v>
      </c>
      <c r="S508" s="3">
        <v>57.480003</v>
      </c>
      <c r="T508" s="3">
        <v>12.625324</v>
      </c>
      <c r="U508" s="3" t="s">
        <v>2376</v>
      </c>
      <c r="V508" s="3">
        <v>0.0</v>
      </c>
      <c r="W508" s="3">
        <v>2025.0</v>
      </c>
      <c r="X508" s="3">
        <v>6573.0</v>
      </c>
      <c r="Y508" s="3">
        <v>52.0</v>
      </c>
      <c r="Z508" s="3">
        <v>167.0</v>
      </c>
      <c r="AA508" s="3">
        <v>346.0</v>
      </c>
      <c r="AB508" s="3">
        <v>887.0</v>
      </c>
      <c r="AC508" s="3">
        <v>687.0</v>
      </c>
    </row>
    <row r="509">
      <c r="A509" s="3">
        <v>507.0</v>
      </c>
      <c r="B509" s="3" t="s">
        <v>2373</v>
      </c>
      <c r="C509" s="3">
        <v>538.0</v>
      </c>
      <c r="D509" s="3" t="s">
        <v>1981</v>
      </c>
      <c r="E509" s="3">
        <v>16.859733</v>
      </c>
      <c r="F509" s="3">
        <v>-93.398911</v>
      </c>
      <c r="G509" s="3">
        <v>46.0</v>
      </c>
      <c r="H509" s="3">
        <v>5.0</v>
      </c>
      <c r="I509" s="3" t="s">
        <v>92</v>
      </c>
      <c r="J509" s="3">
        <v>564.0</v>
      </c>
      <c r="K509" s="3">
        <v>569.0</v>
      </c>
      <c r="L509" s="3" t="s">
        <v>133</v>
      </c>
      <c r="M509" s="3">
        <v>1.0</v>
      </c>
      <c r="N509" s="3" t="s">
        <v>121</v>
      </c>
      <c r="O509" s="3" t="s">
        <v>2374</v>
      </c>
      <c r="P509" s="3" t="s">
        <v>2378</v>
      </c>
      <c r="Q509" s="3">
        <v>2.0</v>
      </c>
      <c r="R509" s="3">
        <v>494.0</v>
      </c>
      <c r="S509" s="3">
        <v>57.480003</v>
      </c>
      <c r="T509" s="3">
        <v>12.625324</v>
      </c>
      <c r="U509" s="3" t="s">
        <v>2376</v>
      </c>
      <c r="V509" s="3">
        <v>0.0</v>
      </c>
      <c r="W509" s="3">
        <v>1183.0</v>
      </c>
      <c r="X509" s="3">
        <v>7652.0</v>
      </c>
      <c r="Y509" s="3">
        <v>18.0</v>
      </c>
      <c r="Z509" s="3">
        <v>65.0</v>
      </c>
      <c r="AA509" s="3">
        <v>215.0</v>
      </c>
      <c r="AB509" s="3">
        <v>569.0</v>
      </c>
      <c r="AC509" s="3">
        <v>887.0</v>
      </c>
    </row>
    <row r="510">
      <c r="A510" s="3">
        <v>508.0</v>
      </c>
      <c r="B510" s="3" t="s">
        <v>2373</v>
      </c>
      <c r="C510" s="3">
        <v>539.0</v>
      </c>
      <c r="D510" s="3" t="s">
        <v>129</v>
      </c>
      <c r="E510" s="3">
        <v>16.859733</v>
      </c>
      <c r="F510" s="3">
        <v>-93.398911</v>
      </c>
      <c r="G510" s="3">
        <v>46.0</v>
      </c>
      <c r="H510" s="3">
        <v>5.0</v>
      </c>
      <c r="I510" s="3" t="s">
        <v>92</v>
      </c>
      <c r="J510" s="3">
        <v>564.0</v>
      </c>
      <c r="K510" s="3">
        <v>569.0</v>
      </c>
      <c r="L510" s="3" t="s">
        <v>133</v>
      </c>
      <c r="M510" s="3">
        <v>1.0</v>
      </c>
      <c r="N510" s="3" t="s">
        <v>121</v>
      </c>
      <c r="O510" s="3" t="s">
        <v>2374</v>
      </c>
      <c r="P510" s="3" t="s">
        <v>2378</v>
      </c>
      <c r="Q510" s="3">
        <v>2.0</v>
      </c>
      <c r="R510" s="3">
        <v>494.0</v>
      </c>
      <c r="S510" s="3">
        <v>57.480003</v>
      </c>
      <c r="T510" s="3">
        <v>12.625324</v>
      </c>
      <c r="U510" s="3" t="s">
        <v>2376</v>
      </c>
      <c r="V510" s="3">
        <v>0.0</v>
      </c>
      <c r="W510" s="3">
        <v>1183.0</v>
      </c>
      <c r="X510" s="3">
        <v>7652.0</v>
      </c>
      <c r="Y510" s="3">
        <v>18.0</v>
      </c>
      <c r="Z510" s="3">
        <v>65.0</v>
      </c>
      <c r="AA510" s="3">
        <v>215.0</v>
      </c>
      <c r="AB510" s="3">
        <v>569.0</v>
      </c>
      <c r="AC510" s="3">
        <v>887.0</v>
      </c>
    </row>
    <row r="511">
      <c r="A511" s="3">
        <v>509.0</v>
      </c>
      <c r="B511" s="3" t="s">
        <v>2373</v>
      </c>
      <c r="C511" s="3">
        <v>540.0</v>
      </c>
      <c r="D511" s="3" t="s">
        <v>134</v>
      </c>
      <c r="E511" s="3">
        <v>16.859733</v>
      </c>
      <c r="F511" s="3">
        <v>-93.398911</v>
      </c>
      <c r="G511" s="3">
        <v>46.0</v>
      </c>
      <c r="H511" s="3">
        <v>5.0</v>
      </c>
      <c r="I511" s="3" t="s">
        <v>92</v>
      </c>
      <c r="J511" s="3">
        <v>564.0</v>
      </c>
      <c r="K511" s="3">
        <v>569.0</v>
      </c>
      <c r="L511" s="3" t="s">
        <v>133</v>
      </c>
      <c r="M511" s="3">
        <v>1.0</v>
      </c>
      <c r="N511" s="3" t="s">
        <v>121</v>
      </c>
      <c r="O511" s="3" t="s">
        <v>2374</v>
      </c>
      <c r="P511" s="3" t="s">
        <v>2378</v>
      </c>
      <c r="Q511" s="3">
        <v>2.0</v>
      </c>
      <c r="R511" s="3">
        <v>494.0</v>
      </c>
      <c r="S511" s="3">
        <v>57.480003</v>
      </c>
      <c r="T511" s="3">
        <v>12.625324</v>
      </c>
      <c r="U511" s="3" t="s">
        <v>2376</v>
      </c>
      <c r="V511" s="3">
        <v>0.0</v>
      </c>
      <c r="W511" s="3">
        <v>1183.0</v>
      </c>
      <c r="X511" s="3">
        <v>7652.0</v>
      </c>
      <c r="Y511" s="3">
        <v>18.0</v>
      </c>
      <c r="Z511" s="3">
        <v>65.0</v>
      </c>
      <c r="AA511" s="3">
        <v>215.0</v>
      </c>
      <c r="AB511" s="3">
        <v>569.0</v>
      </c>
      <c r="AC511" s="3">
        <v>887.0</v>
      </c>
    </row>
    <row r="512">
      <c r="A512" s="3">
        <v>510.0</v>
      </c>
      <c r="B512" s="3" t="s">
        <v>2373</v>
      </c>
      <c r="C512" s="3">
        <v>541.0</v>
      </c>
      <c r="D512" s="3" t="s">
        <v>136</v>
      </c>
      <c r="E512" s="3">
        <v>16.859733</v>
      </c>
      <c r="F512" s="3">
        <v>-93.398911</v>
      </c>
      <c r="G512" s="3">
        <v>46.0</v>
      </c>
      <c r="H512" s="3">
        <v>5.0</v>
      </c>
      <c r="I512" s="3" t="s">
        <v>92</v>
      </c>
      <c r="J512" s="3">
        <v>564.0</v>
      </c>
      <c r="K512" s="3">
        <v>569.0</v>
      </c>
      <c r="L512" s="3" t="s">
        <v>133</v>
      </c>
      <c r="M512" s="3">
        <v>1.0</v>
      </c>
      <c r="N512" s="3" t="s">
        <v>121</v>
      </c>
      <c r="O512" s="3" t="s">
        <v>2374</v>
      </c>
      <c r="P512" s="3" t="s">
        <v>2378</v>
      </c>
      <c r="Q512" s="3">
        <v>2.0</v>
      </c>
      <c r="R512" s="3">
        <v>494.0</v>
      </c>
      <c r="S512" s="3">
        <v>57.480003</v>
      </c>
      <c r="T512" s="3">
        <v>12.625324</v>
      </c>
      <c r="U512" s="3" t="s">
        <v>2376</v>
      </c>
      <c r="V512" s="3">
        <v>0.0</v>
      </c>
      <c r="W512" s="3">
        <v>1183.0</v>
      </c>
      <c r="X512" s="3">
        <v>7652.0</v>
      </c>
      <c r="Y512" s="3">
        <v>18.0</v>
      </c>
      <c r="Z512" s="3">
        <v>65.0</v>
      </c>
      <c r="AA512" s="3">
        <v>215.0</v>
      </c>
      <c r="AB512" s="3">
        <v>569.0</v>
      </c>
      <c r="AC512" s="3">
        <v>887.0</v>
      </c>
    </row>
    <row r="513">
      <c r="A513" s="3">
        <v>511.0</v>
      </c>
      <c r="B513" s="3" t="s">
        <v>2373</v>
      </c>
      <c r="C513" s="3">
        <v>542.0</v>
      </c>
      <c r="D513" s="3" t="s">
        <v>1993</v>
      </c>
      <c r="E513" s="3">
        <v>16.859733</v>
      </c>
      <c r="F513" s="3">
        <v>-93.398911</v>
      </c>
      <c r="G513" s="3">
        <v>46.0</v>
      </c>
      <c r="H513" s="3">
        <v>5.0</v>
      </c>
      <c r="I513" s="3" t="s">
        <v>92</v>
      </c>
      <c r="J513" s="3">
        <v>564.0</v>
      </c>
      <c r="K513" s="3">
        <v>569.0</v>
      </c>
      <c r="L513" s="3" t="s">
        <v>133</v>
      </c>
      <c r="M513" s="3">
        <v>1.0</v>
      </c>
      <c r="N513" s="3" t="s">
        <v>121</v>
      </c>
      <c r="O513" s="3" t="s">
        <v>2374</v>
      </c>
      <c r="P513" s="3" t="s">
        <v>2378</v>
      </c>
      <c r="Q513" s="3">
        <v>2.0</v>
      </c>
      <c r="R513" s="3">
        <v>494.0</v>
      </c>
      <c r="S513" s="3">
        <v>57.480003</v>
      </c>
      <c r="T513" s="3">
        <v>12.625324</v>
      </c>
      <c r="U513" s="3" t="s">
        <v>2376</v>
      </c>
      <c r="V513" s="3">
        <v>0.0</v>
      </c>
      <c r="W513" s="3">
        <v>1183.0</v>
      </c>
      <c r="X513" s="3">
        <v>7652.0</v>
      </c>
      <c r="Y513" s="3">
        <v>18.0</v>
      </c>
      <c r="Z513" s="3">
        <v>65.0</v>
      </c>
      <c r="AA513" s="3">
        <v>215.0</v>
      </c>
      <c r="AB513" s="3">
        <v>569.0</v>
      </c>
      <c r="AC513" s="3">
        <v>887.0</v>
      </c>
    </row>
    <row r="514">
      <c r="A514" s="3">
        <v>512.0</v>
      </c>
      <c r="B514" s="3" t="s">
        <v>2373</v>
      </c>
      <c r="C514" s="3">
        <v>425.0</v>
      </c>
      <c r="D514" s="3" t="s">
        <v>2179</v>
      </c>
      <c r="E514" s="3">
        <v>15.149667</v>
      </c>
      <c r="F514" s="3">
        <v>-92.751</v>
      </c>
      <c r="G514" s="3">
        <v>48.0</v>
      </c>
      <c r="H514" s="3">
        <v>5.0</v>
      </c>
      <c r="I514" s="3" t="s">
        <v>92</v>
      </c>
      <c r="J514" s="3">
        <v>678.0</v>
      </c>
      <c r="K514" s="3">
        <v>683.0</v>
      </c>
      <c r="L514" s="3" t="s">
        <v>1162</v>
      </c>
      <c r="M514" s="3">
        <v>14.0</v>
      </c>
      <c r="N514" s="3" t="s">
        <v>659</v>
      </c>
      <c r="O514" s="3" t="s">
        <v>2374</v>
      </c>
      <c r="P514" s="3" t="s">
        <v>2377</v>
      </c>
      <c r="Q514" s="3">
        <v>1.0</v>
      </c>
      <c r="R514" s="3">
        <v>617.0</v>
      </c>
      <c r="S514" s="3">
        <v>46.35933</v>
      </c>
      <c r="T514" s="3">
        <v>0.651802</v>
      </c>
      <c r="U514" s="3" t="s">
        <v>2376</v>
      </c>
      <c r="V514" s="3">
        <v>0.0</v>
      </c>
      <c r="W514" s="3">
        <v>1799.0</v>
      </c>
      <c r="X514" s="3">
        <v>9833.0</v>
      </c>
      <c r="Y514" s="3">
        <v>2.0</v>
      </c>
      <c r="Z514" s="3">
        <v>12.0</v>
      </c>
      <c r="AA514" s="3">
        <v>405.0</v>
      </c>
      <c r="AB514" s="3">
        <v>961.0</v>
      </c>
      <c r="AC514" s="3">
        <v>1.0</v>
      </c>
    </row>
    <row r="515">
      <c r="A515" s="3">
        <v>513.0</v>
      </c>
      <c r="B515" s="3" t="s">
        <v>2373</v>
      </c>
      <c r="C515" s="3">
        <v>426.0</v>
      </c>
      <c r="D515" s="3" t="s">
        <v>1631</v>
      </c>
      <c r="E515" s="3">
        <v>15.149667</v>
      </c>
      <c r="F515" s="3">
        <v>-92.751</v>
      </c>
      <c r="G515" s="3">
        <v>48.0</v>
      </c>
      <c r="H515" s="3">
        <v>5.0</v>
      </c>
      <c r="I515" s="3" t="s">
        <v>92</v>
      </c>
      <c r="J515" s="3">
        <v>678.0</v>
      </c>
      <c r="K515" s="3">
        <v>683.0</v>
      </c>
      <c r="L515" s="3" t="s">
        <v>1162</v>
      </c>
      <c r="M515" s="3">
        <v>14.0</v>
      </c>
      <c r="N515" s="3" t="s">
        <v>659</v>
      </c>
      <c r="O515" s="3" t="s">
        <v>2374</v>
      </c>
      <c r="P515" s="3" t="s">
        <v>2377</v>
      </c>
      <c r="Q515" s="3">
        <v>1.0</v>
      </c>
      <c r="R515" s="3">
        <v>617.0</v>
      </c>
      <c r="S515" s="3">
        <v>46.35933</v>
      </c>
      <c r="T515" s="3">
        <v>0.651802</v>
      </c>
      <c r="U515" s="3" t="s">
        <v>2376</v>
      </c>
      <c r="V515" s="3">
        <v>0.0</v>
      </c>
      <c r="W515" s="3">
        <v>1799.0</v>
      </c>
      <c r="X515" s="3">
        <v>9833.0</v>
      </c>
      <c r="Y515" s="3">
        <v>2.0</v>
      </c>
      <c r="Z515" s="3">
        <v>12.0</v>
      </c>
      <c r="AA515" s="3">
        <v>405.0</v>
      </c>
      <c r="AB515" s="3">
        <v>961.0</v>
      </c>
      <c r="AC515" s="3">
        <v>1.0</v>
      </c>
    </row>
    <row r="516">
      <c r="A516" s="3">
        <v>514.0</v>
      </c>
      <c r="B516" s="3" t="s">
        <v>2373</v>
      </c>
      <c r="C516" s="3">
        <v>185.0</v>
      </c>
      <c r="D516" s="3" t="s">
        <v>1988</v>
      </c>
      <c r="E516" s="3">
        <v>20.601667</v>
      </c>
      <c r="F516" s="3">
        <v>-89.7025</v>
      </c>
      <c r="G516" s="3">
        <v>50.0</v>
      </c>
      <c r="H516" s="3">
        <v>5.0</v>
      </c>
      <c r="I516" s="3" t="s">
        <v>92</v>
      </c>
      <c r="J516" s="3">
        <v>803.0</v>
      </c>
      <c r="K516" s="3">
        <v>809.0</v>
      </c>
      <c r="L516" s="3" t="s">
        <v>103</v>
      </c>
      <c r="M516" s="3">
        <v>2.0</v>
      </c>
      <c r="N516" s="3" t="s">
        <v>104</v>
      </c>
      <c r="O516" s="3" t="s">
        <v>2374</v>
      </c>
      <c r="P516" s="3" t="s">
        <v>2379</v>
      </c>
      <c r="Q516" s="3">
        <v>2.0</v>
      </c>
      <c r="R516" s="3">
        <v>551.0</v>
      </c>
      <c r="S516" s="3">
        <v>17.044704</v>
      </c>
      <c r="T516" s="3">
        <v>4.295824</v>
      </c>
      <c r="U516" s="3" t="s">
        <v>2376</v>
      </c>
      <c r="V516" s="3">
        <v>0.0</v>
      </c>
      <c r="W516" s="3">
        <v>1101.0</v>
      </c>
      <c r="X516" s="3">
        <v>7316.0</v>
      </c>
      <c r="Y516" s="3">
        <v>24.0</v>
      </c>
      <c r="Z516" s="3">
        <v>82.0</v>
      </c>
      <c r="AA516" s="3">
        <v>192.0</v>
      </c>
      <c r="AB516" s="3">
        <v>546.0</v>
      </c>
      <c r="AC516" s="3">
        <v>19.0</v>
      </c>
    </row>
    <row r="517">
      <c r="A517" s="3">
        <v>515.0</v>
      </c>
      <c r="B517" s="3" t="s">
        <v>2373</v>
      </c>
      <c r="C517" s="3">
        <v>186.0</v>
      </c>
      <c r="D517" s="3" t="s">
        <v>1992</v>
      </c>
      <c r="E517" s="3">
        <v>20.601667</v>
      </c>
      <c r="F517" s="3">
        <v>-89.7025</v>
      </c>
      <c r="G517" s="3">
        <v>50.0</v>
      </c>
      <c r="H517" s="3">
        <v>5.0</v>
      </c>
      <c r="I517" s="3" t="s">
        <v>92</v>
      </c>
      <c r="J517" s="3">
        <v>803.0</v>
      </c>
      <c r="K517" s="3">
        <v>809.0</v>
      </c>
      <c r="L517" s="3" t="s">
        <v>103</v>
      </c>
      <c r="M517" s="3">
        <v>2.0</v>
      </c>
      <c r="N517" s="3" t="s">
        <v>104</v>
      </c>
      <c r="O517" s="3" t="s">
        <v>2374</v>
      </c>
      <c r="P517" s="3" t="s">
        <v>2379</v>
      </c>
      <c r="Q517" s="3">
        <v>2.0</v>
      </c>
      <c r="R517" s="3">
        <v>551.0</v>
      </c>
      <c r="S517" s="3">
        <v>17.044704</v>
      </c>
      <c r="T517" s="3">
        <v>4.295824</v>
      </c>
      <c r="U517" s="3" t="s">
        <v>2376</v>
      </c>
      <c r="V517" s="3">
        <v>0.0</v>
      </c>
      <c r="W517" s="3">
        <v>1101.0</v>
      </c>
      <c r="X517" s="3">
        <v>7316.0</v>
      </c>
      <c r="Y517" s="3">
        <v>24.0</v>
      </c>
      <c r="Z517" s="3">
        <v>82.0</v>
      </c>
      <c r="AA517" s="3">
        <v>192.0</v>
      </c>
      <c r="AB517" s="3">
        <v>546.0</v>
      </c>
      <c r="AC517" s="3">
        <v>19.0</v>
      </c>
    </row>
    <row r="518">
      <c r="A518" s="3">
        <v>516.0</v>
      </c>
      <c r="B518" s="3" t="s">
        <v>2373</v>
      </c>
      <c r="C518" s="3">
        <v>187.0</v>
      </c>
      <c r="D518" s="3" t="s">
        <v>1996</v>
      </c>
      <c r="E518" s="3">
        <v>20.601667</v>
      </c>
      <c r="F518" s="3">
        <v>-89.7025</v>
      </c>
      <c r="G518" s="3">
        <v>50.0</v>
      </c>
      <c r="H518" s="3">
        <v>5.0</v>
      </c>
      <c r="I518" s="3" t="s">
        <v>92</v>
      </c>
      <c r="J518" s="3">
        <v>803.0</v>
      </c>
      <c r="K518" s="3">
        <v>809.0</v>
      </c>
      <c r="L518" s="3" t="s">
        <v>103</v>
      </c>
      <c r="M518" s="3">
        <v>2.0</v>
      </c>
      <c r="N518" s="3" t="s">
        <v>104</v>
      </c>
      <c r="O518" s="3" t="s">
        <v>2374</v>
      </c>
      <c r="P518" s="3" t="s">
        <v>2379</v>
      </c>
      <c r="Q518" s="3">
        <v>2.0</v>
      </c>
      <c r="R518" s="3">
        <v>551.0</v>
      </c>
      <c r="S518" s="3">
        <v>17.044704</v>
      </c>
      <c r="T518" s="3">
        <v>4.295824</v>
      </c>
      <c r="U518" s="3" t="s">
        <v>2376</v>
      </c>
      <c r="V518" s="3">
        <v>0.0</v>
      </c>
      <c r="W518" s="3">
        <v>1101.0</v>
      </c>
      <c r="X518" s="3">
        <v>7316.0</v>
      </c>
      <c r="Y518" s="3">
        <v>24.0</v>
      </c>
      <c r="Z518" s="3">
        <v>82.0</v>
      </c>
      <c r="AA518" s="3">
        <v>192.0</v>
      </c>
      <c r="AB518" s="3">
        <v>546.0</v>
      </c>
      <c r="AC518" s="3">
        <v>19.0</v>
      </c>
    </row>
    <row r="519">
      <c r="A519" s="3">
        <v>517.0</v>
      </c>
      <c r="B519" s="3" t="s">
        <v>2373</v>
      </c>
      <c r="C519" s="3">
        <v>302.0</v>
      </c>
      <c r="D519" s="3" t="s">
        <v>248</v>
      </c>
      <c r="E519" s="3">
        <v>20.75</v>
      </c>
      <c r="F519" s="3">
        <v>-89.466667</v>
      </c>
      <c r="G519" s="3">
        <v>50.0</v>
      </c>
      <c r="H519" s="3">
        <v>5.0</v>
      </c>
      <c r="I519" s="3" t="s">
        <v>92</v>
      </c>
      <c r="J519" s="3">
        <v>803.0</v>
      </c>
      <c r="K519" s="3">
        <v>809.0</v>
      </c>
      <c r="L519" s="3" t="s">
        <v>103</v>
      </c>
      <c r="M519" s="3">
        <v>2.0</v>
      </c>
      <c r="N519" s="3" t="s">
        <v>104</v>
      </c>
      <c r="O519" s="3" t="s">
        <v>2374</v>
      </c>
      <c r="P519" s="3" t="s">
        <v>2379</v>
      </c>
      <c r="Q519" s="3">
        <v>2.0</v>
      </c>
      <c r="R519" s="3">
        <v>551.0</v>
      </c>
      <c r="S519" s="3">
        <v>17.044704</v>
      </c>
      <c r="T519" s="3">
        <v>4.295824</v>
      </c>
      <c r="U519" s="3" t="s">
        <v>2376</v>
      </c>
      <c r="V519" s="3">
        <v>0.0</v>
      </c>
      <c r="W519" s="3">
        <v>1029.0</v>
      </c>
      <c r="X519" s="3">
        <v>7200.0</v>
      </c>
      <c r="Y519" s="3">
        <v>23.0</v>
      </c>
      <c r="Z519" s="3">
        <v>78.0</v>
      </c>
      <c r="AA519" s="3">
        <v>177.0</v>
      </c>
      <c r="AB519" s="3">
        <v>506.0</v>
      </c>
      <c r="AC519" s="3">
        <v>15.0</v>
      </c>
    </row>
    <row r="520">
      <c r="A520" s="3">
        <v>518.0</v>
      </c>
      <c r="B520" s="3" t="s">
        <v>2373</v>
      </c>
      <c r="C520" s="3">
        <v>412.0</v>
      </c>
      <c r="D520" s="3" t="s">
        <v>548</v>
      </c>
      <c r="E520" s="3">
        <v>20.46</v>
      </c>
      <c r="F520" s="3">
        <v>-89.17</v>
      </c>
      <c r="G520" s="3">
        <v>50.0</v>
      </c>
      <c r="H520" s="3">
        <v>5.0</v>
      </c>
      <c r="I520" s="3" t="s">
        <v>92</v>
      </c>
      <c r="J520" s="3">
        <v>803.0</v>
      </c>
      <c r="K520" s="3">
        <v>809.0</v>
      </c>
      <c r="L520" s="3" t="s">
        <v>103</v>
      </c>
      <c r="M520" s="3">
        <v>2.0</v>
      </c>
      <c r="N520" s="3" t="s">
        <v>104</v>
      </c>
      <c r="O520" s="3" t="s">
        <v>2374</v>
      </c>
      <c r="P520" s="3" t="s">
        <v>2379</v>
      </c>
      <c r="Q520" s="3">
        <v>2.0</v>
      </c>
      <c r="R520" s="3">
        <v>551.0</v>
      </c>
      <c r="S520" s="3">
        <v>17.044704</v>
      </c>
      <c r="T520" s="3">
        <v>4.295824</v>
      </c>
      <c r="U520" s="3" t="s">
        <v>2376</v>
      </c>
      <c r="V520" s="3">
        <v>0.0</v>
      </c>
      <c r="W520" s="3">
        <v>1167.0</v>
      </c>
      <c r="X520" s="3">
        <v>6564.0</v>
      </c>
      <c r="Y520" s="3">
        <v>29.0</v>
      </c>
      <c r="Z520" s="3">
        <v>103.0</v>
      </c>
      <c r="AA520" s="3">
        <v>203.0</v>
      </c>
      <c r="AB520" s="3">
        <v>540.0</v>
      </c>
      <c r="AC520" s="3">
        <v>21.0</v>
      </c>
    </row>
    <row r="521">
      <c r="A521" s="3">
        <v>519.0</v>
      </c>
      <c r="B521" s="3" t="s">
        <v>2373</v>
      </c>
      <c r="C521" s="3">
        <v>536.0</v>
      </c>
      <c r="D521" s="3" t="s">
        <v>85</v>
      </c>
      <c r="E521" s="3">
        <v>20.372967</v>
      </c>
      <c r="F521" s="3">
        <v>-89.569194</v>
      </c>
      <c r="G521" s="3">
        <v>50.0</v>
      </c>
      <c r="H521" s="3">
        <v>5.0</v>
      </c>
      <c r="I521" s="3" t="s">
        <v>92</v>
      </c>
      <c r="J521" s="3">
        <v>803.0</v>
      </c>
      <c r="K521" s="3">
        <v>809.0</v>
      </c>
      <c r="L521" s="3" t="s">
        <v>103</v>
      </c>
      <c r="M521" s="3">
        <v>2.0</v>
      </c>
      <c r="N521" s="3" t="s">
        <v>104</v>
      </c>
      <c r="O521" s="3" t="s">
        <v>2374</v>
      </c>
      <c r="P521" s="3" t="s">
        <v>2379</v>
      </c>
      <c r="Q521" s="3">
        <v>2.0</v>
      </c>
      <c r="R521" s="3">
        <v>551.0</v>
      </c>
      <c r="S521" s="3">
        <v>17.044704</v>
      </c>
      <c r="T521" s="3">
        <v>4.295824</v>
      </c>
      <c r="U521" s="3" t="s">
        <v>2376</v>
      </c>
      <c r="V521" s="3">
        <v>0.0</v>
      </c>
      <c r="W521" s="3">
        <v>1104.0</v>
      </c>
      <c r="X521" s="3">
        <v>7058.0</v>
      </c>
      <c r="Y521" s="3">
        <v>24.0</v>
      </c>
      <c r="Z521" s="3">
        <v>89.0</v>
      </c>
      <c r="AA521" s="3">
        <v>202.0</v>
      </c>
      <c r="AB521" s="3">
        <v>530.0</v>
      </c>
      <c r="AC521" s="3">
        <v>77.0</v>
      </c>
    </row>
    <row r="522">
      <c r="A522" s="3">
        <v>520.0</v>
      </c>
      <c r="B522" s="3" t="s">
        <v>2373</v>
      </c>
      <c r="C522" s="3">
        <v>49.0</v>
      </c>
      <c r="D522" s="3" t="s">
        <v>1240</v>
      </c>
      <c r="E522" s="3">
        <v>19.833333</v>
      </c>
      <c r="F522" s="3">
        <v>-88.75</v>
      </c>
      <c r="G522" s="3">
        <v>51.0</v>
      </c>
      <c r="H522" s="3">
        <v>5.0</v>
      </c>
      <c r="I522" s="3" t="s">
        <v>92</v>
      </c>
      <c r="J522" s="3">
        <v>804.0</v>
      </c>
      <c r="K522" s="3">
        <v>810.0</v>
      </c>
      <c r="L522" s="3" t="s">
        <v>239</v>
      </c>
      <c r="M522" s="3">
        <v>1.0</v>
      </c>
      <c r="N522" s="3" t="s">
        <v>121</v>
      </c>
      <c r="O522" s="3" t="s">
        <v>2374</v>
      </c>
      <c r="P522" s="3" t="s">
        <v>2378</v>
      </c>
      <c r="Q522" s="3">
        <v>2.0</v>
      </c>
      <c r="R522" s="3">
        <v>519.0</v>
      </c>
      <c r="S522" s="3">
        <v>27.741105</v>
      </c>
      <c r="T522" s="3">
        <v>5.96865</v>
      </c>
      <c r="U522" s="3" t="s">
        <v>2376</v>
      </c>
      <c r="V522" s="3">
        <v>0.0</v>
      </c>
      <c r="W522" s="3">
        <v>1264.0</v>
      </c>
      <c r="X522" s="3">
        <v>6202.0</v>
      </c>
      <c r="Y522" s="3">
        <v>31.0</v>
      </c>
      <c r="Z522" s="3">
        <v>108.0</v>
      </c>
      <c r="AA522" s="3">
        <v>217.0</v>
      </c>
      <c r="AB522" s="3">
        <v>553.0</v>
      </c>
      <c r="AC522" s="3">
        <v>42.0</v>
      </c>
    </row>
    <row r="523">
      <c r="A523" s="3">
        <v>521.0</v>
      </c>
      <c r="B523" s="3" t="s">
        <v>2373</v>
      </c>
      <c r="C523" s="3">
        <v>50.0</v>
      </c>
      <c r="D523" s="3" t="s">
        <v>1242</v>
      </c>
      <c r="E523" s="3">
        <v>19.833333</v>
      </c>
      <c r="F523" s="3">
        <v>-88.75</v>
      </c>
      <c r="G523" s="3">
        <v>51.0</v>
      </c>
      <c r="H523" s="3">
        <v>5.0</v>
      </c>
      <c r="I523" s="3" t="s">
        <v>92</v>
      </c>
      <c r="J523" s="3">
        <v>804.0</v>
      </c>
      <c r="K523" s="3">
        <v>810.0</v>
      </c>
      <c r="L523" s="3" t="s">
        <v>239</v>
      </c>
      <c r="M523" s="3">
        <v>1.0</v>
      </c>
      <c r="N523" s="3" t="s">
        <v>121</v>
      </c>
      <c r="O523" s="3" t="s">
        <v>2374</v>
      </c>
      <c r="P523" s="3" t="s">
        <v>2378</v>
      </c>
      <c r="Q523" s="3">
        <v>2.0</v>
      </c>
      <c r="R523" s="3">
        <v>519.0</v>
      </c>
      <c r="S523" s="3">
        <v>27.741105</v>
      </c>
      <c r="T523" s="3">
        <v>5.96865</v>
      </c>
      <c r="U523" s="3" t="s">
        <v>2376</v>
      </c>
      <c r="V523" s="3">
        <v>0.0</v>
      </c>
      <c r="W523" s="3">
        <v>1264.0</v>
      </c>
      <c r="X523" s="3">
        <v>6202.0</v>
      </c>
      <c r="Y523" s="3">
        <v>31.0</v>
      </c>
      <c r="Z523" s="3">
        <v>108.0</v>
      </c>
      <c r="AA523" s="3">
        <v>217.0</v>
      </c>
      <c r="AB523" s="3">
        <v>553.0</v>
      </c>
      <c r="AC523" s="3">
        <v>42.0</v>
      </c>
    </row>
    <row r="524">
      <c r="A524" s="3">
        <v>522.0</v>
      </c>
      <c r="B524" s="3" t="s">
        <v>2373</v>
      </c>
      <c r="C524" s="3">
        <v>51.0</v>
      </c>
      <c r="D524" s="3" t="s">
        <v>1243</v>
      </c>
      <c r="E524" s="3">
        <v>19.833333</v>
      </c>
      <c r="F524" s="3">
        <v>-88.75</v>
      </c>
      <c r="G524" s="3">
        <v>51.0</v>
      </c>
      <c r="H524" s="3">
        <v>5.0</v>
      </c>
      <c r="I524" s="3" t="s">
        <v>92</v>
      </c>
      <c r="J524" s="3">
        <v>804.0</v>
      </c>
      <c r="K524" s="3">
        <v>810.0</v>
      </c>
      <c r="L524" s="3" t="s">
        <v>239</v>
      </c>
      <c r="M524" s="3">
        <v>1.0</v>
      </c>
      <c r="N524" s="3" t="s">
        <v>121</v>
      </c>
      <c r="O524" s="3" t="s">
        <v>2374</v>
      </c>
      <c r="P524" s="3" t="s">
        <v>2378</v>
      </c>
      <c r="Q524" s="3">
        <v>2.0</v>
      </c>
      <c r="R524" s="3">
        <v>519.0</v>
      </c>
      <c r="S524" s="3">
        <v>27.741105</v>
      </c>
      <c r="T524" s="3">
        <v>5.96865</v>
      </c>
      <c r="U524" s="3" t="s">
        <v>2376</v>
      </c>
      <c r="V524" s="3">
        <v>0.0</v>
      </c>
      <c r="W524" s="3">
        <v>1264.0</v>
      </c>
      <c r="X524" s="3">
        <v>6202.0</v>
      </c>
      <c r="Y524" s="3">
        <v>31.0</v>
      </c>
      <c r="Z524" s="3">
        <v>108.0</v>
      </c>
      <c r="AA524" s="3">
        <v>217.0</v>
      </c>
      <c r="AB524" s="3">
        <v>553.0</v>
      </c>
      <c r="AC524" s="3">
        <v>42.0</v>
      </c>
    </row>
    <row r="525">
      <c r="A525" s="3">
        <v>523.0</v>
      </c>
      <c r="B525" s="3" t="s">
        <v>2373</v>
      </c>
      <c r="C525" s="3">
        <v>54.0</v>
      </c>
      <c r="D525" s="3" t="s">
        <v>1544</v>
      </c>
      <c r="E525" s="3">
        <v>20.633333</v>
      </c>
      <c r="F525" s="3">
        <v>-87.616667</v>
      </c>
      <c r="G525" s="3">
        <v>51.0</v>
      </c>
      <c r="H525" s="3">
        <v>5.0</v>
      </c>
      <c r="I525" s="3" t="s">
        <v>92</v>
      </c>
      <c r="J525" s="3">
        <v>804.0</v>
      </c>
      <c r="K525" s="3">
        <v>810.0</v>
      </c>
      <c r="L525" s="3" t="s">
        <v>239</v>
      </c>
      <c r="M525" s="3">
        <v>1.0</v>
      </c>
      <c r="N525" s="3" t="s">
        <v>121</v>
      </c>
      <c r="O525" s="3" t="s">
        <v>2374</v>
      </c>
      <c r="P525" s="3" t="s">
        <v>2378</v>
      </c>
      <c r="Q525" s="3">
        <v>2.0</v>
      </c>
      <c r="R525" s="3">
        <v>519.0</v>
      </c>
      <c r="S525" s="3">
        <v>27.741105</v>
      </c>
      <c r="T525" s="3">
        <v>5.96865</v>
      </c>
      <c r="U525" s="3" t="s">
        <v>2376</v>
      </c>
      <c r="V525" s="3">
        <v>0.0</v>
      </c>
      <c r="W525" s="3">
        <v>1188.0</v>
      </c>
      <c r="X525" s="3">
        <v>5407.0</v>
      </c>
      <c r="Y525" s="3">
        <v>44.0</v>
      </c>
      <c r="Z525" s="3">
        <v>136.0</v>
      </c>
      <c r="AA525" s="3">
        <v>189.0</v>
      </c>
      <c r="AB525" s="3">
        <v>508.0</v>
      </c>
      <c r="AC525" s="3">
        <v>20.0</v>
      </c>
    </row>
    <row r="526">
      <c r="A526" s="3">
        <v>524.0</v>
      </c>
      <c r="B526" s="3" t="s">
        <v>2373</v>
      </c>
      <c r="C526" s="3">
        <v>55.0</v>
      </c>
      <c r="D526" s="3" t="s">
        <v>1547</v>
      </c>
      <c r="E526" s="3">
        <v>20.633333</v>
      </c>
      <c r="F526" s="3">
        <v>-87.616667</v>
      </c>
      <c r="G526" s="3">
        <v>51.0</v>
      </c>
      <c r="H526" s="3">
        <v>5.0</v>
      </c>
      <c r="I526" s="3" t="s">
        <v>92</v>
      </c>
      <c r="J526" s="3">
        <v>804.0</v>
      </c>
      <c r="K526" s="3">
        <v>810.0</v>
      </c>
      <c r="L526" s="3" t="s">
        <v>239</v>
      </c>
      <c r="M526" s="3">
        <v>1.0</v>
      </c>
      <c r="N526" s="3" t="s">
        <v>121</v>
      </c>
      <c r="O526" s="3" t="s">
        <v>2374</v>
      </c>
      <c r="P526" s="3" t="s">
        <v>2378</v>
      </c>
      <c r="Q526" s="3">
        <v>2.0</v>
      </c>
      <c r="R526" s="3">
        <v>519.0</v>
      </c>
      <c r="S526" s="3">
        <v>27.741105</v>
      </c>
      <c r="T526" s="3">
        <v>5.96865</v>
      </c>
      <c r="U526" s="3" t="s">
        <v>2376</v>
      </c>
      <c r="V526" s="3">
        <v>0.0</v>
      </c>
      <c r="W526" s="3">
        <v>1188.0</v>
      </c>
      <c r="X526" s="3">
        <v>5407.0</v>
      </c>
      <c r="Y526" s="3">
        <v>44.0</v>
      </c>
      <c r="Z526" s="3">
        <v>136.0</v>
      </c>
      <c r="AA526" s="3">
        <v>189.0</v>
      </c>
      <c r="AB526" s="3">
        <v>508.0</v>
      </c>
      <c r="AC526" s="3">
        <v>20.0</v>
      </c>
    </row>
    <row r="527">
      <c r="A527" s="3">
        <v>525.0</v>
      </c>
      <c r="B527" s="3" t="s">
        <v>2373</v>
      </c>
      <c r="C527" s="3">
        <v>56.0</v>
      </c>
      <c r="D527" s="3" t="s">
        <v>1548</v>
      </c>
      <c r="E527" s="3">
        <v>20.633333</v>
      </c>
      <c r="F527" s="3">
        <v>-87.616667</v>
      </c>
      <c r="G527" s="3">
        <v>51.0</v>
      </c>
      <c r="H527" s="3">
        <v>5.0</v>
      </c>
      <c r="I527" s="3" t="s">
        <v>92</v>
      </c>
      <c r="J527" s="3">
        <v>804.0</v>
      </c>
      <c r="K527" s="3">
        <v>810.0</v>
      </c>
      <c r="L527" s="3" t="s">
        <v>239</v>
      </c>
      <c r="M527" s="3">
        <v>1.0</v>
      </c>
      <c r="N527" s="3" t="s">
        <v>121</v>
      </c>
      <c r="O527" s="3" t="s">
        <v>2374</v>
      </c>
      <c r="P527" s="3" t="s">
        <v>2378</v>
      </c>
      <c r="Q527" s="3">
        <v>2.0</v>
      </c>
      <c r="R527" s="3">
        <v>519.0</v>
      </c>
      <c r="S527" s="3">
        <v>27.741105</v>
      </c>
      <c r="T527" s="3">
        <v>5.96865</v>
      </c>
      <c r="U527" s="3" t="s">
        <v>2376</v>
      </c>
      <c r="V527" s="3">
        <v>0.0</v>
      </c>
      <c r="W527" s="3">
        <v>1188.0</v>
      </c>
      <c r="X527" s="3">
        <v>5407.0</v>
      </c>
      <c r="Y527" s="3">
        <v>44.0</v>
      </c>
      <c r="Z527" s="3">
        <v>136.0</v>
      </c>
      <c r="AA527" s="3">
        <v>189.0</v>
      </c>
      <c r="AB527" s="3">
        <v>508.0</v>
      </c>
      <c r="AC527" s="3">
        <v>20.0</v>
      </c>
    </row>
    <row r="528">
      <c r="A528" s="3">
        <v>526.0</v>
      </c>
      <c r="B528" s="3" t="s">
        <v>2373</v>
      </c>
      <c r="C528" s="3">
        <v>75.0</v>
      </c>
      <c r="D528" s="3" t="s">
        <v>1964</v>
      </c>
      <c r="E528" s="3">
        <v>20.491511</v>
      </c>
      <c r="F528" s="3">
        <v>-87.738733</v>
      </c>
      <c r="G528" s="3">
        <v>51.0</v>
      </c>
      <c r="H528" s="3">
        <v>5.0</v>
      </c>
      <c r="I528" s="3" t="s">
        <v>92</v>
      </c>
      <c r="J528" s="3">
        <v>804.0</v>
      </c>
      <c r="K528" s="3">
        <v>810.0</v>
      </c>
      <c r="L528" s="3" t="s">
        <v>239</v>
      </c>
      <c r="M528" s="3">
        <v>1.0</v>
      </c>
      <c r="N528" s="3" t="s">
        <v>121</v>
      </c>
      <c r="O528" s="3" t="s">
        <v>2374</v>
      </c>
      <c r="P528" s="3" t="s">
        <v>2378</v>
      </c>
      <c r="Q528" s="3">
        <v>2.0</v>
      </c>
      <c r="R528" s="3">
        <v>519.0</v>
      </c>
      <c r="S528" s="3">
        <v>27.741105</v>
      </c>
      <c r="T528" s="3">
        <v>5.96865</v>
      </c>
      <c r="U528" s="3" t="s">
        <v>2376</v>
      </c>
      <c r="V528" s="3">
        <v>0.0</v>
      </c>
      <c r="W528" s="3">
        <v>1151.0</v>
      </c>
      <c r="X528" s="3">
        <v>5567.0</v>
      </c>
      <c r="Y528" s="3">
        <v>42.0</v>
      </c>
      <c r="Z528" s="3">
        <v>129.0</v>
      </c>
      <c r="AA528" s="3">
        <v>189.0</v>
      </c>
      <c r="AB528" s="3">
        <v>500.0</v>
      </c>
      <c r="AC528" s="3">
        <v>14.0</v>
      </c>
    </row>
    <row r="529">
      <c r="A529" s="3">
        <v>527.0</v>
      </c>
      <c r="B529" s="3" t="s">
        <v>2373</v>
      </c>
      <c r="C529" s="3">
        <v>76.0</v>
      </c>
      <c r="D529" s="3" t="s">
        <v>452</v>
      </c>
      <c r="E529" s="3">
        <v>20.491511</v>
      </c>
      <c r="F529" s="3">
        <v>-87.738733</v>
      </c>
      <c r="G529" s="3">
        <v>51.0</v>
      </c>
      <c r="H529" s="3">
        <v>5.0</v>
      </c>
      <c r="I529" s="3" t="s">
        <v>92</v>
      </c>
      <c r="J529" s="3">
        <v>804.0</v>
      </c>
      <c r="K529" s="3">
        <v>810.0</v>
      </c>
      <c r="L529" s="3" t="s">
        <v>239</v>
      </c>
      <c r="M529" s="3">
        <v>1.0</v>
      </c>
      <c r="N529" s="3" t="s">
        <v>121</v>
      </c>
      <c r="O529" s="3" t="s">
        <v>2374</v>
      </c>
      <c r="P529" s="3" t="s">
        <v>2378</v>
      </c>
      <c r="Q529" s="3">
        <v>2.0</v>
      </c>
      <c r="R529" s="3">
        <v>519.0</v>
      </c>
      <c r="S529" s="3">
        <v>27.741105</v>
      </c>
      <c r="T529" s="3">
        <v>5.96865</v>
      </c>
      <c r="U529" s="3" t="s">
        <v>2376</v>
      </c>
      <c r="V529" s="3">
        <v>0.0</v>
      </c>
      <c r="W529" s="3">
        <v>1151.0</v>
      </c>
      <c r="X529" s="3">
        <v>5567.0</v>
      </c>
      <c r="Y529" s="3">
        <v>42.0</v>
      </c>
      <c r="Z529" s="3">
        <v>129.0</v>
      </c>
      <c r="AA529" s="3">
        <v>189.0</v>
      </c>
      <c r="AB529" s="3">
        <v>500.0</v>
      </c>
      <c r="AC529" s="3">
        <v>14.0</v>
      </c>
    </row>
    <row r="530">
      <c r="A530" s="3">
        <v>528.0</v>
      </c>
      <c r="B530" s="3" t="s">
        <v>2373</v>
      </c>
      <c r="C530" s="3">
        <v>77.0</v>
      </c>
      <c r="D530" s="3" t="s">
        <v>1966</v>
      </c>
      <c r="E530" s="3">
        <v>20.491511</v>
      </c>
      <c r="F530" s="3">
        <v>-87.738733</v>
      </c>
      <c r="G530" s="3">
        <v>51.0</v>
      </c>
      <c r="H530" s="3">
        <v>5.0</v>
      </c>
      <c r="I530" s="3" t="s">
        <v>92</v>
      </c>
      <c r="J530" s="3">
        <v>804.0</v>
      </c>
      <c r="K530" s="3">
        <v>810.0</v>
      </c>
      <c r="L530" s="3" t="s">
        <v>239</v>
      </c>
      <c r="M530" s="3">
        <v>1.0</v>
      </c>
      <c r="N530" s="3" t="s">
        <v>121</v>
      </c>
      <c r="O530" s="3" t="s">
        <v>2374</v>
      </c>
      <c r="P530" s="3" t="s">
        <v>2378</v>
      </c>
      <c r="Q530" s="3">
        <v>2.0</v>
      </c>
      <c r="R530" s="3">
        <v>519.0</v>
      </c>
      <c r="S530" s="3">
        <v>27.741105</v>
      </c>
      <c r="T530" s="3">
        <v>5.96865</v>
      </c>
      <c r="U530" s="3" t="s">
        <v>2376</v>
      </c>
      <c r="V530" s="3">
        <v>0.0</v>
      </c>
      <c r="W530" s="3">
        <v>1151.0</v>
      </c>
      <c r="X530" s="3">
        <v>5567.0</v>
      </c>
      <c r="Y530" s="3">
        <v>42.0</v>
      </c>
      <c r="Z530" s="3">
        <v>129.0</v>
      </c>
      <c r="AA530" s="3">
        <v>189.0</v>
      </c>
      <c r="AB530" s="3">
        <v>500.0</v>
      </c>
      <c r="AC530" s="3">
        <v>14.0</v>
      </c>
    </row>
    <row r="531">
      <c r="A531" s="3">
        <v>529.0</v>
      </c>
      <c r="B531" s="3" t="s">
        <v>2373</v>
      </c>
      <c r="C531" s="3">
        <v>78.0</v>
      </c>
      <c r="D531" s="3" t="s">
        <v>1968</v>
      </c>
      <c r="E531" s="3">
        <v>20.491511</v>
      </c>
      <c r="F531" s="3">
        <v>-87.738733</v>
      </c>
      <c r="G531" s="3">
        <v>51.0</v>
      </c>
      <c r="H531" s="3">
        <v>5.0</v>
      </c>
      <c r="I531" s="3" t="s">
        <v>92</v>
      </c>
      <c r="J531" s="3">
        <v>804.0</v>
      </c>
      <c r="K531" s="3">
        <v>810.0</v>
      </c>
      <c r="L531" s="3" t="s">
        <v>239</v>
      </c>
      <c r="M531" s="3">
        <v>1.0</v>
      </c>
      <c r="N531" s="3" t="s">
        <v>121</v>
      </c>
      <c r="O531" s="3" t="s">
        <v>2374</v>
      </c>
      <c r="P531" s="3" t="s">
        <v>2378</v>
      </c>
      <c r="Q531" s="3">
        <v>2.0</v>
      </c>
      <c r="R531" s="3">
        <v>519.0</v>
      </c>
      <c r="S531" s="3">
        <v>27.741105</v>
      </c>
      <c r="T531" s="3">
        <v>5.96865</v>
      </c>
      <c r="U531" s="3" t="s">
        <v>2376</v>
      </c>
      <c r="V531" s="3">
        <v>0.0</v>
      </c>
      <c r="W531" s="3">
        <v>1151.0</v>
      </c>
      <c r="X531" s="3">
        <v>5567.0</v>
      </c>
      <c r="Y531" s="3">
        <v>42.0</v>
      </c>
      <c r="Z531" s="3">
        <v>129.0</v>
      </c>
      <c r="AA531" s="3">
        <v>189.0</v>
      </c>
      <c r="AB531" s="3">
        <v>500.0</v>
      </c>
      <c r="AC531" s="3">
        <v>14.0</v>
      </c>
    </row>
    <row r="532">
      <c r="A532" s="3">
        <v>530.0</v>
      </c>
      <c r="B532" s="3" t="s">
        <v>2373</v>
      </c>
      <c r="C532" s="3">
        <v>79.0</v>
      </c>
      <c r="D532" s="3" t="s">
        <v>1970</v>
      </c>
      <c r="E532" s="3">
        <v>20.491511</v>
      </c>
      <c r="F532" s="3">
        <v>-87.738733</v>
      </c>
      <c r="G532" s="3">
        <v>51.0</v>
      </c>
      <c r="H532" s="3">
        <v>5.0</v>
      </c>
      <c r="I532" s="3" t="s">
        <v>92</v>
      </c>
      <c r="J532" s="3">
        <v>804.0</v>
      </c>
      <c r="K532" s="3">
        <v>810.0</v>
      </c>
      <c r="L532" s="3" t="s">
        <v>239</v>
      </c>
      <c r="M532" s="3">
        <v>1.0</v>
      </c>
      <c r="N532" s="3" t="s">
        <v>121</v>
      </c>
      <c r="O532" s="3" t="s">
        <v>2374</v>
      </c>
      <c r="P532" s="3" t="s">
        <v>2378</v>
      </c>
      <c r="Q532" s="3">
        <v>2.0</v>
      </c>
      <c r="R532" s="3">
        <v>519.0</v>
      </c>
      <c r="S532" s="3">
        <v>27.741105</v>
      </c>
      <c r="T532" s="3">
        <v>5.96865</v>
      </c>
      <c r="U532" s="3" t="s">
        <v>2376</v>
      </c>
      <c r="V532" s="3">
        <v>0.0</v>
      </c>
      <c r="W532" s="3">
        <v>1151.0</v>
      </c>
      <c r="X532" s="3">
        <v>5567.0</v>
      </c>
      <c r="Y532" s="3">
        <v>42.0</v>
      </c>
      <c r="Z532" s="3">
        <v>129.0</v>
      </c>
      <c r="AA532" s="3">
        <v>189.0</v>
      </c>
      <c r="AB532" s="3">
        <v>500.0</v>
      </c>
      <c r="AC532" s="3">
        <v>14.0</v>
      </c>
    </row>
    <row r="533">
      <c r="A533" s="3">
        <v>531.0</v>
      </c>
      <c r="B533" s="3" t="s">
        <v>2373</v>
      </c>
      <c r="C533" s="3">
        <v>95.0</v>
      </c>
      <c r="D533" s="3" t="s">
        <v>1549</v>
      </c>
      <c r="E533" s="3">
        <v>20.491511</v>
      </c>
      <c r="F533" s="3">
        <v>-87.738733</v>
      </c>
      <c r="G533" s="3">
        <v>51.0</v>
      </c>
      <c r="H533" s="3">
        <v>5.0</v>
      </c>
      <c r="I533" s="3" t="s">
        <v>92</v>
      </c>
      <c r="J533" s="3">
        <v>804.0</v>
      </c>
      <c r="K533" s="3">
        <v>810.0</v>
      </c>
      <c r="L533" s="3" t="s">
        <v>239</v>
      </c>
      <c r="M533" s="3">
        <v>1.0</v>
      </c>
      <c r="N533" s="3" t="s">
        <v>121</v>
      </c>
      <c r="O533" s="3" t="s">
        <v>2374</v>
      </c>
      <c r="P533" s="3" t="s">
        <v>2378</v>
      </c>
      <c r="Q533" s="3">
        <v>2.0</v>
      </c>
      <c r="R533" s="3">
        <v>519.0</v>
      </c>
      <c r="S533" s="3">
        <v>27.741105</v>
      </c>
      <c r="T533" s="3">
        <v>5.96865</v>
      </c>
      <c r="U533" s="3" t="s">
        <v>2376</v>
      </c>
      <c r="V533" s="3">
        <v>0.0</v>
      </c>
      <c r="W533" s="3">
        <v>1151.0</v>
      </c>
      <c r="X533" s="3">
        <v>5567.0</v>
      </c>
      <c r="Y533" s="3">
        <v>42.0</v>
      </c>
      <c r="Z533" s="3">
        <v>129.0</v>
      </c>
      <c r="AA533" s="3">
        <v>189.0</v>
      </c>
      <c r="AB533" s="3">
        <v>500.0</v>
      </c>
      <c r="AC533" s="3">
        <v>14.0</v>
      </c>
    </row>
    <row r="534">
      <c r="A534" s="3">
        <v>532.0</v>
      </c>
      <c r="B534" s="3" t="s">
        <v>2373</v>
      </c>
      <c r="C534" s="3">
        <v>96.0</v>
      </c>
      <c r="D534" s="3" t="s">
        <v>572</v>
      </c>
      <c r="E534" s="3">
        <v>20.491511</v>
      </c>
      <c r="F534" s="3">
        <v>-87.738733</v>
      </c>
      <c r="G534" s="3">
        <v>51.0</v>
      </c>
      <c r="H534" s="3">
        <v>5.0</v>
      </c>
      <c r="I534" s="3" t="s">
        <v>92</v>
      </c>
      <c r="J534" s="3">
        <v>804.0</v>
      </c>
      <c r="K534" s="3">
        <v>810.0</v>
      </c>
      <c r="L534" s="3" t="s">
        <v>239</v>
      </c>
      <c r="M534" s="3">
        <v>1.0</v>
      </c>
      <c r="N534" s="3" t="s">
        <v>121</v>
      </c>
      <c r="O534" s="3" t="s">
        <v>2374</v>
      </c>
      <c r="P534" s="3" t="s">
        <v>2378</v>
      </c>
      <c r="Q534" s="3">
        <v>2.0</v>
      </c>
      <c r="R534" s="3">
        <v>519.0</v>
      </c>
      <c r="S534" s="3">
        <v>27.741105</v>
      </c>
      <c r="T534" s="3">
        <v>5.96865</v>
      </c>
      <c r="U534" s="3" t="s">
        <v>2376</v>
      </c>
      <c r="V534" s="3">
        <v>0.0</v>
      </c>
      <c r="W534" s="3">
        <v>1151.0</v>
      </c>
      <c r="X534" s="3">
        <v>5567.0</v>
      </c>
      <c r="Y534" s="3">
        <v>42.0</v>
      </c>
      <c r="Z534" s="3">
        <v>129.0</v>
      </c>
      <c r="AA534" s="3">
        <v>189.0</v>
      </c>
      <c r="AB534" s="3">
        <v>500.0</v>
      </c>
      <c r="AC534" s="3">
        <v>14.0</v>
      </c>
    </row>
    <row r="535">
      <c r="A535" s="3">
        <v>533.0</v>
      </c>
      <c r="B535" s="3" t="s">
        <v>2373</v>
      </c>
      <c r="C535" s="3">
        <v>97.0</v>
      </c>
      <c r="D535" s="3" t="s">
        <v>577</v>
      </c>
      <c r="E535" s="3">
        <v>20.491511</v>
      </c>
      <c r="F535" s="3">
        <v>-87.738733</v>
      </c>
      <c r="G535" s="3">
        <v>51.0</v>
      </c>
      <c r="H535" s="3">
        <v>5.0</v>
      </c>
      <c r="I535" s="3" t="s">
        <v>92</v>
      </c>
      <c r="J535" s="3">
        <v>804.0</v>
      </c>
      <c r="K535" s="3">
        <v>810.0</v>
      </c>
      <c r="L535" s="3" t="s">
        <v>239</v>
      </c>
      <c r="M535" s="3">
        <v>1.0</v>
      </c>
      <c r="N535" s="3" t="s">
        <v>121</v>
      </c>
      <c r="O535" s="3" t="s">
        <v>2374</v>
      </c>
      <c r="P535" s="3" t="s">
        <v>2378</v>
      </c>
      <c r="Q535" s="3">
        <v>2.0</v>
      </c>
      <c r="R535" s="3">
        <v>519.0</v>
      </c>
      <c r="S535" s="3">
        <v>27.741105</v>
      </c>
      <c r="T535" s="3">
        <v>5.96865</v>
      </c>
      <c r="U535" s="3" t="s">
        <v>2376</v>
      </c>
      <c r="V535" s="3">
        <v>0.0</v>
      </c>
      <c r="W535" s="3">
        <v>1151.0</v>
      </c>
      <c r="X535" s="3">
        <v>5567.0</v>
      </c>
      <c r="Y535" s="3">
        <v>42.0</v>
      </c>
      <c r="Z535" s="3">
        <v>129.0</v>
      </c>
      <c r="AA535" s="3">
        <v>189.0</v>
      </c>
      <c r="AB535" s="3">
        <v>500.0</v>
      </c>
      <c r="AC535" s="3">
        <v>14.0</v>
      </c>
    </row>
    <row r="536">
      <c r="A536" s="3">
        <v>534.0</v>
      </c>
      <c r="B536" s="3" t="s">
        <v>2373</v>
      </c>
      <c r="C536" s="3">
        <v>98.0</v>
      </c>
      <c r="D536" s="3" t="s">
        <v>579</v>
      </c>
      <c r="E536" s="3">
        <v>20.491511</v>
      </c>
      <c r="F536" s="3">
        <v>-87.738733</v>
      </c>
      <c r="G536" s="3">
        <v>51.0</v>
      </c>
      <c r="H536" s="3">
        <v>5.0</v>
      </c>
      <c r="I536" s="3" t="s">
        <v>92</v>
      </c>
      <c r="J536" s="3">
        <v>804.0</v>
      </c>
      <c r="K536" s="3">
        <v>810.0</v>
      </c>
      <c r="L536" s="3" t="s">
        <v>239</v>
      </c>
      <c r="M536" s="3">
        <v>1.0</v>
      </c>
      <c r="N536" s="3" t="s">
        <v>121</v>
      </c>
      <c r="O536" s="3" t="s">
        <v>2374</v>
      </c>
      <c r="P536" s="3" t="s">
        <v>2378</v>
      </c>
      <c r="Q536" s="3">
        <v>2.0</v>
      </c>
      <c r="R536" s="3">
        <v>519.0</v>
      </c>
      <c r="S536" s="3">
        <v>27.741105</v>
      </c>
      <c r="T536" s="3">
        <v>5.96865</v>
      </c>
      <c r="U536" s="3" t="s">
        <v>2376</v>
      </c>
      <c r="V536" s="3">
        <v>0.0</v>
      </c>
      <c r="W536" s="3">
        <v>1151.0</v>
      </c>
      <c r="X536" s="3">
        <v>5567.0</v>
      </c>
      <c r="Y536" s="3">
        <v>42.0</v>
      </c>
      <c r="Z536" s="3">
        <v>129.0</v>
      </c>
      <c r="AA536" s="3">
        <v>189.0</v>
      </c>
      <c r="AB536" s="3">
        <v>500.0</v>
      </c>
      <c r="AC536" s="3">
        <v>14.0</v>
      </c>
    </row>
    <row r="537">
      <c r="A537" s="3">
        <v>535.0</v>
      </c>
      <c r="B537" s="3" t="s">
        <v>2373</v>
      </c>
      <c r="C537" s="3">
        <v>106.0</v>
      </c>
      <c r="D537" s="3" t="s">
        <v>1836</v>
      </c>
      <c r="E537" s="3">
        <v>19.87</v>
      </c>
      <c r="F537" s="3">
        <v>-88.77</v>
      </c>
      <c r="G537" s="3">
        <v>51.0</v>
      </c>
      <c r="H537" s="3">
        <v>5.0</v>
      </c>
      <c r="I537" s="3" t="s">
        <v>92</v>
      </c>
      <c r="J537" s="3">
        <v>804.0</v>
      </c>
      <c r="K537" s="3">
        <v>810.0</v>
      </c>
      <c r="L537" s="3" t="s">
        <v>239</v>
      </c>
      <c r="M537" s="3">
        <v>1.0</v>
      </c>
      <c r="N537" s="3" t="s">
        <v>121</v>
      </c>
      <c r="O537" s="3" t="s">
        <v>2374</v>
      </c>
      <c r="P537" s="3" t="s">
        <v>2378</v>
      </c>
      <c r="Q537" s="3">
        <v>2.0</v>
      </c>
      <c r="R537" s="3">
        <v>519.0</v>
      </c>
      <c r="S537" s="3">
        <v>27.741105</v>
      </c>
      <c r="T537" s="3">
        <v>5.96865</v>
      </c>
      <c r="U537" s="3" t="s">
        <v>2376</v>
      </c>
      <c r="V537" s="3">
        <v>0.0</v>
      </c>
      <c r="W537" s="3">
        <v>1244.0</v>
      </c>
      <c r="X537" s="3">
        <v>6267.0</v>
      </c>
      <c r="Y537" s="3">
        <v>31.0</v>
      </c>
      <c r="Z537" s="3">
        <v>105.0</v>
      </c>
      <c r="AA537" s="3">
        <v>215.0</v>
      </c>
      <c r="AB537" s="3">
        <v>548.0</v>
      </c>
      <c r="AC537" s="3">
        <v>36.0</v>
      </c>
    </row>
    <row r="538">
      <c r="A538" s="3">
        <v>536.0</v>
      </c>
      <c r="B538" s="3" t="s">
        <v>2373</v>
      </c>
      <c r="C538" s="3">
        <v>107.0</v>
      </c>
      <c r="D538" s="3" t="s">
        <v>1837</v>
      </c>
      <c r="E538" s="3">
        <v>19.87</v>
      </c>
      <c r="F538" s="3">
        <v>-88.77</v>
      </c>
      <c r="G538" s="3">
        <v>51.0</v>
      </c>
      <c r="H538" s="3">
        <v>5.0</v>
      </c>
      <c r="I538" s="3" t="s">
        <v>92</v>
      </c>
      <c r="J538" s="3">
        <v>804.0</v>
      </c>
      <c r="K538" s="3">
        <v>810.0</v>
      </c>
      <c r="L538" s="3" t="s">
        <v>239</v>
      </c>
      <c r="M538" s="3">
        <v>1.0</v>
      </c>
      <c r="N538" s="3" t="s">
        <v>121</v>
      </c>
      <c r="O538" s="3" t="s">
        <v>2374</v>
      </c>
      <c r="P538" s="3" t="s">
        <v>2378</v>
      </c>
      <c r="Q538" s="3">
        <v>2.0</v>
      </c>
      <c r="R538" s="3">
        <v>519.0</v>
      </c>
      <c r="S538" s="3">
        <v>27.741105</v>
      </c>
      <c r="T538" s="3">
        <v>5.96865</v>
      </c>
      <c r="U538" s="3" t="s">
        <v>2376</v>
      </c>
      <c r="V538" s="3">
        <v>0.0</v>
      </c>
      <c r="W538" s="3">
        <v>1244.0</v>
      </c>
      <c r="X538" s="3">
        <v>6267.0</v>
      </c>
      <c r="Y538" s="3">
        <v>31.0</v>
      </c>
      <c r="Z538" s="3">
        <v>105.0</v>
      </c>
      <c r="AA538" s="3">
        <v>215.0</v>
      </c>
      <c r="AB538" s="3">
        <v>548.0</v>
      </c>
      <c r="AC538" s="3">
        <v>36.0</v>
      </c>
    </row>
    <row r="539">
      <c r="A539" s="3">
        <v>537.0</v>
      </c>
      <c r="B539" s="3" t="s">
        <v>2373</v>
      </c>
      <c r="C539" s="3">
        <v>184.0</v>
      </c>
      <c r="D539" s="3" t="s">
        <v>1648</v>
      </c>
      <c r="E539" s="3">
        <v>19.857061</v>
      </c>
      <c r="F539" s="3">
        <v>-88.763083</v>
      </c>
      <c r="G539" s="3">
        <v>51.0</v>
      </c>
      <c r="H539" s="3">
        <v>5.0</v>
      </c>
      <c r="I539" s="3" t="s">
        <v>92</v>
      </c>
      <c r="J539" s="3">
        <v>804.0</v>
      </c>
      <c r="K539" s="3">
        <v>810.0</v>
      </c>
      <c r="L539" s="3" t="s">
        <v>239</v>
      </c>
      <c r="M539" s="3">
        <v>1.0</v>
      </c>
      <c r="N539" s="3" t="s">
        <v>121</v>
      </c>
      <c r="O539" s="3" t="s">
        <v>2374</v>
      </c>
      <c r="P539" s="3" t="s">
        <v>2378</v>
      </c>
      <c r="Q539" s="3">
        <v>2.0</v>
      </c>
      <c r="R539" s="3">
        <v>519.0</v>
      </c>
      <c r="S539" s="3">
        <v>27.741105</v>
      </c>
      <c r="T539" s="3">
        <v>5.96865</v>
      </c>
      <c r="U539" s="3" t="s">
        <v>2376</v>
      </c>
      <c r="V539" s="3">
        <v>0.0</v>
      </c>
      <c r="W539" s="3">
        <v>1254.0</v>
      </c>
      <c r="X539" s="3">
        <v>6228.0</v>
      </c>
      <c r="Y539" s="3">
        <v>32.0</v>
      </c>
      <c r="Z539" s="3">
        <v>107.0</v>
      </c>
      <c r="AA539" s="3">
        <v>216.0</v>
      </c>
      <c r="AB539" s="3">
        <v>551.0</v>
      </c>
      <c r="AC539" s="3">
        <v>36.0</v>
      </c>
    </row>
    <row r="540">
      <c r="A540" s="3">
        <v>538.0</v>
      </c>
      <c r="B540" s="3" t="s">
        <v>2373</v>
      </c>
      <c r="C540" s="3">
        <v>209.0</v>
      </c>
      <c r="D540" s="3" t="s">
        <v>1997</v>
      </c>
      <c r="E540" s="3">
        <v>18.446667</v>
      </c>
      <c r="F540" s="3">
        <v>-88.529722</v>
      </c>
      <c r="G540" s="3">
        <v>51.0</v>
      </c>
      <c r="H540" s="3">
        <v>5.0</v>
      </c>
      <c r="I540" s="3" t="s">
        <v>92</v>
      </c>
      <c r="J540" s="3">
        <v>804.0</v>
      </c>
      <c r="K540" s="3">
        <v>810.0</v>
      </c>
      <c r="L540" s="3" t="s">
        <v>239</v>
      </c>
      <c r="M540" s="3">
        <v>1.0</v>
      </c>
      <c r="N540" s="3" t="s">
        <v>121</v>
      </c>
      <c r="O540" s="3" t="s">
        <v>2374</v>
      </c>
      <c r="P540" s="3" t="s">
        <v>2378</v>
      </c>
      <c r="Q540" s="3">
        <v>2.0</v>
      </c>
      <c r="R540" s="3">
        <v>519.0</v>
      </c>
      <c r="S540" s="3">
        <v>27.741105</v>
      </c>
      <c r="T540" s="3">
        <v>5.96865</v>
      </c>
      <c r="U540" s="3" t="s">
        <v>2376</v>
      </c>
      <c r="V540" s="3">
        <v>0.0</v>
      </c>
      <c r="W540" s="3">
        <v>1193.0</v>
      </c>
      <c r="X540" s="3">
        <v>6287.0</v>
      </c>
      <c r="Y540" s="3">
        <v>23.0</v>
      </c>
      <c r="Z540" s="3">
        <v>84.0</v>
      </c>
      <c r="AA540" s="3">
        <v>191.0</v>
      </c>
      <c r="AB540" s="3">
        <v>495.0</v>
      </c>
      <c r="AC540" s="3">
        <v>19.0</v>
      </c>
    </row>
    <row r="541">
      <c r="A541" s="3">
        <v>539.0</v>
      </c>
      <c r="B541" s="3" t="s">
        <v>2373</v>
      </c>
      <c r="C541" s="3">
        <v>221.0</v>
      </c>
      <c r="D541" s="3" t="s">
        <v>234</v>
      </c>
      <c r="E541" s="3">
        <v>20.648487</v>
      </c>
      <c r="F541" s="3">
        <v>-87.637178</v>
      </c>
      <c r="G541" s="3">
        <v>51.0</v>
      </c>
      <c r="H541" s="3">
        <v>5.0</v>
      </c>
      <c r="I541" s="3" t="s">
        <v>92</v>
      </c>
      <c r="J541" s="3">
        <v>804.0</v>
      </c>
      <c r="K541" s="3">
        <v>810.0</v>
      </c>
      <c r="L541" s="3" t="s">
        <v>239</v>
      </c>
      <c r="M541" s="3">
        <v>1.0</v>
      </c>
      <c r="N541" s="3" t="s">
        <v>121</v>
      </c>
      <c r="O541" s="3" t="s">
        <v>2374</v>
      </c>
      <c r="P541" s="3" t="s">
        <v>2378</v>
      </c>
      <c r="Q541" s="3">
        <v>2.0</v>
      </c>
      <c r="R541" s="3">
        <v>519.0</v>
      </c>
      <c r="S541" s="3">
        <v>27.741105</v>
      </c>
      <c r="T541" s="3">
        <v>5.96865</v>
      </c>
      <c r="U541" s="3" t="s">
        <v>2376</v>
      </c>
      <c r="V541" s="3">
        <v>0.0</v>
      </c>
      <c r="W541" s="3">
        <v>1183.0</v>
      </c>
      <c r="X541" s="3">
        <v>5425.0</v>
      </c>
      <c r="Y541" s="3">
        <v>44.0</v>
      </c>
      <c r="Z541" s="3">
        <v>136.0</v>
      </c>
      <c r="AA541" s="3">
        <v>188.0</v>
      </c>
      <c r="AB541" s="3">
        <v>505.0</v>
      </c>
      <c r="AC541" s="3">
        <v>22.0</v>
      </c>
    </row>
    <row r="542">
      <c r="A542" s="3">
        <v>540.0</v>
      </c>
      <c r="B542" s="3" t="s">
        <v>2373</v>
      </c>
      <c r="C542" s="3">
        <v>222.0</v>
      </c>
      <c r="D542" s="3" t="s">
        <v>240</v>
      </c>
      <c r="E542" s="3">
        <v>20.648487</v>
      </c>
      <c r="F542" s="3">
        <v>-87.637178</v>
      </c>
      <c r="G542" s="3">
        <v>51.0</v>
      </c>
      <c r="H542" s="3">
        <v>5.0</v>
      </c>
      <c r="I542" s="3" t="s">
        <v>92</v>
      </c>
      <c r="J542" s="3">
        <v>804.0</v>
      </c>
      <c r="K542" s="3">
        <v>810.0</v>
      </c>
      <c r="L542" s="3" t="s">
        <v>239</v>
      </c>
      <c r="M542" s="3">
        <v>1.0</v>
      </c>
      <c r="N542" s="3" t="s">
        <v>121</v>
      </c>
      <c r="O542" s="3" t="s">
        <v>2374</v>
      </c>
      <c r="P542" s="3" t="s">
        <v>2378</v>
      </c>
      <c r="Q542" s="3">
        <v>2.0</v>
      </c>
      <c r="R542" s="3">
        <v>519.0</v>
      </c>
      <c r="S542" s="3">
        <v>27.741105</v>
      </c>
      <c r="T542" s="3">
        <v>5.96865</v>
      </c>
      <c r="U542" s="3" t="s">
        <v>2376</v>
      </c>
      <c r="V542" s="3">
        <v>0.0</v>
      </c>
      <c r="W542" s="3">
        <v>1183.0</v>
      </c>
      <c r="X542" s="3">
        <v>5425.0</v>
      </c>
      <c r="Y542" s="3">
        <v>44.0</v>
      </c>
      <c r="Z542" s="3">
        <v>136.0</v>
      </c>
      <c r="AA542" s="3">
        <v>188.0</v>
      </c>
      <c r="AB542" s="3">
        <v>505.0</v>
      </c>
      <c r="AC542" s="3">
        <v>22.0</v>
      </c>
    </row>
    <row r="543">
      <c r="A543" s="3">
        <v>541.0</v>
      </c>
      <c r="B543" s="3" t="s">
        <v>2373</v>
      </c>
      <c r="C543" s="3">
        <v>223.0</v>
      </c>
      <c r="D543" s="3" t="s">
        <v>241</v>
      </c>
      <c r="E543" s="3">
        <v>20.648487</v>
      </c>
      <c r="F543" s="3">
        <v>-87.637178</v>
      </c>
      <c r="G543" s="3">
        <v>51.0</v>
      </c>
      <c r="H543" s="3">
        <v>5.0</v>
      </c>
      <c r="I543" s="3" t="s">
        <v>92</v>
      </c>
      <c r="J543" s="3">
        <v>804.0</v>
      </c>
      <c r="K543" s="3">
        <v>810.0</v>
      </c>
      <c r="L543" s="3" t="s">
        <v>239</v>
      </c>
      <c r="M543" s="3">
        <v>1.0</v>
      </c>
      <c r="N543" s="3" t="s">
        <v>121</v>
      </c>
      <c r="O543" s="3" t="s">
        <v>2374</v>
      </c>
      <c r="P543" s="3" t="s">
        <v>2378</v>
      </c>
      <c r="Q543" s="3">
        <v>2.0</v>
      </c>
      <c r="R543" s="3">
        <v>519.0</v>
      </c>
      <c r="S543" s="3">
        <v>27.741105</v>
      </c>
      <c r="T543" s="3">
        <v>5.96865</v>
      </c>
      <c r="U543" s="3" t="s">
        <v>2376</v>
      </c>
      <c r="V543" s="3">
        <v>0.0</v>
      </c>
      <c r="W543" s="3">
        <v>1183.0</v>
      </c>
      <c r="X543" s="3">
        <v>5425.0</v>
      </c>
      <c r="Y543" s="3">
        <v>44.0</v>
      </c>
      <c r="Z543" s="3">
        <v>136.0</v>
      </c>
      <c r="AA543" s="3">
        <v>188.0</v>
      </c>
      <c r="AB543" s="3">
        <v>505.0</v>
      </c>
      <c r="AC543" s="3">
        <v>22.0</v>
      </c>
    </row>
    <row r="544">
      <c r="A544" s="3">
        <v>542.0</v>
      </c>
      <c r="B544" s="3" t="s">
        <v>2373</v>
      </c>
      <c r="C544" s="3">
        <v>224.0</v>
      </c>
      <c r="D544" s="3" t="s">
        <v>243</v>
      </c>
      <c r="E544" s="3">
        <v>20.648487</v>
      </c>
      <c r="F544" s="3">
        <v>-87.637178</v>
      </c>
      <c r="G544" s="3">
        <v>51.0</v>
      </c>
      <c r="H544" s="3">
        <v>5.0</v>
      </c>
      <c r="I544" s="3" t="s">
        <v>92</v>
      </c>
      <c r="J544" s="3">
        <v>804.0</v>
      </c>
      <c r="K544" s="3">
        <v>810.0</v>
      </c>
      <c r="L544" s="3" t="s">
        <v>239</v>
      </c>
      <c r="M544" s="3">
        <v>1.0</v>
      </c>
      <c r="N544" s="3" t="s">
        <v>121</v>
      </c>
      <c r="O544" s="3" t="s">
        <v>2374</v>
      </c>
      <c r="P544" s="3" t="s">
        <v>2378</v>
      </c>
      <c r="Q544" s="3">
        <v>2.0</v>
      </c>
      <c r="R544" s="3">
        <v>519.0</v>
      </c>
      <c r="S544" s="3">
        <v>27.741105</v>
      </c>
      <c r="T544" s="3">
        <v>5.96865</v>
      </c>
      <c r="U544" s="3" t="s">
        <v>2376</v>
      </c>
      <c r="V544" s="3">
        <v>0.0</v>
      </c>
      <c r="W544" s="3">
        <v>1183.0</v>
      </c>
      <c r="X544" s="3">
        <v>5425.0</v>
      </c>
      <c r="Y544" s="3">
        <v>44.0</v>
      </c>
      <c r="Z544" s="3">
        <v>136.0</v>
      </c>
      <c r="AA544" s="3">
        <v>188.0</v>
      </c>
      <c r="AB544" s="3">
        <v>505.0</v>
      </c>
      <c r="AC544" s="3">
        <v>22.0</v>
      </c>
    </row>
    <row r="545">
      <c r="A545" s="3">
        <v>543.0</v>
      </c>
      <c r="B545" s="3" t="s">
        <v>2373</v>
      </c>
      <c r="C545" s="3">
        <v>225.0</v>
      </c>
      <c r="D545" s="3" t="s">
        <v>244</v>
      </c>
      <c r="E545" s="3">
        <v>20.648487</v>
      </c>
      <c r="F545" s="3">
        <v>-87.637178</v>
      </c>
      <c r="G545" s="3">
        <v>51.0</v>
      </c>
      <c r="H545" s="3">
        <v>5.0</v>
      </c>
      <c r="I545" s="3" t="s">
        <v>92</v>
      </c>
      <c r="J545" s="3">
        <v>804.0</v>
      </c>
      <c r="K545" s="3">
        <v>810.0</v>
      </c>
      <c r="L545" s="3" t="s">
        <v>239</v>
      </c>
      <c r="M545" s="3">
        <v>1.0</v>
      </c>
      <c r="N545" s="3" t="s">
        <v>121</v>
      </c>
      <c r="O545" s="3" t="s">
        <v>2374</v>
      </c>
      <c r="P545" s="3" t="s">
        <v>2378</v>
      </c>
      <c r="Q545" s="3">
        <v>2.0</v>
      </c>
      <c r="R545" s="3">
        <v>519.0</v>
      </c>
      <c r="S545" s="3">
        <v>27.741105</v>
      </c>
      <c r="T545" s="3">
        <v>5.96865</v>
      </c>
      <c r="U545" s="3" t="s">
        <v>2376</v>
      </c>
      <c r="V545" s="3">
        <v>0.0</v>
      </c>
      <c r="W545" s="3">
        <v>1183.0</v>
      </c>
      <c r="X545" s="3">
        <v>5425.0</v>
      </c>
      <c r="Y545" s="3">
        <v>44.0</v>
      </c>
      <c r="Z545" s="3">
        <v>136.0</v>
      </c>
      <c r="AA545" s="3">
        <v>188.0</v>
      </c>
      <c r="AB545" s="3">
        <v>505.0</v>
      </c>
      <c r="AC545" s="3">
        <v>22.0</v>
      </c>
    </row>
    <row r="546">
      <c r="A546" s="3">
        <v>544.0</v>
      </c>
      <c r="B546" s="3" t="s">
        <v>2373</v>
      </c>
      <c r="C546" s="3">
        <v>226.0</v>
      </c>
      <c r="D546" s="78" t="s">
        <v>245</v>
      </c>
      <c r="E546" s="3">
        <v>20.648487</v>
      </c>
      <c r="F546" s="3">
        <v>-87.637178</v>
      </c>
      <c r="G546" s="3">
        <v>51.0</v>
      </c>
      <c r="H546" s="3">
        <v>5.0</v>
      </c>
      <c r="I546" s="3" t="s">
        <v>92</v>
      </c>
      <c r="J546" s="3">
        <v>804.0</v>
      </c>
      <c r="K546" s="3">
        <v>810.0</v>
      </c>
      <c r="L546" s="3" t="s">
        <v>239</v>
      </c>
      <c r="M546" s="3">
        <v>1.0</v>
      </c>
      <c r="N546" s="3" t="s">
        <v>121</v>
      </c>
      <c r="O546" s="3" t="s">
        <v>2374</v>
      </c>
      <c r="P546" s="3" t="s">
        <v>2378</v>
      </c>
      <c r="Q546" s="3">
        <v>2.0</v>
      </c>
      <c r="R546" s="3">
        <v>519.0</v>
      </c>
      <c r="S546" s="3">
        <v>27.741105</v>
      </c>
      <c r="T546" s="3">
        <v>5.96865</v>
      </c>
      <c r="U546" s="3" t="s">
        <v>2376</v>
      </c>
      <c r="V546" s="3">
        <v>0.0</v>
      </c>
      <c r="W546" s="3">
        <v>1183.0</v>
      </c>
      <c r="X546" s="3">
        <v>5425.0</v>
      </c>
      <c r="Y546" s="3">
        <v>44.0</v>
      </c>
      <c r="Z546" s="3">
        <v>136.0</v>
      </c>
      <c r="AA546" s="3">
        <v>188.0</v>
      </c>
      <c r="AB546" s="3">
        <v>505.0</v>
      </c>
      <c r="AC546" s="3">
        <v>22.0</v>
      </c>
    </row>
    <row r="547">
      <c r="A547" s="3">
        <v>545.0</v>
      </c>
      <c r="B547" s="3" t="s">
        <v>2373</v>
      </c>
      <c r="C547" s="3">
        <v>227.0</v>
      </c>
      <c r="D547" s="3" t="s">
        <v>246</v>
      </c>
      <c r="E547" s="3">
        <v>20.648487</v>
      </c>
      <c r="F547" s="3">
        <v>-87.637178</v>
      </c>
      <c r="G547" s="3">
        <v>51.0</v>
      </c>
      <c r="H547" s="3">
        <v>5.0</v>
      </c>
      <c r="I547" s="3" t="s">
        <v>92</v>
      </c>
      <c r="J547" s="3">
        <v>804.0</v>
      </c>
      <c r="K547" s="3">
        <v>810.0</v>
      </c>
      <c r="L547" s="3" t="s">
        <v>239</v>
      </c>
      <c r="M547" s="3">
        <v>1.0</v>
      </c>
      <c r="N547" s="3" t="s">
        <v>121</v>
      </c>
      <c r="O547" s="3" t="s">
        <v>2374</v>
      </c>
      <c r="P547" s="3" t="s">
        <v>2378</v>
      </c>
      <c r="Q547" s="3">
        <v>2.0</v>
      </c>
      <c r="R547" s="3">
        <v>519.0</v>
      </c>
      <c r="S547" s="3">
        <v>27.741105</v>
      </c>
      <c r="T547" s="3">
        <v>5.96865</v>
      </c>
      <c r="U547" s="3" t="s">
        <v>2376</v>
      </c>
      <c r="V547" s="3">
        <v>0.0</v>
      </c>
      <c r="W547" s="3">
        <v>1183.0</v>
      </c>
      <c r="X547" s="3">
        <v>5425.0</v>
      </c>
      <c r="Y547" s="3">
        <v>44.0</v>
      </c>
      <c r="Z547" s="3">
        <v>136.0</v>
      </c>
      <c r="AA547" s="3">
        <v>188.0</v>
      </c>
      <c r="AB547" s="3">
        <v>505.0</v>
      </c>
      <c r="AC547" s="3">
        <v>22.0</v>
      </c>
    </row>
    <row r="548">
      <c r="A548" s="3">
        <v>546.0</v>
      </c>
      <c r="B548" s="3" t="s">
        <v>2373</v>
      </c>
      <c r="C548" s="3">
        <v>228.0</v>
      </c>
      <c r="D548" s="3" t="s">
        <v>247</v>
      </c>
      <c r="E548" s="3">
        <v>20.648487</v>
      </c>
      <c r="F548" s="3">
        <v>-87.637178</v>
      </c>
      <c r="G548" s="3">
        <v>51.0</v>
      </c>
      <c r="H548" s="3">
        <v>5.0</v>
      </c>
      <c r="I548" s="3" t="s">
        <v>92</v>
      </c>
      <c r="J548" s="3">
        <v>804.0</v>
      </c>
      <c r="K548" s="3">
        <v>810.0</v>
      </c>
      <c r="L548" s="3" t="s">
        <v>239</v>
      </c>
      <c r="M548" s="3">
        <v>1.0</v>
      </c>
      <c r="N548" s="3" t="s">
        <v>121</v>
      </c>
      <c r="O548" s="3" t="s">
        <v>2374</v>
      </c>
      <c r="P548" s="3" t="s">
        <v>2378</v>
      </c>
      <c r="Q548" s="3">
        <v>2.0</v>
      </c>
      <c r="R548" s="3">
        <v>519.0</v>
      </c>
      <c r="S548" s="3">
        <v>27.741105</v>
      </c>
      <c r="T548" s="3">
        <v>5.96865</v>
      </c>
      <c r="U548" s="3" t="s">
        <v>2376</v>
      </c>
      <c r="V548" s="3">
        <v>0.0</v>
      </c>
      <c r="W548" s="3">
        <v>1183.0</v>
      </c>
      <c r="X548" s="3">
        <v>5425.0</v>
      </c>
      <c r="Y548" s="3">
        <v>44.0</v>
      </c>
      <c r="Z548" s="3">
        <v>136.0</v>
      </c>
      <c r="AA548" s="3">
        <v>188.0</v>
      </c>
      <c r="AB548" s="3">
        <v>505.0</v>
      </c>
      <c r="AC548" s="3">
        <v>22.0</v>
      </c>
    </row>
    <row r="549">
      <c r="A549" s="3">
        <v>547.0</v>
      </c>
      <c r="B549" s="3" t="s">
        <v>2373</v>
      </c>
      <c r="C549" s="3">
        <v>250.0</v>
      </c>
      <c r="D549" s="3" t="s">
        <v>911</v>
      </c>
      <c r="E549" s="3">
        <v>20.274287</v>
      </c>
      <c r="F549" s="3">
        <v>-87.486249</v>
      </c>
      <c r="G549" s="3">
        <v>51.0</v>
      </c>
      <c r="H549" s="3">
        <v>5.0</v>
      </c>
      <c r="I549" s="3" t="s">
        <v>92</v>
      </c>
      <c r="J549" s="3">
        <v>804.0</v>
      </c>
      <c r="K549" s="3">
        <v>810.0</v>
      </c>
      <c r="L549" s="3" t="s">
        <v>239</v>
      </c>
      <c r="M549" s="3">
        <v>1.0</v>
      </c>
      <c r="N549" s="3" t="s">
        <v>121</v>
      </c>
      <c r="O549" s="3" t="s">
        <v>2374</v>
      </c>
      <c r="P549" s="3" t="s">
        <v>2378</v>
      </c>
      <c r="Q549" s="3">
        <v>2.0</v>
      </c>
      <c r="R549" s="3">
        <v>519.0</v>
      </c>
      <c r="S549" s="3">
        <v>27.741105</v>
      </c>
      <c r="T549" s="3">
        <v>5.96865</v>
      </c>
      <c r="U549" s="3" t="s">
        <v>2376</v>
      </c>
      <c r="V549" s="3">
        <v>0.0</v>
      </c>
      <c r="W549" s="3">
        <v>1209.0</v>
      </c>
      <c r="X549" s="3">
        <v>5135.0</v>
      </c>
      <c r="Y549" s="3">
        <v>39.0</v>
      </c>
      <c r="Z549" s="3">
        <v>132.0</v>
      </c>
      <c r="AA549" s="3">
        <v>196.0</v>
      </c>
      <c r="AB549" s="3">
        <v>495.0</v>
      </c>
      <c r="AC549" s="3">
        <v>5.0</v>
      </c>
    </row>
    <row r="550">
      <c r="A550" s="3">
        <v>548.0</v>
      </c>
      <c r="B550" s="3" t="s">
        <v>2373</v>
      </c>
      <c r="C550" s="3">
        <v>251.0</v>
      </c>
      <c r="D550" s="3" t="s">
        <v>916</v>
      </c>
      <c r="E550" s="3">
        <v>20.274287</v>
      </c>
      <c r="F550" s="3">
        <v>-87.486249</v>
      </c>
      <c r="G550" s="3">
        <v>51.0</v>
      </c>
      <c r="H550" s="3">
        <v>5.0</v>
      </c>
      <c r="I550" s="3" t="s">
        <v>92</v>
      </c>
      <c r="J550" s="3">
        <v>804.0</v>
      </c>
      <c r="K550" s="3">
        <v>810.0</v>
      </c>
      <c r="L550" s="3" t="s">
        <v>239</v>
      </c>
      <c r="M550" s="3">
        <v>1.0</v>
      </c>
      <c r="N550" s="3" t="s">
        <v>121</v>
      </c>
      <c r="O550" s="3" t="s">
        <v>2374</v>
      </c>
      <c r="P550" s="3" t="s">
        <v>2378</v>
      </c>
      <c r="Q550" s="3">
        <v>2.0</v>
      </c>
      <c r="R550" s="3">
        <v>519.0</v>
      </c>
      <c r="S550" s="3">
        <v>27.741105</v>
      </c>
      <c r="T550" s="3">
        <v>5.96865</v>
      </c>
      <c r="U550" s="3" t="s">
        <v>2376</v>
      </c>
      <c r="V550" s="3">
        <v>0.0</v>
      </c>
      <c r="W550" s="3">
        <v>1209.0</v>
      </c>
      <c r="X550" s="3">
        <v>5135.0</v>
      </c>
      <c r="Y550" s="3">
        <v>39.0</v>
      </c>
      <c r="Z550" s="3">
        <v>132.0</v>
      </c>
      <c r="AA550" s="3">
        <v>196.0</v>
      </c>
      <c r="AB550" s="3">
        <v>495.0</v>
      </c>
      <c r="AC550" s="3">
        <v>5.0</v>
      </c>
    </row>
    <row r="551">
      <c r="A551" s="3">
        <v>549.0</v>
      </c>
      <c r="B551" s="3" t="s">
        <v>2373</v>
      </c>
      <c r="C551" s="3">
        <v>252.0</v>
      </c>
      <c r="D551" s="3" t="s">
        <v>924</v>
      </c>
      <c r="E551" s="3">
        <v>20.274287</v>
      </c>
      <c r="F551" s="3">
        <v>-87.486249</v>
      </c>
      <c r="G551" s="3">
        <v>51.0</v>
      </c>
      <c r="H551" s="3">
        <v>5.0</v>
      </c>
      <c r="I551" s="3" t="s">
        <v>92</v>
      </c>
      <c r="J551" s="3">
        <v>804.0</v>
      </c>
      <c r="K551" s="3">
        <v>810.0</v>
      </c>
      <c r="L551" s="3" t="s">
        <v>239</v>
      </c>
      <c r="M551" s="3">
        <v>1.0</v>
      </c>
      <c r="N551" s="3" t="s">
        <v>121</v>
      </c>
      <c r="O551" s="3" t="s">
        <v>2374</v>
      </c>
      <c r="P551" s="3" t="s">
        <v>2378</v>
      </c>
      <c r="Q551" s="3">
        <v>2.0</v>
      </c>
      <c r="R551" s="3">
        <v>519.0</v>
      </c>
      <c r="S551" s="3">
        <v>27.741105</v>
      </c>
      <c r="T551" s="3">
        <v>5.96865</v>
      </c>
      <c r="U551" s="3" t="s">
        <v>2376</v>
      </c>
      <c r="V551" s="3">
        <v>0.0</v>
      </c>
      <c r="W551" s="3">
        <v>1209.0</v>
      </c>
      <c r="X551" s="3">
        <v>5135.0</v>
      </c>
      <c r="Y551" s="3">
        <v>39.0</v>
      </c>
      <c r="Z551" s="3">
        <v>132.0</v>
      </c>
      <c r="AA551" s="3">
        <v>196.0</v>
      </c>
      <c r="AB551" s="3">
        <v>495.0</v>
      </c>
      <c r="AC551" s="3">
        <v>5.0</v>
      </c>
    </row>
    <row r="552">
      <c r="A552" s="3">
        <v>550.0</v>
      </c>
      <c r="B552" s="3" t="s">
        <v>2373</v>
      </c>
      <c r="C552" s="3">
        <v>253.0</v>
      </c>
      <c r="D552" s="3" t="s">
        <v>926</v>
      </c>
      <c r="E552" s="3">
        <v>20.274287</v>
      </c>
      <c r="F552" s="3">
        <v>-87.486249</v>
      </c>
      <c r="G552" s="3">
        <v>51.0</v>
      </c>
      <c r="H552" s="3">
        <v>5.0</v>
      </c>
      <c r="I552" s="3" t="s">
        <v>92</v>
      </c>
      <c r="J552" s="3">
        <v>804.0</v>
      </c>
      <c r="K552" s="3">
        <v>810.0</v>
      </c>
      <c r="L552" s="3" t="s">
        <v>239</v>
      </c>
      <c r="M552" s="3">
        <v>1.0</v>
      </c>
      <c r="N552" s="3" t="s">
        <v>121</v>
      </c>
      <c r="O552" s="3" t="s">
        <v>2374</v>
      </c>
      <c r="P552" s="3" t="s">
        <v>2378</v>
      </c>
      <c r="Q552" s="3">
        <v>2.0</v>
      </c>
      <c r="R552" s="3">
        <v>519.0</v>
      </c>
      <c r="S552" s="3">
        <v>27.741105</v>
      </c>
      <c r="T552" s="3">
        <v>5.96865</v>
      </c>
      <c r="U552" s="3" t="s">
        <v>2376</v>
      </c>
      <c r="V552" s="3">
        <v>0.0</v>
      </c>
      <c r="W552" s="3">
        <v>1209.0</v>
      </c>
      <c r="X552" s="3">
        <v>5135.0</v>
      </c>
      <c r="Y552" s="3">
        <v>39.0</v>
      </c>
      <c r="Z552" s="3">
        <v>132.0</v>
      </c>
      <c r="AA552" s="3">
        <v>196.0</v>
      </c>
      <c r="AB552" s="3">
        <v>495.0</v>
      </c>
      <c r="AC552" s="3">
        <v>5.0</v>
      </c>
    </row>
    <row r="553">
      <c r="A553" s="3">
        <v>551.0</v>
      </c>
      <c r="B553" s="3" t="s">
        <v>2373</v>
      </c>
      <c r="C553" s="3">
        <v>254.0</v>
      </c>
      <c r="D553" s="3" t="s">
        <v>929</v>
      </c>
      <c r="E553" s="3">
        <v>20.274287</v>
      </c>
      <c r="F553" s="3">
        <v>-87.486249</v>
      </c>
      <c r="G553" s="3">
        <v>51.0</v>
      </c>
      <c r="H553" s="3">
        <v>5.0</v>
      </c>
      <c r="I553" s="3" t="s">
        <v>92</v>
      </c>
      <c r="J553" s="3">
        <v>804.0</v>
      </c>
      <c r="K553" s="3">
        <v>810.0</v>
      </c>
      <c r="L553" s="3" t="s">
        <v>239</v>
      </c>
      <c r="M553" s="3">
        <v>1.0</v>
      </c>
      <c r="N553" s="3" t="s">
        <v>121</v>
      </c>
      <c r="O553" s="3" t="s">
        <v>2374</v>
      </c>
      <c r="P553" s="3" t="s">
        <v>2378</v>
      </c>
      <c r="Q553" s="3">
        <v>2.0</v>
      </c>
      <c r="R553" s="3">
        <v>519.0</v>
      </c>
      <c r="S553" s="3">
        <v>27.741105</v>
      </c>
      <c r="T553" s="3">
        <v>5.96865</v>
      </c>
      <c r="U553" s="3" t="s">
        <v>2376</v>
      </c>
      <c r="V553" s="3">
        <v>0.0</v>
      </c>
      <c r="W553" s="3">
        <v>1209.0</v>
      </c>
      <c r="X553" s="3">
        <v>5135.0</v>
      </c>
      <c r="Y553" s="3">
        <v>39.0</v>
      </c>
      <c r="Z553" s="3">
        <v>132.0</v>
      </c>
      <c r="AA553" s="3">
        <v>196.0</v>
      </c>
      <c r="AB553" s="3">
        <v>495.0</v>
      </c>
      <c r="AC553" s="3">
        <v>5.0</v>
      </c>
    </row>
    <row r="554">
      <c r="A554" s="3">
        <v>552.0</v>
      </c>
      <c r="B554" s="3" t="s">
        <v>2373</v>
      </c>
      <c r="C554" s="3">
        <v>255.0</v>
      </c>
      <c r="D554" s="78" t="s">
        <v>939</v>
      </c>
      <c r="E554" s="3">
        <v>20.274287</v>
      </c>
      <c r="F554" s="3">
        <v>-87.486249</v>
      </c>
      <c r="G554" s="3">
        <v>51.0</v>
      </c>
      <c r="H554" s="3">
        <v>5.0</v>
      </c>
      <c r="I554" s="3" t="s">
        <v>92</v>
      </c>
      <c r="J554" s="3">
        <v>804.0</v>
      </c>
      <c r="K554" s="3">
        <v>810.0</v>
      </c>
      <c r="L554" s="3" t="s">
        <v>239</v>
      </c>
      <c r="M554" s="3">
        <v>1.0</v>
      </c>
      <c r="N554" s="3" t="s">
        <v>121</v>
      </c>
      <c r="O554" s="3" t="s">
        <v>2374</v>
      </c>
      <c r="P554" s="3" t="s">
        <v>2378</v>
      </c>
      <c r="Q554" s="3">
        <v>2.0</v>
      </c>
      <c r="R554" s="3">
        <v>519.0</v>
      </c>
      <c r="S554" s="3">
        <v>27.741105</v>
      </c>
      <c r="T554" s="3">
        <v>5.96865</v>
      </c>
      <c r="U554" s="3" t="s">
        <v>2376</v>
      </c>
      <c r="V554" s="3">
        <v>0.0</v>
      </c>
      <c r="W554" s="3">
        <v>1209.0</v>
      </c>
      <c r="X554" s="3">
        <v>5135.0</v>
      </c>
      <c r="Y554" s="3">
        <v>39.0</v>
      </c>
      <c r="Z554" s="3">
        <v>132.0</v>
      </c>
      <c r="AA554" s="3">
        <v>196.0</v>
      </c>
      <c r="AB554" s="3">
        <v>495.0</v>
      </c>
      <c r="AC554" s="3">
        <v>5.0</v>
      </c>
    </row>
    <row r="555">
      <c r="A555" s="3">
        <v>553.0</v>
      </c>
      <c r="B555" s="3" t="s">
        <v>2373</v>
      </c>
      <c r="C555" s="3">
        <v>256.0</v>
      </c>
      <c r="D555" s="3" t="s">
        <v>1060</v>
      </c>
      <c r="E555" s="3">
        <v>20.274287</v>
      </c>
      <c r="F555" s="3">
        <v>-87.486249</v>
      </c>
      <c r="G555" s="3">
        <v>51.0</v>
      </c>
      <c r="H555" s="3">
        <v>5.0</v>
      </c>
      <c r="I555" s="3" t="s">
        <v>92</v>
      </c>
      <c r="J555" s="3">
        <v>804.0</v>
      </c>
      <c r="K555" s="3">
        <v>810.0</v>
      </c>
      <c r="L555" s="3" t="s">
        <v>239</v>
      </c>
      <c r="M555" s="3">
        <v>1.0</v>
      </c>
      <c r="N555" s="3" t="s">
        <v>121</v>
      </c>
      <c r="O555" s="3" t="s">
        <v>2374</v>
      </c>
      <c r="P555" s="3" t="s">
        <v>2378</v>
      </c>
      <c r="Q555" s="3">
        <v>2.0</v>
      </c>
      <c r="R555" s="3">
        <v>519.0</v>
      </c>
      <c r="S555" s="3">
        <v>27.741105</v>
      </c>
      <c r="T555" s="3">
        <v>5.96865</v>
      </c>
      <c r="U555" s="3" t="s">
        <v>2376</v>
      </c>
      <c r="V555" s="3">
        <v>0.0</v>
      </c>
      <c r="W555" s="3">
        <v>1209.0</v>
      </c>
      <c r="X555" s="3">
        <v>5135.0</v>
      </c>
      <c r="Y555" s="3">
        <v>39.0</v>
      </c>
      <c r="Z555" s="3">
        <v>132.0</v>
      </c>
      <c r="AA555" s="3">
        <v>196.0</v>
      </c>
      <c r="AB555" s="3">
        <v>495.0</v>
      </c>
      <c r="AC555" s="3">
        <v>5.0</v>
      </c>
    </row>
    <row r="556">
      <c r="A556" s="3">
        <v>554.0</v>
      </c>
      <c r="B556" s="3" t="s">
        <v>2373</v>
      </c>
      <c r="C556" s="3">
        <v>257.0</v>
      </c>
      <c r="D556" s="3" t="s">
        <v>940</v>
      </c>
      <c r="E556" s="3">
        <v>20.274287</v>
      </c>
      <c r="F556" s="3">
        <v>-87.486249</v>
      </c>
      <c r="G556" s="3">
        <v>51.0</v>
      </c>
      <c r="H556" s="3">
        <v>5.0</v>
      </c>
      <c r="I556" s="3" t="s">
        <v>92</v>
      </c>
      <c r="J556" s="3">
        <v>804.0</v>
      </c>
      <c r="K556" s="3">
        <v>810.0</v>
      </c>
      <c r="L556" s="3" t="s">
        <v>239</v>
      </c>
      <c r="M556" s="3">
        <v>1.0</v>
      </c>
      <c r="N556" s="3" t="s">
        <v>121</v>
      </c>
      <c r="O556" s="3" t="s">
        <v>2374</v>
      </c>
      <c r="P556" s="3" t="s">
        <v>2378</v>
      </c>
      <c r="Q556" s="3">
        <v>2.0</v>
      </c>
      <c r="R556" s="3">
        <v>519.0</v>
      </c>
      <c r="S556" s="3">
        <v>27.741105</v>
      </c>
      <c r="T556" s="3">
        <v>5.96865</v>
      </c>
      <c r="U556" s="3" t="s">
        <v>2376</v>
      </c>
      <c r="V556" s="3">
        <v>0.0</v>
      </c>
      <c r="W556" s="3">
        <v>1209.0</v>
      </c>
      <c r="X556" s="3">
        <v>5135.0</v>
      </c>
      <c r="Y556" s="3">
        <v>39.0</v>
      </c>
      <c r="Z556" s="3">
        <v>132.0</v>
      </c>
      <c r="AA556" s="3">
        <v>196.0</v>
      </c>
      <c r="AB556" s="3">
        <v>495.0</v>
      </c>
      <c r="AC556" s="3">
        <v>5.0</v>
      </c>
    </row>
    <row r="557">
      <c r="A557" s="3">
        <v>555.0</v>
      </c>
      <c r="B557" s="3" t="s">
        <v>2373</v>
      </c>
      <c r="C557" s="3">
        <v>258.0</v>
      </c>
      <c r="D557" s="3" t="s">
        <v>942</v>
      </c>
      <c r="E557" s="3">
        <v>20.274287</v>
      </c>
      <c r="F557" s="3">
        <v>-87.486249</v>
      </c>
      <c r="G557" s="3">
        <v>51.0</v>
      </c>
      <c r="H557" s="3">
        <v>5.0</v>
      </c>
      <c r="I557" s="3" t="s">
        <v>92</v>
      </c>
      <c r="J557" s="3">
        <v>804.0</v>
      </c>
      <c r="K557" s="3">
        <v>810.0</v>
      </c>
      <c r="L557" s="3" t="s">
        <v>239</v>
      </c>
      <c r="M557" s="3">
        <v>1.0</v>
      </c>
      <c r="N557" s="3" t="s">
        <v>121</v>
      </c>
      <c r="O557" s="3" t="s">
        <v>2374</v>
      </c>
      <c r="P557" s="3" t="s">
        <v>2378</v>
      </c>
      <c r="Q557" s="3">
        <v>2.0</v>
      </c>
      <c r="R557" s="3">
        <v>519.0</v>
      </c>
      <c r="S557" s="3">
        <v>27.741105</v>
      </c>
      <c r="T557" s="3">
        <v>5.96865</v>
      </c>
      <c r="U557" s="3" t="s">
        <v>2376</v>
      </c>
      <c r="V557" s="3">
        <v>0.0</v>
      </c>
      <c r="W557" s="3">
        <v>1209.0</v>
      </c>
      <c r="X557" s="3">
        <v>5135.0</v>
      </c>
      <c r="Y557" s="3">
        <v>39.0</v>
      </c>
      <c r="Z557" s="3">
        <v>132.0</v>
      </c>
      <c r="AA557" s="3">
        <v>196.0</v>
      </c>
      <c r="AB557" s="3">
        <v>495.0</v>
      </c>
      <c r="AC557" s="3">
        <v>5.0</v>
      </c>
    </row>
    <row r="558">
      <c r="A558" s="3">
        <v>556.0</v>
      </c>
      <c r="B558" s="3" t="s">
        <v>2373</v>
      </c>
      <c r="C558" s="3">
        <v>298.0</v>
      </c>
      <c r="D558" s="3" t="s">
        <v>2087</v>
      </c>
      <c r="E558" s="3">
        <v>19.296933</v>
      </c>
      <c r="F558" s="3">
        <v>-88.070139</v>
      </c>
      <c r="G558" s="3">
        <v>51.0</v>
      </c>
      <c r="H558" s="3">
        <v>5.0</v>
      </c>
      <c r="I558" s="3" t="s">
        <v>92</v>
      </c>
      <c r="J558" s="3">
        <v>804.0</v>
      </c>
      <c r="K558" s="3">
        <v>810.0</v>
      </c>
      <c r="L558" s="3" t="s">
        <v>239</v>
      </c>
      <c r="M558" s="3">
        <v>1.0</v>
      </c>
      <c r="N558" s="3" t="s">
        <v>121</v>
      </c>
      <c r="O558" s="3" t="s">
        <v>2374</v>
      </c>
      <c r="P558" s="3" t="s">
        <v>2378</v>
      </c>
      <c r="Q558" s="3">
        <v>2.0</v>
      </c>
      <c r="R558" s="3">
        <v>519.0</v>
      </c>
      <c r="S558" s="3">
        <v>27.741105</v>
      </c>
      <c r="T558" s="3">
        <v>5.96865</v>
      </c>
      <c r="U558" s="3" t="s">
        <v>2376</v>
      </c>
      <c r="V558" s="3">
        <v>0.0</v>
      </c>
      <c r="W558" s="3">
        <v>1305.0</v>
      </c>
      <c r="X558" s="3">
        <v>5226.0</v>
      </c>
      <c r="Y558" s="3">
        <v>37.0</v>
      </c>
      <c r="Z558" s="3">
        <v>131.0</v>
      </c>
      <c r="AA558" s="3">
        <v>201.0</v>
      </c>
      <c r="AB558" s="3">
        <v>517.0</v>
      </c>
      <c r="AC558" s="3">
        <v>14.0</v>
      </c>
    </row>
    <row r="559">
      <c r="A559" s="3">
        <v>557.0</v>
      </c>
      <c r="B559" s="3" t="s">
        <v>2373</v>
      </c>
      <c r="C559" s="3">
        <v>299.0</v>
      </c>
      <c r="D559" s="3" t="s">
        <v>2092</v>
      </c>
      <c r="E559" s="3">
        <v>19.296933</v>
      </c>
      <c r="F559" s="3">
        <v>-88.070139</v>
      </c>
      <c r="G559" s="3">
        <v>51.0</v>
      </c>
      <c r="H559" s="3">
        <v>5.0</v>
      </c>
      <c r="I559" s="3" t="s">
        <v>92</v>
      </c>
      <c r="J559" s="3">
        <v>804.0</v>
      </c>
      <c r="K559" s="3">
        <v>810.0</v>
      </c>
      <c r="L559" s="3" t="s">
        <v>239</v>
      </c>
      <c r="M559" s="3">
        <v>1.0</v>
      </c>
      <c r="N559" s="3" t="s">
        <v>121</v>
      </c>
      <c r="O559" s="3" t="s">
        <v>2374</v>
      </c>
      <c r="P559" s="3" t="s">
        <v>2378</v>
      </c>
      <c r="Q559" s="3">
        <v>2.0</v>
      </c>
      <c r="R559" s="3">
        <v>519.0</v>
      </c>
      <c r="S559" s="3">
        <v>27.741105</v>
      </c>
      <c r="T559" s="3">
        <v>5.96865</v>
      </c>
      <c r="U559" s="3" t="s">
        <v>2376</v>
      </c>
      <c r="V559" s="3">
        <v>0.0</v>
      </c>
      <c r="W559" s="3">
        <v>1305.0</v>
      </c>
      <c r="X559" s="3">
        <v>5226.0</v>
      </c>
      <c r="Y559" s="3">
        <v>37.0</v>
      </c>
      <c r="Z559" s="3">
        <v>131.0</v>
      </c>
      <c r="AA559" s="3">
        <v>201.0</v>
      </c>
      <c r="AB559" s="3">
        <v>517.0</v>
      </c>
      <c r="AC559" s="3">
        <v>14.0</v>
      </c>
    </row>
    <row r="560">
      <c r="A560" s="3">
        <v>558.0</v>
      </c>
      <c r="B560" s="3" t="s">
        <v>2373</v>
      </c>
      <c r="C560" s="3">
        <v>300.0</v>
      </c>
      <c r="D560" s="3" t="s">
        <v>2094</v>
      </c>
      <c r="E560" s="3">
        <v>19.296933</v>
      </c>
      <c r="F560" s="3">
        <v>-88.070139</v>
      </c>
      <c r="G560" s="3">
        <v>51.0</v>
      </c>
      <c r="H560" s="3">
        <v>5.0</v>
      </c>
      <c r="I560" s="3" t="s">
        <v>92</v>
      </c>
      <c r="J560" s="3">
        <v>804.0</v>
      </c>
      <c r="K560" s="3">
        <v>810.0</v>
      </c>
      <c r="L560" s="3" t="s">
        <v>239</v>
      </c>
      <c r="M560" s="3">
        <v>1.0</v>
      </c>
      <c r="N560" s="3" t="s">
        <v>121</v>
      </c>
      <c r="O560" s="3" t="s">
        <v>2374</v>
      </c>
      <c r="P560" s="3" t="s">
        <v>2378</v>
      </c>
      <c r="Q560" s="3">
        <v>2.0</v>
      </c>
      <c r="R560" s="3">
        <v>519.0</v>
      </c>
      <c r="S560" s="3">
        <v>27.741105</v>
      </c>
      <c r="T560" s="3">
        <v>5.96865</v>
      </c>
      <c r="U560" s="3" t="s">
        <v>2376</v>
      </c>
      <c r="V560" s="3">
        <v>0.0</v>
      </c>
      <c r="W560" s="3">
        <v>1305.0</v>
      </c>
      <c r="X560" s="3">
        <v>5226.0</v>
      </c>
      <c r="Y560" s="3">
        <v>37.0</v>
      </c>
      <c r="Z560" s="3">
        <v>131.0</v>
      </c>
      <c r="AA560" s="3">
        <v>201.0</v>
      </c>
      <c r="AB560" s="3">
        <v>517.0</v>
      </c>
      <c r="AC560" s="3">
        <v>14.0</v>
      </c>
    </row>
    <row r="561">
      <c r="A561" s="3">
        <v>559.0</v>
      </c>
      <c r="B561" s="3" t="s">
        <v>2373</v>
      </c>
      <c r="C561" s="3">
        <v>315.0</v>
      </c>
      <c r="D561" s="3" t="s">
        <v>1681</v>
      </c>
      <c r="E561" s="3">
        <v>20.274178</v>
      </c>
      <c r="F561" s="3">
        <v>-87.486259</v>
      </c>
      <c r="G561" s="3">
        <v>51.0</v>
      </c>
      <c r="H561" s="3">
        <v>5.0</v>
      </c>
      <c r="I561" s="3" t="s">
        <v>92</v>
      </c>
      <c r="J561" s="3">
        <v>804.0</v>
      </c>
      <c r="K561" s="3">
        <v>810.0</v>
      </c>
      <c r="L561" s="3" t="s">
        <v>239</v>
      </c>
      <c r="M561" s="3">
        <v>1.0</v>
      </c>
      <c r="N561" s="3" t="s">
        <v>121</v>
      </c>
      <c r="O561" s="3" t="s">
        <v>2374</v>
      </c>
      <c r="P561" s="3" t="s">
        <v>2378</v>
      </c>
      <c r="Q561" s="3">
        <v>2.0</v>
      </c>
      <c r="R561" s="3">
        <v>519.0</v>
      </c>
      <c r="S561" s="3">
        <v>27.741105</v>
      </c>
      <c r="T561" s="3">
        <v>5.96865</v>
      </c>
      <c r="U561" s="3" t="s">
        <v>2376</v>
      </c>
      <c r="V561" s="3">
        <v>0.0</v>
      </c>
      <c r="W561" s="3">
        <v>1209.0</v>
      </c>
      <c r="X561" s="3">
        <v>5135.0</v>
      </c>
      <c r="Y561" s="3">
        <v>39.0</v>
      </c>
      <c r="Z561" s="3">
        <v>132.0</v>
      </c>
      <c r="AA561" s="3">
        <v>196.0</v>
      </c>
      <c r="AB561" s="3">
        <v>495.0</v>
      </c>
      <c r="AC561" s="3">
        <v>5.0</v>
      </c>
    </row>
    <row r="562">
      <c r="A562" s="3">
        <v>560.0</v>
      </c>
      <c r="B562" s="3" t="s">
        <v>2373</v>
      </c>
      <c r="C562" s="3">
        <v>316.0</v>
      </c>
      <c r="D562" s="3" t="s">
        <v>1685</v>
      </c>
      <c r="E562" s="3">
        <v>20.274178</v>
      </c>
      <c r="F562" s="3">
        <v>-87.486259</v>
      </c>
      <c r="G562" s="3">
        <v>51.0</v>
      </c>
      <c r="H562" s="3">
        <v>5.0</v>
      </c>
      <c r="I562" s="3" t="s">
        <v>92</v>
      </c>
      <c r="J562" s="3">
        <v>804.0</v>
      </c>
      <c r="K562" s="3">
        <v>810.0</v>
      </c>
      <c r="L562" s="3" t="s">
        <v>239</v>
      </c>
      <c r="M562" s="3">
        <v>1.0</v>
      </c>
      <c r="N562" s="3" t="s">
        <v>121</v>
      </c>
      <c r="O562" s="3" t="s">
        <v>2374</v>
      </c>
      <c r="P562" s="3" t="s">
        <v>2378</v>
      </c>
      <c r="Q562" s="3">
        <v>2.0</v>
      </c>
      <c r="R562" s="3">
        <v>519.0</v>
      </c>
      <c r="S562" s="3">
        <v>27.741105</v>
      </c>
      <c r="T562" s="3">
        <v>5.96865</v>
      </c>
      <c r="U562" s="3" t="s">
        <v>2376</v>
      </c>
      <c r="V562" s="3">
        <v>0.0</v>
      </c>
      <c r="W562" s="3">
        <v>1209.0</v>
      </c>
      <c r="X562" s="3">
        <v>5135.0</v>
      </c>
      <c r="Y562" s="3">
        <v>39.0</v>
      </c>
      <c r="Z562" s="3">
        <v>132.0</v>
      </c>
      <c r="AA562" s="3">
        <v>196.0</v>
      </c>
      <c r="AB562" s="3">
        <v>495.0</v>
      </c>
      <c r="AC562" s="3">
        <v>5.0</v>
      </c>
    </row>
    <row r="563">
      <c r="A563" s="3">
        <v>561.0</v>
      </c>
      <c r="B563" s="3" t="s">
        <v>2373</v>
      </c>
      <c r="C563" s="3">
        <v>317.0</v>
      </c>
      <c r="D563" s="3" t="s">
        <v>1686</v>
      </c>
      <c r="E563" s="3">
        <v>20.274178</v>
      </c>
      <c r="F563" s="3">
        <v>-87.486259</v>
      </c>
      <c r="G563" s="3">
        <v>51.0</v>
      </c>
      <c r="H563" s="3">
        <v>5.0</v>
      </c>
      <c r="I563" s="3" t="s">
        <v>92</v>
      </c>
      <c r="J563" s="3">
        <v>804.0</v>
      </c>
      <c r="K563" s="3">
        <v>810.0</v>
      </c>
      <c r="L563" s="3" t="s">
        <v>239</v>
      </c>
      <c r="M563" s="3">
        <v>1.0</v>
      </c>
      <c r="N563" s="3" t="s">
        <v>121</v>
      </c>
      <c r="O563" s="3" t="s">
        <v>2374</v>
      </c>
      <c r="P563" s="3" t="s">
        <v>2378</v>
      </c>
      <c r="Q563" s="3">
        <v>2.0</v>
      </c>
      <c r="R563" s="3">
        <v>519.0</v>
      </c>
      <c r="S563" s="3">
        <v>27.741105</v>
      </c>
      <c r="T563" s="3">
        <v>5.96865</v>
      </c>
      <c r="U563" s="3" t="s">
        <v>2376</v>
      </c>
      <c r="V563" s="3">
        <v>0.0</v>
      </c>
      <c r="W563" s="3">
        <v>1209.0</v>
      </c>
      <c r="X563" s="3">
        <v>5135.0</v>
      </c>
      <c r="Y563" s="3">
        <v>39.0</v>
      </c>
      <c r="Z563" s="3">
        <v>132.0</v>
      </c>
      <c r="AA563" s="3">
        <v>196.0</v>
      </c>
      <c r="AB563" s="3">
        <v>495.0</v>
      </c>
      <c r="AC563" s="3">
        <v>5.0</v>
      </c>
    </row>
    <row r="564">
      <c r="A564" s="3">
        <v>562.0</v>
      </c>
      <c r="B564" s="3" t="s">
        <v>2373</v>
      </c>
      <c r="C564" s="3">
        <v>318.0</v>
      </c>
      <c r="D564" s="3" t="s">
        <v>1687</v>
      </c>
      <c r="E564" s="3">
        <v>20.274178</v>
      </c>
      <c r="F564" s="3">
        <v>-87.486259</v>
      </c>
      <c r="G564" s="3">
        <v>51.0</v>
      </c>
      <c r="H564" s="3">
        <v>5.0</v>
      </c>
      <c r="I564" s="3" t="s">
        <v>92</v>
      </c>
      <c r="J564" s="3">
        <v>804.0</v>
      </c>
      <c r="K564" s="3">
        <v>810.0</v>
      </c>
      <c r="L564" s="3" t="s">
        <v>239</v>
      </c>
      <c r="M564" s="3">
        <v>1.0</v>
      </c>
      <c r="N564" s="3" t="s">
        <v>121</v>
      </c>
      <c r="O564" s="3" t="s">
        <v>2374</v>
      </c>
      <c r="P564" s="3" t="s">
        <v>2378</v>
      </c>
      <c r="Q564" s="3">
        <v>2.0</v>
      </c>
      <c r="R564" s="3">
        <v>519.0</v>
      </c>
      <c r="S564" s="3">
        <v>27.741105</v>
      </c>
      <c r="T564" s="3">
        <v>5.96865</v>
      </c>
      <c r="U564" s="3" t="s">
        <v>2376</v>
      </c>
      <c r="V564" s="3">
        <v>0.0</v>
      </c>
      <c r="W564" s="3">
        <v>1209.0</v>
      </c>
      <c r="X564" s="3">
        <v>5135.0</v>
      </c>
      <c r="Y564" s="3">
        <v>39.0</v>
      </c>
      <c r="Z564" s="3">
        <v>132.0</v>
      </c>
      <c r="AA564" s="3">
        <v>196.0</v>
      </c>
      <c r="AB564" s="3">
        <v>495.0</v>
      </c>
      <c r="AC564" s="3">
        <v>5.0</v>
      </c>
    </row>
    <row r="565">
      <c r="A565" s="3">
        <v>563.0</v>
      </c>
      <c r="B565" s="3" t="s">
        <v>2373</v>
      </c>
      <c r="C565" s="3">
        <v>319.0</v>
      </c>
      <c r="D565" s="3" t="s">
        <v>1688</v>
      </c>
      <c r="E565" s="3">
        <v>20.274178</v>
      </c>
      <c r="F565" s="3">
        <v>-87.486259</v>
      </c>
      <c r="G565" s="3">
        <v>51.0</v>
      </c>
      <c r="H565" s="3">
        <v>5.0</v>
      </c>
      <c r="I565" s="3" t="s">
        <v>92</v>
      </c>
      <c r="J565" s="3">
        <v>804.0</v>
      </c>
      <c r="K565" s="3">
        <v>810.0</v>
      </c>
      <c r="L565" s="3" t="s">
        <v>239</v>
      </c>
      <c r="M565" s="3">
        <v>1.0</v>
      </c>
      <c r="N565" s="3" t="s">
        <v>121</v>
      </c>
      <c r="O565" s="3" t="s">
        <v>2374</v>
      </c>
      <c r="P565" s="3" t="s">
        <v>2378</v>
      </c>
      <c r="Q565" s="3">
        <v>2.0</v>
      </c>
      <c r="R565" s="3">
        <v>519.0</v>
      </c>
      <c r="S565" s="3">
        <v>27.741105</v>
      </c>
      <c r="T565" s="3">
        <v>5.96865</v>
      </c>
      <c r="U565" s="3" t="s">
        <v>2376</v>
      </c>
      <c r="V565" s="3">
        <v>0.0</v>
      </c>
      <c r="W565" s="3">
        <v>1209.0</v>
      </c>
      <c r="X565" s="3">
        <v>5135.0</v>
      </c>
      <c r="Y565" s="3">
        <v>39.0</v>
      </c>
      <c r="Z565" s="3">
        <v>132.0</v>
      </c>
      <c r="AA565" s="3">
        <v>196.0</v>
      </c>
      <c r="AB565" s="3">
        <v>495.0</v>
      </c>
      <c r="AC565" s="3">
        <v>5.0</v>
      </c>
    </row>
    <row r="566">
      <c r="A566" s="3">
        <v>564.0</v>
      </c>
      <c r="B566" s="3" t="s">
        <v>2373</v>
      </c>
      <c r="C566" s="3">
        <v>320.0</v>
      </c>
      <c r="D566" s="3" t="s">
        <v>1689</v>
      </c>
      <c r="E566" s="3">
        <v>20.274178</v>
      </c>
      <c r="F566" s="3">
        <v>-87.486259</v>
      </c>
      <c r="G566" s="3">
        <v>51.0</v>
      </c>
      <c r="H566" s="3">
        <v>5.0</v>
      </c>
      <c r="I566" s="3" t="s">
        <v>92</v>
      </c>
      <c r="J566" s="3">
        <v>804.0</v>
      </c>
      <c r="K566" s="3">
        <v>810.0</v>
      </c>
      <c r="L566" s="3" t="s">
        <v>239</v>
      </c>
      <c r="M566" s="3">
        <v>1.0</v>
      </c>
      <c r="N566" s="3" t="s">
        <v>121</v>
      </c>
      <c r="O566" s="3" t="s">
        <v>2374</v>
      </c>
      <c r="P566" s="3" t="s">
        <v>2378</v>
      </c>
      <c r="Q566" s="3">
        <v>2.0</v>
      </c>
      <c r="R566" s="3">
        <v>519.0</v>
      </c>
      <c r="S566" s="3">
        <v>27.741105</v>
      </c>
      <c r="T566" s="3">
        <v>5.96865</v>
      </c>
      <c r="U566" s="3" t="s">
        <v>2376</v>
      </c>
      <c r="V566" s="3">
        <v>0.0</v>
      </c>
      <c r="W566" s="3">
        <v>1209.0</v>
      </c>
      <c r="X566" s="3">
        <v>5135.0</v>
      </c>
      <c r="Y566" s="3">
        <v>39.0</v>
      </c>
      <c r="Z566" s="3">
        <v>132.0</v>
      </c>
      <c r="AA566" s="3">
        <v>196.0</v>
      </c>
      <c r="AB566" s="3">
        <v>495.0</v>
      </c>
      <c r="AC566" s="3">
        <v>5.0</v>
      </c>
    </row>
    <row r="567">
      <c r="A567" s="3">
        <v>565.0</v>
      </c>
      <c r="B567" s="3" t="s">
        <v>2373</v>
      </c>
      <c r="C567" s="3">
        <v>321.0</v>
      </c>
      <c r="D567" s="3" t="s">
        <v>1690</v>
      </c>
      <c r="E567" s="3">
        <v>20.274178</v>
      </c>
      <c r="F567" s="3">
        <v>-87.486259</v>
      </c>
      <c r="G567" s="3">
        <v>51.0</v>
      </c>
      <c r="H567" s="3">
        <v>5.0</v>
      </c>
      <c r="I567" s="3" t="s">
        <v>92</v>
      </c>
      <c r="J567" s="3">
        <v>804.0</v>
      </c>
      <c r="K567" s="3">
        <v>810.0</v>
      </c>
      <c r="L567" s="3" t="s">
        <v>239</v>
      </c>
      <c r="M567" s="3">
        <v>1.0</v>
      </c>
      <c r="N567" s="3" t="s">
        <v>121</v>
      </c>
      <c r="O567" s="3" t="s">
        <v>2374</v>
      </c>
      <c r="P567" s="3" t="s">
        <v>2378</v>
      </c>
      <c r="Q567" s="3">
        <v>2.0</v>
      </c>
      <c r="R567" s="3">
        <v>519.0</v>
      </c>
      <c r="S567" s="3">
        <v>27.741105</v>
      </c>
      <c r="T567" s="3">
        <v>5.96865</v>
      </c>
      <c r="U567" s="3" t="s">
        <v>2376</v>
      </c>
      <c r="V567" s="3">
        <v>0.0</v>
      </c>
      <c r="W567" s="3">
        <v>1209.0</v>
      </c>
      <c r="X567" s="3">
        <v>5135.0</v>
      </c>
      <c r="Y567" s="3">
        <v>39.0</v>
      </c>
      <c r="Z567" s="3">
        <v>132.0</v>
      </c>
      <c r="AA567" s="3">
        <v>196.0</v>
      </c>
      <c r="AB567" s="3">
        <v>495.0</v>
      </c>
      <c r="AC567" s="3">
        <v>5.0</v>
      </c>
    </row>
    <row r="568">
      <c r="A568" s="3">
        <v>566.0</v>
      </c>
      <c r="B568" s="3" t="s">
        <v>2373</v>
      </c>
      <c r="C568" s="3">
        <v>322.0</v>
      </c>
      <c r="D568" s="3" t="s">
        <v>1691</v>
      </c>
      <c r="E568" s="3">
        <v>20.274178</v>
      </c>
      <c r="F568" s="3">
        <v>-87.486259</v>
      </c>
      <c r="G568" s="3">
        <v>51.0</v>
      </c>
      <c r="H568" s="3">
        <v>5.0</v>
      </c>
      <c r="I568" s="3" t="s">
        <v>92</v>
      </c>
      <c r="J568" s="3">
        <v>804.0</v>
      </c>
      <c r="K568" s="3">
        <v>810.0</v>
      </c>
      <c r="L568" s="3" t="s">
        <v>239</v>
      </c>
      <c r="M568" s="3">
        <v>1.0</v>
      </c>
      <c r="N568" s="3" t="s">
        <v>121</v>
      </c>
      <c r="O568" s="3" t="s">
        <v>2374</v>
      </c>
      <c r="P568" s="3" t="s">
        <v>2378</v>
      </c>
      <c r="Q568" s="3">
        <v>2.0</v>
      </c>
      <c r="R568" s="3">
        <v>519.0</v>
      </c>
      <c r="S568" s="3">
        <v>27.741105</v>
      </c>
      <c r="T568" s="3">
        <v>5.96865</v>
      </c>
      <c r="U568" s="3" t="s">
        <v>2376</v>
      </c>
      <c r="V568" s="3">
        <v>0.0</v>
      </c>
      <c r="W568" s="3">
        <v>1209.0</v>
      </c>
      <c r="X568" s="3">
        <v>5135.0</v>
      </c>
      <c r="Y568" s="3">
        <v>39.0</v>
      </c>
      <c r="Z568" s="3">
        <v>132.0</v>
      </c>
      <c r="AA568" s="3">
        <v>196.0</v>
      </c>
      <c r="AB568" s="3">
        <v>495.0</v>
      </c>
      <c r="AC568" s="3">
        <v>5.0</v>
      </c>
    </row>
    <row r="569">
      <c r="A569" s="3">
        <v>567.0</v>
      </c>
      <c r="B569" s="3" t="s">
        <v>2373</v>
      </c>
      <c r="C569" s="3">
        <v>323.0</v>
      </c>
      <c r="D569" s="3" t="s">
        <v>1692</v>
      </c>
      <c r="E569" s="3">
        <v>20.274178</v>
      </c>
      <c r="F569" s="3">
        <v>-87.486259</v>
      </c>
      <c r="G569" s="3">
        <v>51.0</v>
      </c>
      <c r="H569" s="3">
        <v>5.0</v>
      </c>
      <c r="I569" s="3" t="s">
        <v>92</v>
      </c>
      <c r="J569" s="3">
        <v>804.0</v>
      </c>
      <c r="K569" s="3">
        <v>810.0</v>
      </c>
      <c r="L569" s="3" t="s">
        <v>239</v>
      </c>
      <c r="M569" s="3">
        <v>1.0</v>
      </c>
      <c r="N569" s="3" t="s">
        <v>121</v>
      </c>
      <c r="O569" s="3" t="s">
        <v>2374</v>
      </c>
      <c r="P569" s="3" t="s">
        <v>2378</v>
      </c>
      <c r="Q569" s="3">
        <v>2.0</v>
      </c>
      <c r="R569" s="3">
        <v>519.0</v>
      </c>
      <c r="S569" s="3">
        <v>27.741105</v>
      </c>
      <c r="T569" s="3">
        <v>5.96865</v>
      </c>
      <c r="U569" s="3" t="s">
        <v>2376</v>
      </c>
      <c r="V569" s="3">
        <v>0.0</v>
      </c>
      <c r="W569" s="3">
        <v>1209.0</v>
      </c>
      <c r="X569" s="3">
        <v>5135.0</v>
      </c>
      <c r="Y569" s="3">
        <v>39.0</v>
      </c>
      <c r="Z569" s="3">
        <v>132.0</v>
      </c>
      <c r="AA569" s="3">
        <v>196.0</v>
      </c>
      <c r="AB569" s="3">
        <v>495.0</v>
      </c>
      <c r="AC569" s="3">
        <v>5.0</v>
      </c>
    </row>
    <row r="570">
      <c r="A570" s="3">
        <v>568.0</v>
      </c>
      <c r="B570" s="3" t="s">
        <v>2373</v>
      </c>
      <c r="C570" s="3">
        <v>324.0</v>
      </c>
      <c r="D570" s="3" t="s">
        <v>1693</v>
      </c>
      <c r="E570" s="3">
        <v>20.274178</v>
      </c>
      <c r="F570" s="3">
        <v>-87.486259</v>
      </c>
      <c r="G570" s="3">
        <v>51.0</v>
      </c>
      <c r="H570" s="3">
        <v>5.0</v>
      </c>
      <c r="I570" s="3" t="s">
        <v>92</v>
      </c>
      <c r="J570" s="3">
        <v>804.0</v>
      </c>
      <c r="K570" s="3">
        <v>810.0</v>
      </c>
      <c r="L570" s="3" t="s">
        <v>239</v>
      </c>
      <c r="M570" s="3">
        <v>1.0</v>
      </c>
      <c r="N570" s="3" t="s">
        <v>121</v>
      </c>
      <c r="O570" s="3" t="s">
        <v>2374</v>
      </c>
      <c r="P570" s="3" t="s">
        <v>2378</v>
      </c>
      <c r="Q570" s="3">
        <v>2.0</v>
      </c>
      <c r="R570" s="3">
        <v>519.0</v>
      </c>
      <c r="S570" s="3">
        <v>27.741105</v>
      </c>
      <c r="T570" s="3">
        <v>5.96865</v>
      </c>
      <c r="U570" s="3" t="s">
        <v>2376</v>
      </c>
      <c r="V570" s="3">
        <v>0.0</v>
      </c>
      <c r="W570" s="3">
        <v>1209.0</v>
      </c>
      <c r="X570" s="3">
        <v>5135.0</v>
      </c>
      <c r="Y570" s="3">
        <v>39.0</v>
      </c>
      <c r="Z570" s="3">
        <v>132.0</v>
      </c>
      <c r="AA570" s="3">
        <v>196.0</v>
      </c>
      <c r="AB570" s="3">
        <v>495.0</v>
      </c>
      <c r="AC570" s="3">
        <v>5.0</v>
      </c>
    </row>
    <row r="571">
      <c r="A571" s="3">
        <v>569.0</v>
      </c>
      <c r="B571" s="3" t="s">
        <v>2373</v>
      </c>
      <c r="C571" s="3">
        <v>325.0</v>
      </c>
      <c r="D571" s="3" t="s">
        <v>1697</v>
      </c>
      <c r="E571" s="3">
        <v>20.274178</v>
      </c>
      <c r="F571" s="3">
        <v>-87.486259</v>
      </c>
      <c r="G571" s="3">
        <v>51.0</v>
      </c>
      <c r="H571" s="3">
        <v>5.0</v>
      </c>
      <c r="I571" s="3" t="s">
        <v>92</v>
      </c>
      <c r="J571" s="3">
        <v>804.0</v>
      </c>
      <c r="K571" s="3">
        <v>810.0</v>
      </c>
      <c r="L571" s="3" t="s">
        <v>239</v>
      </c>
      <c r="M571" s="3">
        <v>1.0</v>
      </c>
      <c r="N571" s="3" t="s">
        <v>121</v>
      </c>
      <c r="O571" s="3" t="s">
        <v>2374</v>
      </c>
      <c r="P571" s="3" t="s">
        <v>2378</v>
      </c>
      <c r="Q571" s="3">
        <v>2.0</v>
      </c>
      <c r="R571" s="3">
        <v>519.0</v>
      </c>
      <c r="S571" s="3">
        <v>27.741105</v>
      </c>
      <c r="T571" s="3">
        <v>5.96865</v>
      </c>
      <c r="U571" s="3" t="s">
        <v>2376</v>
      </c>
      <c r="V571" s="3">
        <v>0.0</v>
      </c>
      <c r="W571" s="3">
        <v>1209.0</v>
      </c>
      <c r="X571" s="3">
        <v>5135.0</v>
      </c>
      <c r="Y571" s="3">
        <v>39.0</v>
      </c>
      <c r="Z571" s="3">
        <v>132.0</v>
      </c>
      <c r="AA571" s="3">
        <v>196.0</v>
      </c>
      <c r="AB571" s="3">
        <v>495.0</v>
      </c>
      <c r="AC571" s="3">
        <v>5.0</v>
      </c>
    </row>
    <row r="572">
      <c r="A572" s="3">
        <v>570.0</v>
      </c>
      <c r="B572" s="3" t="s">
        <v>2373</v>
      </c>
      <c r="C572" s="3">
        <v>326.0</v>
      </c>
      <c r="D572" s="3" t="s">
        <v>1699</v>
      </c>
      <c r="E572" s="3">
        <v>20.274178</v>
      </c>
      <c r="F572" s="3">
        <v>-87.486259</v>
      </c>
      <c r="G572" s="3">
        <v>51.0</v>
      </c>
      <c r="H572" s="3">
        <v>5.0</v>
      </c>
      <c r="I572" s="3" t="s">
        <v>92</v>
      </c>
      <c r="J572" s="3">
        <v>804.0</v>
      </c>
      <c r="K572" s="3">
        <v>810.0</v>
      </c>
      <c r="L572" s="3" t="s">
        <v>239</v>
      </c>
      <c r="M572" s="3">
        <v>1.0</v>
      </c>
      <c r="N572" s="3" t="s">
        <v>121</v>
      </c>
      <c r="O572" s="3" t="s">
        <v>2374</v>
      </c>
      <c r="P572" s="3" t="s">
        <v>2378</v>
      </c>
      <c r="Q572" s="3">
        <v>2.0</v>
      </c>
      <c r="R572" s="3">
        <v>519.0</v>
      </c>
      <c r="S572" s="3">
        <v>27.741105</v>
      </c>
      <c r="T572" s="3">
        <v>5.96865</v>
      </c>
      <c r="U572" s="3" t="s">
        <v>2376</v>
      </c>
      <c r="V572" s="3">
        <v>0.0</v>
      </c>
      <c r="W572" s="3">
        <v>1209.0</v>
      </c>
      <c r="X572" s="3">
        <v>5135.0</v>
      </c>
      <c r="Y572" s="3">
        <v>39.0</v>
      </c>
      <c r="Z572" s="3">
        <v>132.0</v>
      </c>
      <c r="AA572" s="3">
        <v>196.0</v>
      </c>
      <c r="AB572" s="3">
        <v>495.0</v>
      </c>
      <c r="AC572" s="3">
        <v>5.0</v>
      </c>
    </row>
    <row r="573">
      <c r="A573" s="3">
        <v>571.0</v>
      </c>
      <c r="B573" s="3" t="s">
        <v>2373</v>
      </c>
      <c r="C573" s="3">
        <v>327.0</v>
      </c>
      <c r="D573" s="3" t="s">
        <v>1701</v>
      </c>
      <c r="E573" s="3">
        <v>20.274178</v>
      </c>
      <c r="F573" s="3">
        <v>-87.486259</v>
      </c>
      <c r="G573" s="3">
        <v>51.0</v>
      </c>
      <c r="H573" s="3">
        <v>5.0</v>
      </c>
      <c r="I573" s="3" t="s">
        <v>92</v>
      </c>
      <c r="J573" s="3">
        <v>804.0</v>
      </c>
      <c r="K573" s="3">
        <v>810.0</v>
      </c>
      <c r="L573" s="3" t="s">
        <v>239</v>
      </c>
      <c r="M573" s="3">
        <v>1.0</v>
      </c>
      <c r="N573" s="3" t="s">
        <v>121</v>
      </c>
      <c r="O573" s="3" t="s">
        <v>2374</v>
      </c>
      <c r="P573" s="3" t="s">
        <v>2378</v>
      </c>
      <c r="Q573" s="3">
        <v>2.0</v>
      </c>
      <c r="R573" s="3">
        <v>519.0</v>
      </c>
      <c r="S573" s="3">
        <v>27.741105</v>
      </c>
      <c r="T573" s="3">
        <v>5.96865</v>
      </c>
      <c r="U573" s="3" t="s">
        <v>2376</v>
      </c>
      <c r="V573" s="3">
        <v>0.0</v>
      </c>
      <c r="W573" s="3">
        <v>1209.0</v>
      </c>
      <c r="X573" s="3">
        <v>5135.0</v>
      </c>
      <c r="Y573" s="3">
        <v>39.0</v>
      </c>
      <c r="Z573" s="3">
        <v>132.0</v>
      </c>
      <c r="AA573" s="3">
        <v>196.0</v>
      </c>
      <c r="AB573" s="3">
        <v>495.0</v>
      </c>
      <c r="AC573" s="3">
        <v>5.0</v>
      </c>
    </row>
    <row r="574">
      <c r="A574" s="3">
        <v>572.0</v>
      </c>
      <c r="B574" s="3" t="s">
        <v>2373</v>
      </c>
      <c r="C574" s="3">
        <v>328.0</v>
      </c>
      <c r="D574" s="3" t="s">
        <v>1703</v>
      </c>
      <c r="E574" s="3">
        <v>20.274178</v>
      </c>
      <c r="F574" s="3">
        <v>-87.486259</v>
      </c>
      <c r="G574" s="3">
        <v>51.0</v>
      </c>
      <c r="H574" s="3">
        <v>5.0</v>
      </c>
      <c r="I574" s="3" t="s">
        <v>92</v>
      </c>
      <c r="J574" s="3">
        <v>804.0</v>
      </c>
      <c r="K574" s="3">
        <v>810.0</v>
      </c>
      <c r="L574" s="3" t="s">
        <v>239</v>
      </c>
      <c r="M574" s="3">
        <v>1.0</v>
      </c>
      <c r="N574" s="3" t="s">
        <v>121</v>
      </c>
      <c r="O574" s="3" t="s">
        <v>2374</v>
      </c>
      <c r="P574" s="3" t="s">
        <v>2378</v>
      </c>
      <c r="Q574" s="3">
        <v>2.0</v>
      </c>
      <c r="R574" s="3">
        <v>519.0</v>
      </c>
      <c r="S574" s="3">
        <v>27.741105</v>
      </c>
      <c r="T574" s="3">
        <v>5.96865</v>
      </c>
      <c r="U574" s="3" t="s">
        <v>2376</v>
      </c>
      <c r="V574" s="3">
        <v>0.0</v>
      </c>
      <c r="W574" s="3">
        <v>1209.0</v>
      </c>
      <c r="X574" s="3">
        <v>5135.0</v>
      </c>
      <c r="Y574" s="3">
        <v>39.0</v>
      </c>
      <c r="Z574" s="3">
        <v>132.0</v>
      </c>
      <c r="AA574" s="3">
        <v>196.0</v>
      </c>
      <c r="AB574" s="3">
        <v>495.0</v>
      </c>
      <c r="AC574" s="3">
        <v>5.0</v>
      </c>
    </row>
    <row r="575">
      <c r="A575" s="3">
        <v>573.0</v>
      </c>
      <c r="B575" s="3" t="s">
        <v>2373</v>
      </c>
      <c r="C575" s="3">
        <v>329.0</v>
      </c>
      <c r="D575" s="3" t="s">
        <v>1704</v>
      </c>
      <c r="E575" s="3">
        <v>20.274178</v>
      </c>
      <c r="F575" s="3">
        <v>-87.486259</v>
      </c>
      <c r="G575" s="3">
        <v>51.0</v>
      </c>
      <c r="H575" s="3">
        <v>5.0</v>
      </c>
      <c r="I575" s="3" t="s">
        <v>92</v>
      </c>
      <c r="J575" s="3">
        <v>804.0</v>
      </c>
      <c r="K575" s="3">
        <v>810.0</v>
      </c>
      <c r="L575" s="3" t="s">
        <v>239</v>
      </c>
      <c r="M575" s="3">
        <v>1.0</v>
      </c>
      <c r="N575" s="3" t="s">
        <v>121</v>
      </c>
      <c r="O575" s="3" t="s">
        <v>2374</v>
      </c>
      <c r="P575" s="3" t="s">
        <v>2378</v>
      </c>
      <c r="Q575" s="3">
        <v>2.0</v>
      </c>
      <c r="R575" s="3">
        <v>519.0</v>
      </c>
      <c r="S575" s="3">
        <v>27.741105</v>
      </c>
      <c r="T575" s="3">
        <v>5.96865</v>
      </c>
      <c r="U575" s="3" t="s">
        <v>2376</v>
      </c>
      <c r="V575" s="3">
        <v>0.0</v>
      </c>
      <c r="W575" s="3">
        <v>1209.0</v>
      </c>
      <c r="X575" s="3">
        <v>5135.0</v>
      </c>
      <c r="Y575" s="3">
        <v>39.0</v>
      </c>
      <c r="Z575" s="3">
        <v>132.0</v>
      </c>
      <c r="AA575" s="3">
        <v>196.0</v>
      </c>
      <c r="AB575" s="3">
        <v>495.0</v>
      </c>
      <c r="AC575" s="3">
        <v>5.0</v>
      </c>
    </row>
    <row r="576">
      <c r="A576" s="3">
        <v>574.0</v>
      </c>
      <c r="B576" s="3" t="s">
        <v>2373</v>
      </c>
      <c r="C576" s="3">
        <v>406.0</v>
      </c>
      <c r="D576" s="3" t="s">
        <v>465</v>
      </c>
      <c r="E576" s="3">
        <v>19.87</v>
      </c>
      <c r="F576" s="3">
        <v>-88.77</v>
      </c>
      <c r="G576" s="3">
        <v>51.0</v>
      </c>
      <c r="H576" s="3">
        <v>5.0</v>
      </c>
      <c r="I576" s="3" t="s">
        <v>92</v>
      </c>
      <c r="J576" s="3">
        <v>804.0</v>
      </c>
      <c r="K576" s="3">
        <v>810.0</v>
      </c>
      <c r="L576" s="3" t="s">
        <v>239</v>
      </c>
      <c r="M576" s="3">
        <v>1.0</v>
      </c>
      <c r="N576" s="3" t="s">
        <v>121</v>
      </c>
      <c r="O576" s="3" t="s">
        <v>2374</v>
      </c>
      <c r="P576" s="3" t="s">
        <v>2378</v>
      </c>
      <c r="Q576" s="3">
        <v>2.0</v>
      </c>
      <c r="R576" s="3">
        <v>519.0</v>
      </c>
      <c r="S576" s="3">
        <v>27.741105</v>
      </c>
      <c r="T576" s="3">
        <v>5.96865</v>
      </c>
      <c r="U576" s="3" t="s">
        <v>2376</v>
      </c>
      <c r="V576" s="3">
        <v>0.0</v>
      </c>
      <c r="W576" s="3">
        <v>1244.0</v>
      </c>
      <c r="X576" s="3">
        <v>6267.0</v>
      </c>
      <c r="Y576" s="3">
        <v>31.0</v>
      </c>
      <c r="Z576" s="3">
        <v>105.0</v>
      </c>
      <c r="AA576" s="3">
        <v>215.0</v>
      </c>
      <c r="AB576" s="3">
        <v>548.0</v>
      </c>
      <c r="AC576" s="3">
        <v>36.0</v>
      </c>
    </row>
    <row r="577">
      <c r="A577" s="3">
        <v>575.0</v>
      </c>
      <c r="B577" s="3" t="s">
        <v>2373</v>
      </c>
      <c r="C577" s="3">
        <v>407.0</v>
      </c>
      <c r="D577" s="3" t="s">
        <v>473</v>
      </c>
      <c r="E577" s="3">
        <v>19.87</v>
      </c>
      <c r="F577" s="3">
        <v>-88.77</v>
      </c>
      <c r="G577" s="3">
        <v>51.0</v>
      </c>
      <c r="H577" s="3">
        <v>5.0</v>
      </c>
      <c r="I577" s="3" t="s">
        <v>92</v>
      </c>
      <c r="J577" s="3">
        <v>804.0</v>
      </c>
      <c r="K577" s="3">
        <v>810.0</v>
      </c>
      <c r="L577" s="3" t="s">
        <v>239</v>
      </c>
      <c r="M577" s="3">
        <v>1.0</v>
      </c>
      <c r="N577" s="3" t="s">
        <v>121</v>
      </c>
      <c r="O577" s="3" t="s">
        <v>2374</v>
      </c>
      <c r="P577" s="3" t="s">
        <v>2378</v>
      </c>
      <c r="Q577" s="3">
        <v>2.0</v>
      </c>
      <c r="R577" s="3">
        <v>519.0</v>
      </c>
      <c r="S577" s="3">
        <v>27.741105</v>
      </c>
      <c r="T577" s="3">
        <v>5.96865</v>
      </c>
      <c r="U577" s="3" t="s">
        <v>2376</v>
      </c>
      <c r="V577" s="3">
        <v>0.0</v>
      </c>
      <c r="W577" s="3">
        <v>1244.0</v>
      </c>
      <c r="X577" s="3">
        <v>6267.0</v>
      </c>
      <c r="Y577" s="3">
        <v>31.0</v>
      </c>
      <c r="Z577" s="3">
        <v>105.0</v>
      </c>
      <c r="AA577" s="3">
        <v>215.0</v>
      </c>
      <c r="AB577" s="3">
        <v>548.0</v>
      </c>
      <c r="AC577" s="3">
        <v>36.0</v>
      </c>
    </row>
    <row r="578">
      <c r="A578" s="3">
        <v>576.0</v>
      </c>
      <c r="B578" s="3" t="s">
        <v>2373</v>
      </c>
      <c r="C578" s="3">
        <v>421.0</v>
      </c>
      <c r="D578" s="3" t="s">
        <v>1415</v>
      </c>
      <c r="E578" s="3">
        <v>19.856</v>
      </c>
      <c r="F578" s="3">
        <v>-88.7644</v>
      </c>
      <c r="G578" s="3">
        <v>51.0</v>
      </c>
      <c r="H578" s="3">
        <v>5.0</v>
      </c>
      <c r="I578" s="3" t="s">
        <v>92</v>
      </c>
      <c r="J578" s="3">
        <v>804.0</v>
      </c>
      <c r="K578" s="3">
        <v>810.0</v>
      </c>
      <c r="L578" s="3" t="s">
        <v>239</v>
      </c>
      <c r="M578" s="3">
        <v>1.0</v>
      </c>
      <c r="N578" s="3" t="s">
        <v>121</v>
      </c>
      <c r="O578" s="3" t="s">
        <v>2374</v>
      </c>
      <c r="P578" s="3" t="s">
        <v>2378</v>
      </c>
      <c r="Q578" s="3">
        <v>2.0</v>
      </c>
      <c r="R578" s="3">
        <v>519.0</v>
      </c>
      <c r="S578" s="3">
        <v>27.741105</v>
      </c>
      <c r="T578" s="3">
        <v>5.96865</v>
      </c>
      <c r="U578" s="3" t="s">
        <v>2376</v>
      </c>
      <c r="V578" s="3">
        <v>0.0</v>
      </c>
      <c r="W578" s="3">
        <v>1254.0</v>
      </c>
      <c r="X578" s="3">
        <v>6228.0</v>
      </c>
      <c r="Y578" s="3">
        <v>32.0</v>
      </c>
      <c r="Z578" s="3">
        <v>107.0</v>
      </c>
      <c r="AA578" s="3">
        <v>216.0</v>
      </c>
      <c r="AB578" s="3">
        <v>551.0</v>
      </c>
      <c r="AC578" s="3">
        <v>36.0</v>
      </c>
    </row>
    <row r="579">
      <c r="A579" s="3">
        <v>577.0</v>
      </c>
      <c r="B579" s="3" t="s">
        <v>2373</v>
      </c>
      <c r="C579" s="3">
        <v>423.0</v>
      </c>
      <c r="D579" s="3" t="s">
        <v>1426</v>
      </c>
      <c r="E579" s="3">
        <v>19.856</v>
      </c>
      <c r="F579" s="3">
        <v>-88.7644</v>
      </c>
      <c r="G579" s="3">
        <v>51.0</v>
      </c>
      <c r="H579" s="3">
        <v>5.0</v>
      </c>
      <c r="I579" s="3" t="s">
        <v>92</v>
      </c>
      <c r="J579" s="3">
        <v>804.0</v>
      </c>
      <c r="K579" s="3">
        <v>810.0</v>
      </c>
      <c r="L579" s="3" t="s">
        <v>239</v>
      </c>
      <c r="M579" s="3">
        <v>1.0</v>
      </c>
      <c r="N579" s="3" t="s">
        <v>121</v>
      </c>
      <c r="O579" s="3" t="s">
        <v>2374</v>
      </c>
      <c r="P579" s="3" t="s">
        <v>2378</v>
      </c>
      <c r="Q579" s="3">
        <v>2.0</v>
      </c>
      <c r="R579" s="3">
        <v>519.0</v>
      </c>
      <c r="S579" s="3">
        <v>27.741105</v>
      </c>
      <c r="T579" s="3">
        <v>5.96865</v>
      </c>
      <c r="U579" s="3" t="s">
        <v>2376</v>
      </c>
      <c r="V579" s="3">
        <v>0.0</v>
      </c>
      <c r="W579" s="3">
        <v>1254.0</v>
      </c>
      <c r="X579" s="3">
        <v>6228.0</v>
      </c>
      <c r="Y579" s="3">
        <v>32.0</v>
      </c>
      <c r="Z579" s="3">
        <v>107.0</v>
      </c>
      <c r="AA579" s="3">
        <v>216.0</v>
      </c>
      <c r="AB579" s="3">
        <v>551.0</v>
      </c>
      <c r="AC579" s="3">
        <v>36.0</v>
      </c>
    </row>
    <row r="580">
      <c r="A580" s="3">
        <v>578.0</v>
      </c>
      <c r="B580" s="3" t="s">
        <v>2373</v>
      </c>
      <c r="C580" s="3">
        <v>454.0</v>
      </c>
      <c r="D580" s="3" t="s">
        <v>1781</v>
      </c>
      <c r="E580" s="3">
        <v>18.372</v>
      </c>
      <c r="F580" s="3">
        <v>-90.294833</v>
      </c>
      <c r="G580" s="3">
        <v>51.0</v>
      </c>
      <c r="H580" s="3">
        <v>5.0</v>
      </c>
      <c r="I580" s="3" t="s">
        <v>92</v>
      </c>
      <c r="J580" s="3">
        <v>804.0</v>
      </c>
      <c r="K580" s="3">
        <v>810.0</v>
      </c>
      <c r="L580" s="3" t="s">
        <v>239</v>
      </c>
      <c r="M580" s="3">
        <v>1.0</v>
      </c>
      <c r="N580" s="3" t="s">
        <v>121</v>
      </c>
      <c r="O580" s="3" t="s">
        <v>2374</v>
      </c>
      <c r="P580" s="3" t="s">
        <v>2378</v>
      </c>
      <c r="Q580" s="3">
        <v>2.0</v>
      </c>
      <c r="R580" s="3">
        <v>519.0</v>
      </c>
      <c r="S580" s="3">
        <v>27.741105</v>
      </c>
      <c r="T580" s="3">
        <v>5.96865</v>
      </c>
      <c r="U580" s="3" t="s">
        <v>2376</v>
      </c>
      <c r="V580" s="3">
        <v>0.0</v>
      </c>
      <c r="W580" s="3">
        <v>1201.0</v>
      </c>
      <c r="X580" s="3">
        <v>7081.0</v>
      </c>
      <c r="Y580" s="3">
        <v>25.0</v>
      </c>
      <c r="Z580" s="3">
        <v>83.0</v>
      </c>
      <c r="AA580" s="3">
        <v>238.0</v>
      </c>
      <c r="AB580" s="3">
        <v>575.0</v>
      </c>
      <c r="AC580" s="3">
        <v>81.0</v>
      </c>
    </row>
    <row r="581">
      <c r="A581" s="3">
        <v>579.0</v>
      </c>
      <c r="B581" s="3" t="s">
        <v>2373</v>
      </c>
      <c r="C581" s="3">
        <v>467.0</v>
      </c>
      <c r="D581" s="3" t="s">
        <v>557</v>
      </c>
      <c r="E581" s="3">
        <v>20.5874</v>
      </c>
      <c r="F581" s="3">
        <v>-87.134033</v>
      </c>
      <c r="G581" s="3">
        <v>51.0</v>
      </c>
      <c r="H581" s="3">
        <v>5.0</v>
      </c>
      <c r="I581" s="3" t="s">
        <v>92</v>
      </c>
      <c r="J581" s="3">
        <v>804.0</v>
      </c>
      <c r="K581" s="3">
        <v>810.0</v>
      </c>
      <c r="L581" s="3" t="s">
        <v>239</v>
      </c>
      <c r="M581" s="3">
        <v>1.0</v>
      </c>
      <c r="N581" s="3" t="s">
        <v>121</v>
      </c>
      <c r="O581" s="3" t="s">
        <v>2374</v>
      </c>
      <c r="P581" s="3" t="s">
        <v>2378</v>
      </c>
      <c r="Q581" s="3">
        <v>2.0</v>
      </c>
      <c r="R581" s="3">
        <v>519.0</v>
      </c>
      <c r="S581" s="3">
        <v>27.741105</v>
      </c>
      <c r="T581" s="3">
        <v>5.96865</v>
      </c>
      <c r="U581" s="3" t="s">
        <v>2376</v>
      </c>
      <c r="V581" s="3">
        <v>0.0</v>
      </c>
      <c r="W581" s="3">
        <v>1332.0</v>
      </c>
      <c r="X581" s="3">
        <v>5474.0</v>
      </c>
      <c r="Y581" s="3">
        <v>36.0</v>
      </c>
      <c r="Z581" s="3">
        <v>137.0</v>
      </c>
      <c r="AA581" s="3">
        <v>218.0</v>
      </c>
      <c r="AB581" s="3">
        <v>570.0</v>
      </c>
      <c r="AC581" s="3">
        <v>3.0</v>
      </c>
    </row>
    <row r="582">
      <c r="A582" s="3">
        <v>580.0</v>
      </c>
      <c r="B582" s="3" t="s">
        <v>2373</v>
      </c>
      <c r="C582" s="3">
        <v>503.0</v>
      </c>
      <c r="D582" s="3" t="s">
        <v>1744</v>
      </c>
      <c r="E582" s="3">
        <v>20.407785</v>
      </c>
      <c r="F582" s="3">
        <v>-87.464611</v>
      </c>
      <c r="G582" s="3">
        <v>51.0</v>
      </c>
      <c r="H582" s="3">
        <v>5.0</v>
      </c>
      <c r="I582" s="3" t="s">
        <v>92</v>
      </c>
      <c r="J582" s="3">
        <v>804.0</v>
      </c>
      <c r="K582" s="3">
        <v>810.0</v>
      </c>
      <c r="L582" s="3" t="s">
        <v>239</v>
      </c>
      <c r="M582" s="3">
        <v>1.0</v>
      </c>
      <c r="N582" s="3" t="s">
        <v>121</v>
      </c>
      <c r="O582" s="3" t="s">
        <v>2374</v>
      </c>
      <c r="P582" s="3" t="s">
        <v>2378</v>
      </c>
      <c r="Q582" s="3">
        <v>2.0</v>
      </c>
      <c r="R582" s="3">
        <v>519.0</v>
      </c>
      <c r="S582" s="3">
        <v>27.741105</v>
      </c>
      <c r="T582" s="3">
        <v>5.96865</v>
      </c>
      <c r="U582" s="3" t="s">
        <v>2376</v>
      </c>
      <c r="V582" s="3">
        <v>0.0</v>
      </c>
      <c r="W582" s="3">
        <v>1235.0</v>
      </c>
      <c r="X582" s="3">
        <v>5112.0</v>
      </c>
      <c r="Y582" s="3">
        <v>41.0</v>
      </c>
      <c r="Z582" s="3">
        <v>137.0</v>
      </c>
      <c r="AA582" s="3">
        <v>193.0</v>
      </c>
      <c r="AB582" s="3">
        <v>512.0</v>
      </c>
      <c r="AC582" s="3">
        <v>13.0</v>
      </c>
    </row>
    <row r="583">
      <c r="A583" s="3">
        <v>581.0</v>
      </c>
      <c r="B583" s="3" t="s">
        <v>2373</v>
      </c>
      <c r="C583" s="3">
        <v>504.0</v>
      </c>
      <c r="D583" s="3" t="s">
        <v>1748</v>
      </c>
      <c r="E583" s="3">
        <v>20.407785</v>
      </c>
      <c r="F583" s="3">
        <v>-87.464611</v>
      </c>
      <c r="G583" s="3">
        <v>51.0</v>
      </c>
      <c r="H583" s="3">
        <v>5.0</v>
      </c>
      <c r="I583" s="3" t="s">
        <v>92</v>
      </c>
      <c r="J583" s="3">
        <v>804.0</v>
      </c>
      <c r="K583" s="3">
        <v>810.0</v>
      </c>
      <c r="L583" s="3" t="s">
        <v>239</v>
      </c>
      <c r="M583" s="3">
        <v>1.0</v>
      </c>
      <c r="N583" s="3" t="s">
        <v>121</v>
      </c>
      <c r="O583" s="3" t="s">
        <v>2374</v>
      </c>
      <c r="P583" s="3" t="s">
        <v>2378</v>
      </c>
      <c r="Q583" s="3">
        <v>2.0</v>
      </c>
      <c r="R583" s="3">
        <v>519.0</v>
      </c>
      <c r="S583" s="3">
        <v>27.741105</v>
      </c>
      <c r="T583" s="3">
        <v>5.96865</v>
      </c>
      <c r="U583" s="3" t="s">
        <v>2376</v>
      </c>
      <c r="V583" s="3">
        <v>0.0</v>
      </c>
      <c r="W583" s="3">
        <v>1235.0</v>
      </c>
      <c r="X583" s="3">
        <v>5112.0</v>
      </c>
      <c r="Y583" s="3">
        <v>41.0</v>
      </c>
      <c r="Z583" s="3">
        <v>137.0</v>
      </c>
      <c r="AA583" s="3">
        <v>193.0</v>
      </c>
      <c r="AB583" s="3">
        <v>512.0</v>
      </c>
      <c r="AC583" s="3">
        <v>13.0</v>
      </c>
    </row>
    <row r="584">
      <c r="A584" s="3">
        <v>582.0</v>
      </c>
      <c r="B584" s="3" t="s">
        <v>2373</v>
      </c>
      <c r="C584" s="3">
        <v>600.0</v>
      </c>
      <c r="D584" s="3" t="s">
        <v>1041</v>
      </c>
      <c r="E584" s="3">
        <v>20.681564</v>
      </c>
      <c r="F584" s="3">
        <v>-87.625762</v>
      </c>
      <c r="G584" s="3">
        <v>51.0</v>
      </c>
      <c r="H584" s="3">
        <v>5.0</v>
      </c>
      <c r="I584" s="3" t="s">
        <v>92</v>
      </c>
      <c r="J584" s="3">
        <v>804.0</v>
      </c>
      <c r="K584" s="3">
        <v>810.0</v>
      </c>
      <c r="L584" s="3" t="s">
        <v>239</v>
      </c>
      <c r="M584" s="3">
        <v>1.0</v>
      </c>
      <c r="N584" s="3" t="s">
        <v>121</v>
      </c>
      <c r="O584" s="3" t="s">
        <v>2374</v>
      </c>
      <c r="P584" s="3" t="s">
        <v>2378</v>
      </c>
      <c r="Q584" s="3">
        <v>2.0</v>
      </c>
      <c r="R584" s="3">
        <v>519.0</v>
      </c>
      <c r="S584" s="3">
        <v>27.741105</v>
      </c>
      <c r="T584" s="3">
        <v>5.96865</v>
      </c>
      <c r="U584" s="3" t="s">
        <v>2376</v>
      </c>
      <c r="V584" s="3">
        <v>0.0</v>
      </c>
      <c r="W584" s="3">
        <v>1187.0</v>
      </c>
      <c r="X584" s="3">
        <v>5374.0</v>
      </c>
      <c r="Y584" s="3">
        <v>44.0</v>
      </c>
      <c r="Z584" s="3">
        <v>138.0</v>
      </c>
      <c r="AA584" s="3">
        <v>187.0</v>
      </c>
      <c r="AB584" s="3">
        <v>504.0</v>
      </c>
      <c r="AC584" s="3">
        <v>24.0</v>
      </c>
    </row>
    <row r="585">
      <c r="A585" s="3">
        <v>583.0</v>
      </c>
      <c r="B585" s="3" t="s">
        <v>2373</v>
      </c>
      <c r="C585" s="3">
        <v>601.0</v>
      </c>
      <c r="D585" s="3" t="s">
        <v>1046</v>
      </c>
      <c r="E585" s="3">
        <v>20.681564</v>
      </c>
      <c r="F585" s="3">
        <v>-87.625762</v>
      </c>
      <c r="G585" s="3">
        <v>51.0</v>
      </c>
      <c r="H585" s="3">
        <v>5.0</v>
      </c>
      <c r="I585" s="3" t="s">
        <v>92</v>
      </c>
      <c r="J585" s="3">
        <v>804.0</v>
      </c>
      <c r="K585" s="3">
        <v>810.0</v>
      </c>
      <c r="L585" s="3" t="s">
        <v>239</v>
      </c>
      <c r="M585" s="3">
        <v>1.0</v>
      </c>
      <c r="N585" s="3" t="s">
        <v>121</v>
      </c>
      <c r="O585" s="3" t="s">
        <v>2374</v>
      </c>
      <c r="P585" s="3" t="s">
        <v>2378</v>
      </c>
      <c r="Q585" s="3">
        <v>2.0</v>
      </c>
      <c r="R585" s="3">
        <v>519.0</v>
      </c>
      <c r="S585" s="3">
        <v>27.741105</v>
      </c>
      <c r="T585" s="3">
        <v>5.96865</v>
      </c>
      <c r="U585" s="3" t="s">
        <v>2376</v>
      </c>
      <c r="V585" s="3">
        <v>0.0</v>
      </c>
      <c r="W585" s="3">
        <v>1187.0</v>
      </c>
      <c r="X585" s="3">
        <v>5374.0</v>
      </c>
      <c r="Y585" s="3">
        <v>44.0</v>
      </c>
      <c r="Z585" s="3">
        <v>138.0</v>
      </c>
      <c r="AA585" s="3">
        <v>187.0</v>
      </c>
      <c r="AB585" s="3">
        <v>504.0</v>
      </c>
      <c r="AC585" s="3">
        <v>24.0</v>
      </c>
    </row>
    <row r="586">
      <c r="A586" s="3">
        <v>584.0</v>
      </c>
      <c r="B586" s="3" t="s">
        <v>2373</v>
      </c>
      <c r="C586" s="3">
        <v>632.0</v>
      </c>
      <c r="D586" s="3" t="s">
        <v>475</v>
      </c>
      <c r="E586" s="3">
        <v>20.35244</v>
      </c>
      <c r="F586" s="3">
        <v>-87.8042</v>
      </c>
      <c r="G586" s="3">
        <v>51.0</v>
      </c>
      <c r="H586" s="3">
        <v>5.0</v>
      </c>
      <c r="I586" s="3" t="s">
        <v>92</v>
      </c>
      <c r="J586" s="3">
        <v>804.0</v>
      </c>
      <c r="K586" s="3">
        <v>810.0</v>
      </c>
      <c r="L586" s="3" t="s">
        <v>239</v>
      </c>
      <c r="M586" s="3">
        <v>1.0</v>
      </c>
      <c r="N586" s="3" t="s">
        <v>121</v>
      </c>
      <c r="O586" s="3" t="s">
        <v>2374</v>
      </c>
      <c r="P586" s="3" t="s">
        <v>2378</v>
      </c>
      <c r="Q586" s="3">
        <v>2.0</v>
      </c>
      <c r="R586" s="3">
        <v>519.0</v>
      </c>
      <c r="S586" s="3">
        <v>27.741105</v>
      </c>
      <c r="T586" s="3">
        <v>5.96865</v>
      </c>
      <c r="U586" s="3" t="s">
        <v>2376</v>
      </c>
      <c r="V586" s="3">
        <v>0.0</v>
      </c>
      <c r="W586" s="3">
        <v>1155.0</v>
      </c>
      <c r="X586" s="3">
        <v>5543.0</v>
      </c>
      <c r="Y586" s="3">
        <v>41.0</v>
      </c>
      <c r="Z586" s="3">
        <v>128.0</v>
      </c>
      <c r="AA586" s="3">
        <v>188.0</v>
      </c>
      <c r="AB586" s="3">
        <v>497.0</v>
      </c>
      <c r="AC586" s="3">
        <v>16.0</v>
      </c>
    </row>
    <row r="587">
      <c r="A587" s="3">
        <v>585.0</v>
      </c>
      <c r="B587" s="3" t="s">
        <v>2373</v>
      </c>
      <c r="C587" s="3">
        <v>388.0</v>
      </c>
      <c r="D587" s="3" t="s">
        <v>515</v>
      </c>
      <c r="E587" s="3">
        <v>11.906</v>
      </c>
      <c r="F587" s="3">
        <v>-85.918</v>
      </c>
      <c r="G587" s="3">
        <v>54.0</v>
      </c>
      <c r="H587" s="3">
        <v>6.0</v>
      </c>
      <c r="I587" s="3" t="s">
        <v>521</v>
      </c>
      <c r="J587" s="3">
        <v>118.0</v>
      </c>
      <c r="K587" s="3">
        <v>120.0</v>
      </c>
      <c r="L587" s="3" t="s">
        <v>525</v>
      </c>
      <c r="M587" s="3">
        <v>2.0</v>
      </c>
      <c r="N587" s="3" t="s">
        <v>104</v>
      </c>
      <c r="O587" s="3" t="s">
        <v>2374</v>
      </c>
      <c r="P587" s="3" t="s">
        <v>2379</v>
      </c>
      <c r="Q587" s="3">
        <v>3.0</v>
      </c>
      <c r="R587" s="3">
        <v>527.0</v>
      </c>
      <c r="S587" s="3">
        <v>96.749052</v>
      </c>
      <c r="T587" s="3">
        <v>5.65478</v>
      </c>
      <c r="U587" s="3" t="s">
        <v>2376</v>
      </c>
      <c r="V587" s="3">
        <v>0.0</v>
      </c>
      <c r="W587" s="3">
        <v>1535.0</v>
      </c>
      <c r="X587" s="3">
        <v>9899.0</v>
      </c>
      <c r="Y587" s="3">
        <v>2.0</v>
      </c>
      <c r="Z587" s="3">
        <v>16.0</v>
      </c>
      <c r="AA587" s="3">
        <v>339.0</v>
      </c>
      <c r="AB587" s="3">
        <v>863.0</v>
      </c>
      <c r="AC587" s="3">
        <v>43.0</v>
      </c>
    </row>
    <row r="588">
      <c r="A588" s="3">
        <v>586.0</v>
      </c>
      <c r="B588" s="3" t="s">
        <v>2373</v>
      </c>
      <c r="C588" s="3">
        <v>564.0</v>
      </c>
      <c r="D588" s="3" t="s">
        <v>1434</v>
      </c>
      <c r="E588" s="3">
        <v>11.906</v>
      </c>
      <c r="F588" s="3">
        <v>-85.918</v>
      </c>
      <c r="G588" s="3">
        <v>54.0</v>
      </c>
      <c r="H588" s="3">
        <v>6.0</v>
      </c>
      <c r="I588" s="3" t="s">
        <v>521</v>
      </c>
      <c r="J588" s="3">
        <v>118.0</v>
      </c>
      <c r="K588" s="3">
        <v>120.0</v>
      </c>
      <c r="L588" s="3" t="s">
        <v>525</v>
      </c>
      <c r="M588" s="3">
        <v>2.0</v>
      </c>
      <c r="N588" s="3" t="s">
        <v>104</v>
      </c>
      <c r="O588" s="3" t="s">
        <v>2374</v>
      </c>
      <c r="P588" s="3" t="s">
        <v>2379</v>
      </c>
      <c r="Q588" s="3">
        <v>3.0</v>
      </c>
      <c r="R588" s="3">
        <v>527.0</v>
      </c>
      <c r="S588" s="3">
        <v>96.749052</v>
      </c>
      <c r="T588" s="3">
        <v>5.65478</v>
      </c>
      <c r="U588" s="3" t="s">
        <v>2376</v>
      </c>
      <c r="V588" s="3">
        <v>0.0</v>
      </c>
      <c r="W588" s="3">
        <v>1535.0</v>
      </c>
      <c r="X588" s="3">
        <v>9899.0</v>
      </c>
      <c r="Y588" s="3">
        <v>2.0</v>
      </c>
      <c r="Z588" s="3">
        <v>16.0</v>
      </c>
      <c r="AA588" s="3">
        <v>339.0</v>
      </c>
      <c r="AB588" s="3">
        <v>863.0</v>
      </c>
      <c r="AC588" s="3">
        <v>43.0</v>
      </c>
    </row>
    <row r="589">
      <c r="A589" s="3">
        <v>587.0</v>
      </c>
      <c r="B589" s="3" t="s">
        <v>2373</v>
      </c>
      <c r="C589" s="3">
        <v>565.0</v>
      </c>
      <c r="D589" s="3" t="s">
        <v>1435</v>
      </c>
      <c r="E589" s="3">
        <v>11.906</v>
      </c>
      <c r="F589" s="3">
        <v>-85.918</v>
      </c>
      <c r="G589" s="3">
        <v>54.0</v>
      </c>
      <c r="H589" s="3">
        <v>6.0</v>
      </c>
      <c r="I589" s="3" t="s">
        <v>521</v>
      </c>
      <c r="J589" s="3">
        <v>118.0</v>
      </c>
      <c r="K589" s="3">
        <v>120.0</v>
      </c>
      <c r="L589" s="3" t="s">
        <v>525</v>
      </c>
      <c r="M589" s="3">
        <v>2.0</v>
      </c>
      <c r="N589" s="3" t="s">
        <v>104</v>
      </c>
      <c r="O589" s="3" t="s">
        <v>2374</v>
      </c>
      <c r="P589" s="3" t="s">
        <v>2379</v>
      </c>
      <c r="Q589" s="3">
        <v>3.0</v>
      </c>
      <c r="R589" s="3">
        <v>527.0</v>
      </c>
      <c r="S589" s="3">
        <v>96.749052</v>
      </c>
      <c r="T589" s="3">
        <v>5.65478</v>
      </c>
      <c r="U589" s="3" t="s">
        <v>2376</v>
      </c>
      <c r="V589" s="3">
        <v>0.0</v>
      </c>
      <c r="W589" s="3">
        <v>1535.0</v>
      </c>
      <c r="X589" s="3">
        <v>9899.0</v>
      </c>
      <c r="Y589" s="3">
        <v>2.0</v>
      </c>
      <c r="Z589" s="3">
        <v>16.0</v>
      </c>
      <c r="AA589" s="3">
        <v>339.0</v>
      </c>
      <c r="AB589" s="3">
        <v>863.0</v>
      </c>
      <c r="AC589" s="3">
        <v>43.0</v>
      </c>
    </row>
    <row r="590">
      <c r="A590" s="3">
        <v>588.0</v>
      </c>
      <c r="B590" s="3" t="s">
        <v>2373</v>
      </c>
      <c r="C590" s="3">
        <v>566.0</v>
      </c>
      <c r="D590" s="3" t="s">
        <v>1437</v>
      </c>
      <c r="E590" s="3">
        <v>11.906</v>
      </c>
      <c r="F590" s="3">
        <v>-85.918</v>
      </c>
      <c r="G590" s="3">
        <v>54.0</v>
      </c>
      <c r="H590" s="3">
        <v>6.0</v>
      </c>
      <c r="I590" s="3" t="s">
        <v>521</v>
      </c>
      <c r="J590" s="3">
        <v>118.0</v>
      </c>
      <c r="K590" s="3">
        <v>120.0</v>
      </c>
      <c r="L590" s="3" t="s">
        <v>525</v>
      </c>
      <c r="M590" s="3">
        <v>2.0</v>
      </c>
      <c r="N590" s="3" t="s">
        <v>104</v>
      </c>
      <c r="O590" s="3" t="s">
        <v>2374</v>
      </c>
      <c r="P590" s="3" t="s">
        <v>2379</v>
      </c>
      <c r="Q590" s="3">
        <v>3.0</v>
      </c>
      <c r="R590" s="3">
        <v>527.0</v>
      </c>
      <c r="S590" s="3">
        <v>96.749052</v>
      </c>
      <c r="T590" s="3">
        <v>5.65478</v>
      </c>
      <c r="U590" s="3" t="s">
        <v>2376</v>
      </c>
      <c r="V590" s="3">
        <v>0.0</v>
      </c>
      <c r="W590" s="3">
        <v>1535.0</v>
      </c>
      <c r="X590" s="3">
        <v>9899.0</v>
      </c>
      <c r="Y590" s="3">
        <v>2.0</v>
      </c>
      <c r="Z590" s="3">
        <v>16.0</v>
      </c>
      <c r="AA590" s="3">
        <v>339.0</v>
      </c>
      <c r="AB590" s="3">
        <v>863.0</v>
      </c>
      <c r="AC590" s="3">
        <v>43.0</v>
      </c>
    </row>
    <row r="591">
      <c r="A591" s="3">
        <v>589.0</v>
      </c>
      <c r="B591" s="3" t="s">
        <v>2373</v>
      </c>
      <c r="C591" s="3">
        <v>567.0</v>
      </c>
      <c r="D591" s="3" t="s">
        <v>1438</v>
      </c>
      <c r="E591" s="3">
        <v>11.906</v>
      </c>
      <c r="F591" s="3">
        <v>-85.918</v>
      </c>
      <c r="G591" s="3">
        <v>54.0</v>
      </c>
      <c r="H591" s="3">
        <v>6.0</v>
      </c>
      <c r="I591" s="3" t="s">
        <v>521</v>
      </c>
      <c r="J591" s="3">
        <v>118.0</v>
      </c>
      <c r="K591" s="3">
        <v>120.0</v>
      </c>
      <c r="L591" s="3" t="s">
        <v>525</v>
      </c>
      <c r="M591" s="3">
        <v>2.0</v>
      </c>
      <c r="N591" s="3" t="s">
        <v>104</v>
      </c>
      <c r="O591" s="3" t="s">
        <v>2374</v>
      </c>
      <c r="P591" s="3" t="s">
        <v>2379</v>
      </c>
      <c r="Q591" s="3">
        <v>3.0</v>
      </c>
      <c r="R591" s="3">
        <v>527.0</v>
      </c>
      <c r="S591" s="3">
        <v>96.749052</v>
      </c>
      <c r="T591" s="3">
        <v>5.65478</v>
      </c>
      <c r="U591" s="3" t="s">
        <v>2376</v>
      </c>
      <c r="V591" s="3">
        <v>0.0</v>
      </c>
      <c r="W591" s="3">
        <v>1535.0</v>
      </c>
      <c r="X591" s="3">
        <v>9899.0</v>
      </c>
      <c r="Y591" s="3">
        <v>2.0</v>
      </c>
      <c r="Z591" s="3">
        <v>16.0</v>
      </c>
      <c r="AA591" s="3">
        <v>339.0</v>
      </c>
      <c r="AB591" s="3">
        <v>863.0</v>
      </c>
      <c r="AC591" s="3">
        <v>43.0</v>
      </c>
    </row>
    <row r="592">
      <c r="A592" s="3">
        <v>590.0</v>
      </c>
      <c r="B592" s="3" t="s">
        <v>2373</v>
      </c>
      <c r="C592" s="3">
        <v>330.0</v>
      </c>
      <c r="D592" s="3" t="s">
        <v>2100</v>
      </c>
      <c r="E592" s="3">
        <v>11.477574</v>
      </c>
      <c r="F592" s="3">
        <v>-85.632578</v>
      </c>
      <c r="G592" s="3">
        <v>57.0</v>
      </c>
      <c r="H592" s="3">
        <v>6.0</v>
      </c>
      <c r="I592" s="3" t="s">
        <v>521</v>
      </c>
      <c r="J592" s="3">
        <v>184.0</v>
      </c>
      <c r="K592" s="3">
        <v>186.0</v>
      </c>
      <c r="L592" s="3" t="s">
        <v>627</v>
      </c>
      <c r="M592" s="3">
        <v>1.0</v>
      </c>
      <c r="N592" s="3" t="s">
        <v>121</v>
      </c>
      <c r="O592" s="3" t="s">
        <v>2374</v>
      </c>
      <c r="P592" s="3" t="s">
        <v>2378</v>
      </c>
      <c r="Q592" s="3">
        <v>3.0</v>
      </c>
      <c r="R592" s="3">
        <v>458.0</v>
      </c>
      <c r="S592" s="3">
        <v>14.009489</v>
      </c>
      <c r="T592" s="3">
        <v>0.879717</v>
      </c>
      <c r="U592" s="3" t="s">
        <v>2376</v>
      </c>
      <c r="V592" s="3">
        <v>0.002677</v>
      </c>
      <c r="W592" s="3">
        <v>1667.0</v>
      </c>
      <c r="X592" s="3">
        <v>9142.0</v>
      </c>
      <c r="Y592" s="3">
        <v>4.0</v>
      </c>
      <c r="Z592" s="3">
        <v>23.0</v>
      </c>
      <c r="AA592" s="3">
        <v>353.0</v>
      </c>
      <c r="AB592" s="3">
        <v>848.0</v>
      </c>
      <c r="AC592" s="3">
        <v>70.0</v>
      </c>
    </row>
    <row r="593">
      <c r="A593" s="3">
        <v>591.0</v>
      </c>
      <c r="B593" s="3" t="s">
        <v>2373</v>
      </c>
      <c r="C593" s="3">
        <v>331.0</v>
      </c>
      <c r="D593" s="3" t="s">
        <v>2104</v>
      </c>
      <c r="E593" s="3">
        <v>11.477574</v>
      </c>
      <c r="F593" s="3">
        <v>-85.632578</v>
      </c>
      <c r="G593" s="3">
        <v>57.0</v>
      </c>
      <c r="H593" s="3">
        <v>6.0</v>
      </c>
      <c r="I593" s="3" t="s">
        <v>521</v>
      </c>
      <c r="J593" s="3">
        <v>184.0</v>
      </c>
      <c r="K593" s="3">
        <v>186.0</v>
      </c>
      <c r="L593" s="3" t="s">
        <v>627</v>
      </c>
      <c r="M593" s="3">
        <v>1.0</v>
      </c>
      <c r="N593" s="3" t="s">
        <v>121</v>
      </c>
      <c r="O593" s="3" t="s">
        <v>2374</v>
      </c>
      <c r="P593" s="3" t="s">
        <v>2378</v>
      </c>
      <c r="Q593" s="3">
        <v>3.0</v>
      </c>
      <c r="R593" s="3">
        <v>458.0</v>
      </c>
      <c r="S593" s="3">
        <v>14.009489</v>
      </c>
      <c r="T593" s="3">
        <v>0.879717</v>
      </c>
      <c r="U593" s="3" t="s">
        <v>2376</v>
      </c>
      <c r="V593" s="3">
        <v>0.002677</v>
      </c>
      <c r="W593" s="3">
        <v>1667.0</v>
      </c>
      <c r="X593" s="3">
        <v>9142.0</v>
      </c>
      <c r="Y593" s="3">
        <v>4.0</v>
      </c>
      <c r="Z593" s="3">
        <v>23.0</v>
      </c>
      <c r="AA593" s="3">
        <v>353.0</v>
      </c>
      <c r="AB593" s="3">
        <v>848.0</v>
      </c>
      <c r="AC593" s="3">
        <v>70.0</v>
      </c>
    </row>
    <row r="594">
      <c r="A594" s="3">
        <v>592.0</v>
      </c>
      <c r="B594" s="3" t="s">
        <v>2373</v>
      </c>
      <c r="C594" s="3">
        <v>332.0</v>
      </c>
      <c r="D594" s="3" t="s">
        <v>2105</v>
      </c>
      <c r="E594" s="3">
        <v>11.477574</v>
      </c>
      <c r="F594" s="3">
        <v>-85.632578</v>
      </c>
      <c r="G594" s="3">
        <v>57.0</v>
      </c>
      <c r="H594" s="3">
        <v>6.0</v>
      </c>
      <c r="I594" s="3" t="s">
        <v>521</v>
      </c>
      <c r="J594" s="3">
        <v>184.0</v>
      </c>
      <c r="K594" s="3">
        <v>186.0</v>
      </c>
      <c r="L594" s="3" t="s">
        <v>627</v>
      </c>
      <c r="M594" s="3">
        <v>1.0</v>
      </c>
      <c r="N594" s="3" t="s">
        <v>121</v>
      </c>
      <c r="O594" s="3" t="s">
        <v>2374</v>
      </c>
      <c r="P594" s="3" t="s">
        <v>2378</v>
      </c>
      <c r="Q594" s="3">
        <v>3.0</v>
      </c>
      <c r="R594" s="3">
        <v>458.0</v>
      </c>
      <c r="S594" s="3">
        <v>14.009489</v>
      </c>
      <c r="T594" s="3">
        <v>0.879717</v>
      </c>
      <c r="U594" s="3" t="s">
        <v>2376</v>
      </c>
      <c r="V594" s="3">
        <v>0.002677</v>
      </c>
      <c r="W594" s="3">
        <v>1667.0</v>
      </c>
      <c r="X594" s="3">
        <v>9142.0</v>
      </c>
      <c r="Y594" s="3">
        <v>4.0</v>
      </c>
      <c r="Z594" s="3">
        <v>23.0</v>
      </c>
      <c r="AA594" s="3">
        <v>353.0</v>
      </c>
      <c r="AB594" s="3">
        <v>848.0</v>
      </c>
      <c r="AC594" s="3">
        <v>70.0</v>
      </c>
    </row>
    <row r="595">
      <c r="A595" s="3">
        <v>593.0</v>
      </c>
      <c r="B595" s="3" t="s">
        <v>2373</v>
      </c>
      <c r="C595" s="3">
        <v>294.0</v>
      </c>
      <c r="D595" s="3" t="s">
        <v>1439</v>
      </c>
      <c r="E595" s="3">
        <v>12.045139</v>
      </c>
      <c r="F595" s="3">
        <v>-83.927561</v>
      </c>
      <c r="G595" s="3">
        <v>58.0</v>
      </c>
      <c r="H595" s="3">
        <v>6.0</v>
      </c>
      <c r="I595" s="3" t="s">
        <v>521</v>
      </c>
      <c r="J595" s="3">
        <v>341.0</v>
      </c>
      <c r="K595" s="3">
        <v>345.0</v>
      </c>
      <c r="L595" s="3" t="s">
        <v>120</v>
      </c>
      <c r="M595" s="3">
        <v>1.0</v>
      </c>
      <c r="N595" s="3" t="s">
        <v>121</v>
      </c>
      <c r="O595" s="3" t="s">
        <v>2374</v>
      </c>
      <c r="P595" s="3" t="s">
        <v>2378</v>
      </c>
      <c r="Q595" s="3">
        <v>2.0</v>
      </c>
      <c r="R595" s="3">
        <v>470.0</v>
      </c>
      <c r="S595" s="3">
        <v>51.187393</v>
      </c>
      <c r="T595" s="3">
        <v>4.81635</v>
      </c>
      <c r="U595" s="3" t="s">
        <v>2376</v>
      </c>
      <c r="V595" s="3">
        <v>0.0</v>
      </c>
      <c r="W595" s="3">
        <v>3416.0</v>
      </c>
      <c r="X595" s="3">
        <v>5332.0</v>
      </c>
      <c r="Y595" s="3">
        <v>70.0</v>
      </c>
      <c r="Z595" s="3">
        <v>259.0</v>
      </c>
      <c r="AA595" s="3">
        <v>568.0</v>
      </c>
      <c r="AB595" s="3">
        <v>1440.0</v>
      </c>
      <c r="AC595" s="3">
        <v>8.0</v>
      </c>
    </row>
    <row r="596">
      <c r="A596" s="3">
        <v>594.0</v>
      </c>
      <c r="B596" s="3" t="s">
        <v>2373</v>
      </c>
      <c r="C596" s="3">
        <v>295.0</v>
      </c>
      <c r="D596" s="3" t="s">
        <v>1443</v>
      </c>
      <c r="E596" s="3">
        <v>12.045139</v>
      </c>
      <c r="F596" s="3">
        <v>-83.927561</v>
      </c>
      <c r="G596" s="3">
        <v>58.0</v>
      </c>
      <c r="H596" s="3">
        <v>6.0</v>
      </c>
      <c r="I596" s="3" t="s">
        <v>521</v>
      </c>
      <c r="J596" s="3">
        <v>341.0</v>
      </c>
      <c r="K596" s="3">
        <v>345.0</v>
      </c>
      <c r="L596" s="3" t="s">
        <v>120</v>
      </c>
      <c r="M596" s="3">
        <v>1.0</v>
      </c>
      <c r="N596" s="3" t="s">
        <v>121</v>
      </c>
      <c r="O596" s="3" t="s">
        <v>2374</v>
      </c>
      <c r="P596" s="3" t="s">
        <v>2378</v>
      </c>
      <c r="Q596" s="3">
        <v>2.0</v>
      </c>
      <c r="R596" s="3">
        <v>470.0</v>
      </c>
      <c r="S596" s="3">
        <v>51.187393</v>
      </c>
      <c r="T596" s="3">
        <v>4.81635</v>
      </c>
      <c r="U596" s="3" t="s">
        <v>2376</v>
      </c>
      <c r="V596" s="3">
        <v>0.0</v>
      </c>
      <c r="W596" s="3">
        <v>3416.0</v>
      </c>
      <c r="X596" s="3">
        <v>5332.0</v>
      </c>
      <c r="Y596" s="3">
        <v>70.0</v>
      </c>
      <c r="Z596" s="3">
        <v>259.0</v>
      </c>
      <c r="AA596" s="3">
        <v>568.0</v>
      </c>
      <c r="AB596" s="3">
        <v>1440.0</v>
      </c>
      <c r="AC596" s="3">
        <v>8.0</v>
      </c>
    </row>
    <row r="597">
      <c r="A597" s="3">
        <v>595.0</v>
      </c>
      <c r="B597" s="3" t="s">
        <v>2373</v>
      </c>
      <c r="C597" s="3">
        <v>296.0</v>
      </c>
      <c r="D597" s="3" t="s">
        <v>1445</v>
      </c>
      <c r="E597" s="3">
        <v>12.045139</v>
      </c>
      <c r="F597" s="3">
        <v>-83.927561</v>
      </c>
      <c r="G597" s="3">
        <v>58.0</v>
      </c>
      <c r="H597" s="3">
        <v>6.0</v>
      </c>
      <c r="I597" s="3" t="s">
        <v>521</v>
      </c>
      <c r="J597" s="3">
        <v>341.0</v>
      </c>
      <c r="K597" s="3">
        <v>345.0</v>
      </c>
      <c r="L597" s="3" t="s">
        <v>120</v>
      </c>
      <c r="M597" s="3">
        <v>1.0</v>
      </c>
      <c r="N597" s="3" t="s">
        <v>121</v>
      </c>
      <c r="O597" s="3" t="s">
        <v>2374</v>
      </c>
      <c r="P597" s="3" t="s">
        <v>2378</v>
      </c>
      <c r="Q597" s="3">
        <v>2.0</v>
      </c>
      <c r="R597" s="3">
        <v>470.0</v>
      </c>
      <c r="S597" s="3">
        <v>51.187393</v>
      </c>
      <c r="T597" s="3">
        <v>4.81635</v>
      </c>
      <c r="U597" s="3" t="s">
        <v>2376</v>
      </c>
      <c r="V597" s="3">
        <v>0.0</v>
      </c>
      <c r="W597" s="3">
        <v>3416.0</v>
      </c>
      <c r="X597" s="3">
        <v>5332.0</v>
      </c>
      <c r="Y597" s="3">
        <v>70.0</v>
      </c>
      <c r="Z597" s="3">
        <v>259.0</v>
      </c>
      <c r="AA597" s="3">
        <v>568.0</v>
      </c>
      <c r="AB597" s="3">
        <v>1440.0</v>
      </c>
      <c r="AC597" s="3">
        <v>8.0</v>
      </c>
    </row>
    <row r="598">
      <c r="A598" s="3">
        <v>596.0</v>
      </c>
      <c r="B598" s="3" t="s">
        <v>2373</v>
      </c>
      <c r="C598" s="3">
        <v>297.0</v>
      </c>
      <c r="D598" s="3" t="s">
        <v>1190</v>
      </c>
      <c r="E598" s="3">
        <v>12.045139</v>
      </c>
      <c r="F598" s="3">
        <v>-83.927561</v>
      </c>
      <c r="G598" s="3">
        <v>58.0</v>
      </c>
      <c r="H598" s="3">
        <v>6.0</v>
      </c>
      <c r="I598" s="3" t="s">
        <v>521</v>
      </c>
      <c r="J598" s="3">
        <v>341.0</v>
      </c>
      <c r="K598" s="3">
        <v>345.0</v>
      </c>
      <c r="L598" s="3" t="s">
        <v>120</v>
      </c>
      <c r="M598" s="3">
        <v>1.0</v>
      </c>
      <c r="N598" s="3" t="s">
        <v>121</v>
      </c>
      <c r="O598" s="3" t="s">
        <v>2374</v>
      </c>
      <c r="P598" s="3" t="s">
        <v>2378</v>
      </c>
      <c r="Q598" s="3">
        <v>2.0</v>
      </c>
      <c r="R598" s="3">
        <v>470.0</v>
      </c>
      <c r="S598" s="3">
        <v>51.187393</v>
      </c>
      <c r="T598" s="3">
        <v>4.81635</v>
      </c>
      <c r="U598" s="3" t="s">
        <v>2376</v>
      </c>
      <c r="V598" s="3">
        <v>0.0</v>
      </c>
      <c r="W598" s="3">
        <v>3416.0</v>
      </c>
      <c r="X598" s="3">
        <v>5332.0</v>
      </c>
      <c r="Y598" s="3">
        <v>70.0</v>
      </c>
      <c r="Z598" s="3">
        <v>259.0</v>
      </c>
      <c r="AA598" s="3">
        <v>568.0</v>
      </c>
      <c r="AB598" s="3">
        <v>1440.0</v>
      </c>
      <c r="AC598" s="3">
        <v>8.0</v>
      </c>
    </row>
    <row r="599">
      <c r="A599" s="3">
        <v>597.0</v>
      </c>
      <c r="B599" s="3" t="s">
        <v>2373</v>
      </c>
      <c r="C599" s="3">
        <v>384.0</v>
      </c>
      <c r="D599" s="3" t="s">
        <v>956</v>
      </c>
      <c r="E599" s="3">
        <v>11.311111</v>
      </c>
      <c r="F599" s="3">
        <v>-85.134722</v>
      </c>
      <c r="G599" s="3">
        <v>58.0</v>
      </c>
      <c r="H599" s="3">
        <v>6.0</v>
      </c>
      <c r="I599" s="3" t="s">
        <v>521</v>
      </c>
      <c r="J599" s="3">
        <v>341.0</v>
      </c>
      <c r="K599" s="3">
        <v>345.0</v>
      </c>
      <c r="L599" s="3" t="s">
        <v>120</v>
      </c>
      <c r="M599" s="3">
        <v>1.0</v>
      </c>
      <c r="N599" s="3" t="s">
        <v>121</v>
      </c>
      <c r="O599" s="3" t="s">
        <v>2374</v>
      </c>
      <c r="P599" s="3" t="s">
        <v>2378</v>
      </c>
      <c r="Q599" s="3">
        <v>2.0</v>
      </c>
      <c r="R599" s="3">
        <v>470.0</v>
      </c>
      <c r="S599" s="3">
        <v>51.187393</v>
      </c>
      <c r="T599" s="3">
        <v>4.81635</v>
      </c>
      <c r="U599" s="3" t="s">
        <v>2376</v>
      </c>
      <c r="V599" s="3">
        <v>0.212425</v>
      </c>
      <c r="W599" s="3">
        <v>1975.0</v>
      </c>
      <c r="X599" s="3">
        <v>7984.0</v>
      </c>
      <c r="Y599" s="3">
        <v>16.0</v>
      </c>
      <c r="Z599" s="3">
        <v>67.0</v>
      </c>
      <c r="AA599" s="3">
        <v>366.0</v>
      </c>
      <c r="AB599" s="3">
        <v>950.0</v>
      </c>
      <c r="AC599" s="3">
        <v>31.0</v>
      </c>
    </row>
    <row r="600">
      <c r="A600" s="3">
        <v>598.0</v>
      </c>
      <c r="B600" s="3" t="s">
        <v>2373</v>
      </c>
      <c r="C600" s="3">
        <v>385.0</v>
      </c>
      <c r="D600" s="3" t="s">
        <v>961</v>
      </c>
      <c r="E600" s="3">
        <v>11.311111</v>
      </c>
      <c r="F600" s="3">
        <v>-85.134722</v>
      </c>
      <c r="G600" s="3">
        <v>58.0</v>
      </c>
      <c r="H600" s="3">
        <v>6.0</v>
      </c>
      <c r="I600" s="3" t="s">
        <v>521</v>
      </c>
      <c r="J600" s="3">
        <v>341.0</v>
      </c>
      <c r="K600" s="3">
        <v>345.0</v>
      </c>
      <c r="L600" s="3" t="s">
        <v>120</v>
      </c>
      <c r="M600" s="3">
        <v>1.0</v>
      </c>
      <c r="N600" s="3" t="s">
        <v>121</v>
      </c>
      <c r="O600" s="3" t="s">
        <v>2374</v>
      </c>
      <c r="P600" s="3" t="s">
        <v>2378</v>
      </c>
      <c r="Q600" s="3">
        <v>2.0</v>
      </c>
      <c r="R600" s="3">
        <v>470.0</v>
      </c>
      <c r="S600" s="3">
        <v>51.187393</v>
      </c>
      <c r="T600" s="3">
        <v>4.81635</v>
      </c>
      <c r="U600" s="3" t="s">
        <v>2376</v>
      </c>
      <c r="V600" s="3">
        <v>0.212425</v>
      </c>
      <c r="W600" s="3">
        <v>1975.0</v>
      </c>
      <c r="X600" s="3">
        <v>7984.0</v>
      </c>
      <c r="Y600" s="3">
        <v>16.0</v>
      </c>
      <c r="Z600" s="3">
        <v>67.0</v>
      </c>
      <c r="AA600" s="3">
        <v>366.0</v>
      </c>
      <c r="AB600" s="3">
        <v>950.0</v>
      </c>
      <c r="AC600" s="3">
        <v>31.0</v>
      </c>
    </row>
    <row r="601">
      <c r="A601" s="3">
        <v>599.0</v>
      </c>
      <c r="B601" s="3" t="s">
        <v>2373</v>
      </c>
      <c r="C601" s="3">
        <v>386.0</v>
      </c>
      <c r="D601" s="3" t="s">
        <v>963</v>
      </c>
      <c r="E601" s="3">
        <v>11.311111</v>
      </c>
      <c r="F601" s="3">
        <v>-85.134722</v>
      </c>
      <c r="G601" s="3">
        <v>58.0</v>
      </c>
      <c r="H601" s="3">
        <v>6.0</v>
      </c>
      <c r="I601" s="3" t="s">
        <v>521</v>
      </c>
      <c r="J601" s="3">
        <v>341.0</v>
      </c>
      <c r="K601" s="3">
        <v>345.0</v>
      </c>
      <c r="L601" s="3" t="s">
        <v>120</v>
      </c>
      <c r="M601" s="3">
        <v>1.0</v>
      </c>
      <c r="N601" s="3" t="s">
        <v>121</v>
      </c>
      <c r="O601" s="3" t="s">
        <v>2374</v>
      </c>
      <c r="P601" s="3" t="s">
        <v>2378</v>
      </c>
      <c r="Q601" s="3">
        <v>2.0</v>
      </c>
      <c r="R601" s="3">
        <v>470.0</v>
      </c>
      <c r="S601" s="3">
        <v>51.187393</v>
      </c>
      <c r="T601" s="3">
        <v>4.81635</v>
      </c>
      <c r="U601" s="3" t="s">
        <v>2376</v>
      </c>
      <c r="V601" s="3">
        <v>0.212425</v>
      </c>
      <c r="W601" s="3">
        <v>1975.0</v>
      </c>
      <c r="X601" s="3">
        <v>7984.0</v>
      </c>
      <c r="Y601" s="3">
        <v>16.0</v>
      </c>
      <c r="Z601" s="3">
        <v>67.0</v>
      </c>
      <c r="AA601" s="3">
        <v>366.0</v>
      </c>
      <c r="AB601" s="3">
        <v>950.0</v>
      </c>
      <c r="AC601" s="3">
        <v>31.0</v>
      </c>
    </row>
    <row r="602">
      <c r="A602" s="3">
        <v>600.0</v>
      </c>
      <c r="B602" s="3" t="s">
        <v>2373</v>
      </c>
      <c r="C602" s="3">
        <v>387.0</v>
      </c>
      <c r="D602" s="3" t="s">
        <v>966</v>
      </c>
      <c r="E602" s="3">
        <v>11.311111</v>
      </c>
      <c r="F602" s="3">
        <v>-85.134722</v>
      </c>
      <c r="G602" s="3">
        <v>58.0</v>
      </c>
      <c r="H602" s="3">
        <v>6.0</v>
      </c>
      <c r="I602" s="3" t="s">
        <v>521</v>
      </c>
      <c r="J602" s="3">
        <v>341.0</v>
      </c>
      <c r="K602" s="3">
        <v>345.0</v>
      </c>
      <c r="L602" s="3" t="s">
        <v>120</v>
      </c>
      <c r="M602" s="3">
        <v>1.0</v>
      </c>
      <c r="N602" s="3" t="s">
        <v>121</v>
      </c>
      <c r="O602" s="3" t="s">
        <v>2374</v>
      </c>
      <c r="P602" s="3" t="s">
        <v>2378</v>
      </c>
      <c r="Q602" s="3">
        <v>2.0</v>
      </c>
      <c r="R602" s="3">
        <v>470.0</v>
      </c>
      <c r="S602" s="3">
        <v>51.187393</v>
      </c>
      <c r="T602" s="3">
        <v>4.81635</v>
      </c>
      <c r="U602" s="3" t="s">
        <v>2376</v>
      </c>
      <c r="V602" s="3">
        <v>0.212425</v>
      </c>
      <c r="W602" s="3">
        <v>1975.0</v>
      </c>
      <c r="X602" s="3">
        <v>7984.0</v>
      </c>
      <c r="Y602" s="3">
        <v>16.0</v>
      </c>
      <c r="Z602" s="3">
        <v>67.0</v>
      </c>
      <c r="AA602" s="3">
        <v>366.0</v>
      </c>
      <c r="AB602" s="3">
        <v>950.0</v>
      </c>
      <c r="AC602" s="3">
        <v>31.0</v>
      </c>
    </row>
    <row r="603">
      <c r="A603" s="3">
        <v>601.0</v>
      </c>
      <c r="B603" s="3" t="s">
        <v>2373</v>
      </c>
      <c r="C603" s="3">
        <v>366.0</v>
      </c>
      <c r="D603" s="3" t="s">
        <v>1591</v>
      </c>
      <c r="E603" s="3">
        <v>12.087693</v>
      </c>
      <c r="F603" s="3">
        <v>-83.700095</v>
      </c>
      <c r="G603" s="3">
        <v>59.0</v>
      </c>
      <c r="H603" s="3">
        <v>6.0</v>
      </c>
      <c r="I603" s="3" t="s">
        <v>521</v>
      </c>
      <c r="J603" s="3">
        <v>431.0</v>
      </c>
      <c r="K603" s="3">
        <v>436.0</v>
      </c>
      <c r="L603" s="3" t="s">
        <v>658</v>
      </c>
      <c r="M603" s="3">
        <v>14.0</v>
      </c>
      <c r="N603" s="3" t="s">
        <v>659</v>
      </c>
      <c r="O603" s="3" t="s">
        <v>2374</v>
      </c>
      <c r="P603" s="3" t="s">
        <v>2377</v>
      </c>
      <c r="Q603" s="3">
        <v>1.0</v>
      </c>
      <c r="R603" s="3">
        <v>613.0</v>
      </c>
      <c r="S603" s="3">
        <v>95.343925</v>
      </c>
      <c r="T603" s="3">
        <v>2.279907</v>
      </c>
      <c r="U603" s="3" t="s">
        <v>2376</v>
      </c>
      <c r="V603" s="3">
        <v>0.0</v>
      </c>
      <c r="W603" s="3">
        <v>2915.0</v>
      </c>
      <c r="X603" s="3">
        <v>6555.0</v>
      </c>
      <c r="Y603" s="3">
        <v>37.0</v>
      </c>
      <c r="Z603" s="3">
        <v>151.0</v>
      </c>
      <c r="AA603" s="3">
        <v>541.0</v>
      </c>
      <c r="AB603" s="3">
        <v>1355.0</v>
      </c>
      <c r="AC603" s="3">
        <v>1.0</v>
      </c>
    </row>
    <row r="604">
      <c r="A604" s="3">
        <v>602.0</v>
      </c>
      <c r="B604" s="3" t="s">
        <v>2373</v>
      </c>
      <c r="C604" s="3">
        <v>367.0</v>
      </c>
      <c r="D604" s="3" t="s">
        <v>1596</v>
      </c>
      <c r="E604" s="3">
        <v>12.087693</v>
      </c>
      <c r="F604" s="3">
        <v>-83.700095</v>
      </c>
      <c r="G604" s="3">
        <v>59.0</v>
      </c>
      <c r="H604" s="3">
        <v>6.0</v>
      </c>
      <c r="I604" s="3" t="s">
        <v>521</v>
      </c>
      <c r="J604" s="3">
        <v>431.0</v>
      </c>
      <c r="K604" s="3">
        <v>436.0</v>
      </c>
      <c r="L604" s="3" t="s">
        <v>658</v>
      </c>
      <c r="M604" s="3">
        <v>14.0</v>
      </c>
      <c r="N604" s="3" t="s">
        <v>659</v>
      </c>
      <c r="O604" s="3" t="s">
        <v>2374</v>
      </c>
      <c r="P604" s="3" t="s">
        <v>2377</v>
      </c>
      <c r="Q604" s="3">
        <v>1.0</v>
      </c>
      <c r="R604" s="3">
        <v>613.0</v>
      </c>
      <c r="S604" s="3">
        <v>95.343925</v>
      </c>
      <c r="T604" s="3">
        <v>2.279907</v>
      </c>
      <c r="U604" s="3" t="s">
        <v>2376</v>
      </c>
      <c r="V604" s="3">
        <v>0.0</v>
      </c>
      <c r="W604" s="3">
        <v>2915.0</v>
      </c>
      <c r="X604" s="3">
        <v>6555.0</v>
      </c>
      <c r="Y604" s="3">
        <v>37.0</v>
      </c>
      <c r="Z604" s="3">
        <v>151.0</v>
      </c>
      <c r="AA604" s="3">
        <v>541.0</v>
      </c>
      <c r="AB604" s="3">
        <v>1355.0</v>
      </c>
      <c r="AC604" s="3">
        <v>1.0</v>
      </c>
    </row>
    <row r="605">
      <c r="A605" s="3">
        <v>603.0</v>
      </c>
      <c r="B605" s="3" t="s">
        <v>2373</v>
      </c>
      <c r="C605" s="3">
        <v>368.0</v>
      </c>
      <c r="D605" s="3" t="s">
        <v>1599</v>
      </c>
      <c r="E605" s="3">
        <v>12.087693</v>
      </c>
      <c r="F605" s="3">
        <v>-83.700095</v>
      </c>
      <c r="G605" s="3">
        <v>59.0</v>
      </c>
      <c r="H605" s="3">
        <v>6.0</v>
      </c>
      <c r="I605" s="3" t="s">
        <v>521</v>
      </c>
      <c r="J605" s="3">
        <v>431.0</v>
      </c>
      <c r="K605" s="3">
        <v>436.0</v>
      </c>
      <c r="L605" s="3" t="s">
        <v>658</v>
      </c>
      <c r="M605" s="3">
        <v>14.0</v>
      </c>
      <c r="N605" s="3" t="s">
        <v>659</v>
      </c>
      <c r="O605" s="3" t="s">
        <v>2374</v>
      </c>
      <c r="P605" s="3" t="s">
        <v>2377</v>
      </c>
      <c r="Q605" s="3">
        <v>1.0</v>
      </c>
      <c r="R605" s="3">
        <v>613.0</v>
      </c>
      <c r="S605" s="3">
        <v>95.343925</v>
      </c>
      <c r="T605" s="3">
        <v>2.279907</v>
      </c>
      <c r="U605" s="3" t="s">
        <v>2376</v>
      </c>
      <c r="V605" s="3">
        <v>0.0</v>
      </c>
      <c r="W605" s="3">
        <v>2915.0</v>
      </c>
      <c r="X605" s="3">
        <v>6555.0</v>
      </c>
      <c r="Y605" s="3">
        <v>37.0</v>
      </c>
      <c r="Z605" s="3">
        <v>151.0</v>
      </c>
      <c r="AA605" s="3">
        <v>541.0</v>
      </c>
      <c r="AB605" s="3">
        <v>1355.0</v>
      </c>
      <c r="AC605" s="3">
        <v>1.0</v>
      </c>
    </row>
    <row r="606">
      <c r="A606" s="3">
        <v>604.0</v>
      </c>
      <c r="B606" s="3" t="s">
        <v>2373</v>
      </c>
      <c r="C606" s="3">
        <v>369.0</v>
      </c>
      <c r="D606" s="3" t="s">
        <v>1601</v>
      </c>
      <c r="E606" s="3">
        <v>12.087693</v>
      </c>
      <c r="F606" s="3">
        <v>-83.700095</v>
      </c>
      <c r="G606" s="3">
        <v>59.0</v>
      </c>
      <c r="H606" s="3">
        <v>6.0</v>
      </c>
      <c r="I606" s="3" t="s">
        <v>521</v>
      </c>
      <c r="J606" s="3">
        <v>431.0</v>
      </c>
      <c r="K606" s="3">
        <v>436.0</v>
      </c>
      <c r="L606" s="3" t="s">
        <v>658</v>
      </c>
      <c r="M606" s="3">
        <v>14.0</v>
      </c>
      <c r="N606" s="3" t="s">
        <v>659</v>
      </c>
      <c r="O606" s="3" t="s">
        <v>2374</v>
      </c>
      <c r="P606" s="3" t="s">
        <v>2377</v>
      </c>
      <c r="Q606" s="3">
        <v>1.0</v>
      </c>
      <c r="R606" s="3">
        <v>613.0</v>
      </c>
      <c r="S606" s="3">
        <v>95.343925</v>
      </c>
      <c r="T606" s="3">
        <v>2.279907</v>
      </c>
      <c r="U606" s="3" t="s">
        <v>2376</v>
      </c>
      <c r="V606" s="3">
        <v>0.0</v>
      </c>
      <c r="W606" s="3">
        <v>2915.0</v>
      </c>
      <c r="X606" s="3">
        <v>6555.0</v>
      </c>
      <c r="Y606" s="3">
        <v>37.0</v>
      </c>
      <c r="Z606" s="3">
        <v>151.0</v>
      </c>
      <c r="AA606" s="3">
        <v>541.0</v>
      </c>
      <c r="AB606" s="3">
        <v>1355.0</v>
      </c>
      <c r="AC606" s="3">
        <v>1.0</v>
      </c>
    </row>
    <row r="607">
      <c r="A607" s="3">
        <v>605.0</v>
      </c>
      <c r="B607" s="3" t="s">
        <v>2373</v>
      </c>
      <c r="C607" s="3">
        <v>370.0</v>
      </c>
      <c r="D607" s="3" t="s">
        <v>1603</v>
      </c>
      <c r="E607" s="3">
        <v>12.087693</v>
      </c>
      <c r="F607" s="3">
        <v>-83.700095</v>
      </c>
      <c r="G607" s="3">
        <v>59.0</v>
      </c>
      <c r="H607" s="3">
        <v>6.0</v>
      </c>
      <c r="I607" s="3" t="s">
        <v>521</v>
      </c>
      <c r="J607" s="3">
        <v>431.0</v>
      </c>
      <c r="K607" s="3">
        <v>436.0</v>
      </c>
      <c r="L607" s="3" t="s">
        <v>658</v>
      </c>
      <c r="M607" s="3">
        <v>14.0</v>
      </c>
      <c r="N607" s="3" t="s">
        <v>659</v>
      </c>
      <c r="O607" s="3" t="s">
        <v>2374</v>
      </c>
      <c r="P607" s="3" t="s">
        <v>2377</v>
      </c>
      <c r="Q607" s="3">
        <v>1.0</v>
      </c>
      <c r="R607" s="3">
        <v>613.0</v>
      </c>
      <c r="S607" s="3">
        <v>95.343925</v>
      </c>
      <c r="T607" s="3">
        <v>2.279907</v>
      </c>
      <c r="U607" s="3" t="s">
        <v>2376</v>
      </c>
      <c r="V607" s="3">
        <v>0.0</v>
      </c>
      <c r="W607" s="3">
        <v>2915.0</v>
      </c>
      <c r="X607" s="3">
        <v>6555.0</v>
      </c>
      <c r="Y607" s="3">
        <v>37.0</v>
      </c>
      <c r="Z607" s="3">
        <v>151.0</v>
      </c>
      <c r="AA607" s="3">
        <v>541.0</v>
      </c>
      <c r="AB607" s="3">
        <v>1355.0</v>
      </c>
      <c r="AC607" s="3">
        <v>1.0</v>
      </c>
    </row>
    <row r="608">
      <c r="A608" s="3">
        <v>606.0</v>
      </c>
      <c r="B608" s="3" t="s">
        <v>2373</v>
      </c>
      <c r="C608" s="3">
        <v>371.0</v>
      </c>
      <c r="D608" s="78" t="s">
        <v>1605</v>
      </c>
      <c r="E608" s="3">
        <v>12.087693</v>
      </c>
      <c r="F608" s="3">
        <v>-83.700095</v>
      </c>
      <c r="G608" s="3">
        <v>59.0</v>
      </c>
      <c r="H608" s="3">
        <v>6.0</v>
      </c>
      <c r="I608" s="3" t="s">
        <v>521</v>
      </c>
      <c r="J608" s="3">
        <v>431.0</v>
      </c>
      <c r="K608" s="3">
        <v>436.0</v>
      </c>
      <c r="L608" s="3" t="s">
        <v>658</v>
      </c>
      <c r="M608" s="3">
        <v>14.0</v>
      </c>
      <c r="N608" s="3" t="s">
        <v>659</v>
      </c>
      <c r="O608" s="3" t="s">
        <v>2374</v>
      </c>
      <c r="P608" s="3" t="s">
        <v>2377</v>
      </c>
      <c r="Q608" s="3">
        <v>1.0</v>
      </c>
      <c r="R608" s="3">
        <v>613.0</v>
      </c>
      <c r="S608" s="3">
        <v>95.343925</v>
      </c>
      <c r="T608" s="3">
        <v>2.279907</v>
      </c>
      <c r="U608" s="3" t="s">
        <v>2376</v>
      </c>
      <c r="V608" s="3">
        <v>0.0</v>
      </c>
      <c r="W608" s="3">
        <v>2915.0</v>
      </c>
      <c r="X608" s="3">
        <v>6555.0</v>
      </c>
      <c r="Y608" s="3">
        <v>37.0</v>
      </c>
      <c r="Z608" s="3">
        <v>151.0</v>
      </c>
      <c r="AA608" s="3">
        <v>541.0</v>
      </c>
      <c r="AB608" s="3">
        <v>1355.0</v>
      </c>
      <c r="AC608" s="3">
        <v>1.0</v>
      </c>
    </row>
    <row r="609">
      <c r="A609" s="3">
        <v>607.0</v>
      </c>
      <c r="B609" s="3" t="s">
        <v>2373</v>
      </c>
      <c r="C609" s="3">
        <v>372.0</v>
      </c>
      <c r="D609" s="3" t="s">
        <v>1606</v>
      </c>
      <c r="E609" s="3">
        <v>12.087693</v>
      </c>
      <c r="F609" s="3">
        <v>-83.700095</v>
      </c>
      <c r="G609" s="3">
        <v>59.0</v>
      </c>
      <c r="H609" s="3">
        <v>6.0</v>
      </c>
      <c r="I609" s="3" t="s">
        <v>521</v>
      </c>
      <c r="J609" s="3">
        <v>431.0</v>
      </c>
      <c r="K609" s="3">
        <v>436.0</v>
      </c>
      <c r="L609" s="3" t="s">
        <v>658</v>
      </c>
      <c r="M609" s="3">
        <v>14.0</v>
      </c>
      <c r="N609" s="3" t="s">
        <v>659</v>
      </c>
      <c r="O609" s="3" t="s">
        <v>2374</v>
      </c>
      <c r="P609" s="3" t="s">
        <v>2377</v>
      </c>
      <c r="Q609" s="3">
        <v>1.0</v>
      </c>
      <c r="R609" s="3">
        <v>613.0</v>
      </c>
      <c r="S609" s="3">
        <v>95.343925</v>
      </c>
      <c r="T609" s="3">
        <v>2.279907</v>
      </c>
      <c r="U609" s="3" t="s">
        <v>2376</v>
      </c>
      <c r="V609" s="3">
        <v>0.0</v>
      </c>
      <c r="W609" s="3">
        <v>2915.0</v>
      </c>
      <c r="X609" s="3">
        <v>6555.0</v>
      </c>
      <c r="Y609" s="3">
        <v>37.0</v>
      </c>
      <c r="Z609" s="3">
        <v>151.0</v>
      </c>
      <c r="AA609" s="3">
        <v>541.0</v>
      </c>
      <c r="AB609" s="3">
        <v>1355.0</v>
      </c>
      <c r="AC609" s="3">
        <v>1.0</v>
      </c>
    </row>
    <row r="610">
      <c r="A610" s="3">
        <v>608.0</v>
      </c>
      <c r="B610" s="3" t="s">
        <v>2373</v>
      </c>
      <c r="C610" s="3">
        <v>373.0</v>
      </c>
      <c r="D610" s="3" t="s">
        <v>1617</v>
      </c>
      <c r="E610" s="3">
        <v>12.087693</v>
      </c>
      <c r="F610" s="3">
        <v>-83.700095</v>
      </c>
      <c r="G610" s="3">
        <v>59.0</v>
      </c>
      <c r="H610" s="3">
        <v>6.0</v>
      </c>
      <c r="I610" s="3" t="s">
        <v>521</v>
      </c>
      <c r="J610" s="3">
        <v>431.0</v>
      </c>
      <c r="K610" s="3">
        <v>436.0</v>
      </c>
      <c r="L610" s="3" t="s">
        <v>658</v>
      </c>
      <c r="M610" s="3">
        <v>14.0</v>
      </c>
      <c r="N610" s="3" t="s">
        <v>659</v>
      </c>
      <c r="O610" s="3" t="s">
        <v>2374</v>
      </c>
      <c r="P610" s="3" t="s">
        <v>2377</v>
      </c>
      <c r="Q610" s="3">
        <v>1.0</v>
      </c>
      <c r="R610" s="3">
        <v>613.0</v>
      </c>
      <c r="S610" s="3">
        <v>95.343925</v>
      </c>
      <c r="T610" s="3">
        <v>2.279907</v>
      </c>
      <c r="U610" s="3" t="s">
        <v>2376</v>
      </c>
      <c r="V610" s="3">
        <v>0.0</v>
      </c>
      <c r="W610" s="3">
        <v>2915.0</v>
      </c>
      <c r="X610" s="3">
        <v>6555.0</v>
      </c>
      <c r="Y610" s="3">
        <v>37.0</v>
      </c>
      <c r="Z610" s="3">
        <v>151.0</v>
      </c>
      <c r="AA610" s="3">
        <v>541.0</v>
      </c>
      <c r="AB610" s="3">
        <v>1355.0</v>
      </c>
      <c r="AC610" s="3">
        <v>1.0</v>
      </c>
    </row>
    <row r="611">
      <c r="A611" s="3">
        <v>609.0</v>
      </c>
      <c r="B611" s="3" t="s">
        <v>2373</v>
      </c>
      <c r="C611" s="3">
        <v>374.0</v>
      </c>
      <c r="D611" s="3" t="s">
        <v>1619</v>
      </c>
      <c r="E611" s="3">
        <v>12.087693</v>
      </c>
      <c r="F611" s="3">
        <v>-83.700095</v>
      </c>
      <c r="G611" s="3">
        <v>59.0</v>
      </c>
      <c r="H611" s="3">
        <v>6.0</v>
      </c>
      <c r="I611" s="3" t="s">
        <v>521</v>
      </c>
      <c r="J611" s="3">
        <v>431.0</v>
      </c>
      <c r="K611" s="3">
        <v>436.0</v>
      </c>
      <c r="L611" s="3" t="s">
        <v>658</v>
      </c>
      <c r="M611" s="3">
        <v>14.0</v>
      </c>
      <c r="N611" s="3" t="s">
        <v>659</v>
      </c>
      <c r="O611" s="3" t="s">
        <v>2374</v>
      </c>
      <c r="P611" s="3" t="s">
        <v>2377</v>
      </c>
      <c r="Q611" s="3">
        <v>1.0</v>
      </c>
      <c r="R611" s="3">
        <v>613.0</v>
      </c>
      <c r="S611" s="3">
        <v>95.343925</v>
      </c>
      <c r="T611" s="3">
        <v>2.279907</v>
      </c>
      <c r="U611" s="3" t="s">
        <v>2376</v>
      </c>
      <c r="V611" s="3">
        <v>0.0</v>
      </c>
      <c r="W611" s="3">
        <v>2915.0</v>
      </c>
      <c r="X611" s="3">
        <v>6555.0</v>
      </c>
      <c r="Y611" s="3">
        <v>37.0</v>
      </c>
      <c r="Z611" s="3">
        <v>151.0</v>
      </c>
      <c r="AA611" s="3">
        <v>541.0</v>
      </c>
      <c r="AB611" s="3">
        <v>1355.0</v>
      </c>
      <c r="AC611" s="3">
        <v>1.0</v>
      </c>
    </row>
    <row r="612">
      <c r="A612" s="3">
        <v>610.0</v>
      </c>
      <c r="B612" s="3" t="s">
        <v>2373</v>
      </c>
      <c r="C612" s="3">
        <v>375.0</v>
      </c>
      <c r="D612" s="3" t="s">
        <v>1620</v>
      </c>
      <c r="E612" s="3">
        <v>12.087693</v>
      </c>
      <c r="F612" s="3">
        <v>-83.700095</v>
      </c>
      <c r="G612" s="3">
        <v>59.0</v>
      </c>
      <c r="H612" s="3">
        <v>6.0</v>
      </c>
      <c r="I612" s="3" t="s">
        <v>521</v>
      </c>
      <c r="J612" s="3">
        <v>431.0</v>
      </c>
      <c r="K612" s="3">
        <v>436.0</v>
      </c>
      <c r="L612" s="3" t="s">
        <v>658</v>
      </c>
      <c r="M612" s="3">
        <v>14.0</v>
      </c>
      <c r="N612" s="3" t="s">
        <v>659</v>
      </c>
      <c r="O612" s="3" t="s">
        <v>2374</v>
      </c>
      <c r="P612" s="3" t="s">
        <v>2377</v>
      </c>
      <c r="Q612" s="3">
        <v>1.0</v>
      </c>
      <c r="R612" s="3">
        <v>613.0</v>
      </c>
      <c r="S612" s="3">
        <v>95.343925</v>
      </c>
      <c r="T612" s="3">
        <v>2.279907</v>
      </c>
      <c r="U612" s="3" t="s">
        <v>2376</v>
      </c>
      <c r="V612" s="3">
        <v>0.0</v>
      </c>
      <c r="W612" s="3">
        <v>2915.0</v>
      </c>
      <c r="X612" s="3">
        <v>6555.0</v>
      </c>
      <c r="Y612" s="3">
        <v>37.0</v>
      </c>
      <c r="Z612" s="3">
        <v>151.0</v>
      </c>
      <c r="AA612" s="3">
        <v>541.0</v>
      </c>
      <c r="AB612" s="3">
        <v>1355.0</v>
      </c>
      <c r="AC612" s="3">
        <v>1.0</v>
      </c>
    </row>
    <row r="613">
      <c r="A613" s="3">
        <v>611.0</v>
      </c>
      <c r="B613" s="3" t="s">
        <v>2373</v>
      </c>
      <c r="C613" s="3">
        <v>376.0</v>
      </c>
      <c r="D613" s="3" t="s">
        <v>1621</v>
      </c>
      <c r="E613" s="3">
        <v>12.087693</v>
      </c>
      <c r="F613" s="3">
        <v>-83.700095</v>
      </c>
      <c r="G613" s="3">
        <v>59.0</v>
      </c>
      <c r="H613" s="3">
        <v>6.0</v>
      </c>
      <c r="I613" s="3" t="s">
        <v>521</v>
      </c>
      <c r="J613" s="3">
        <v>431.0</v>
      </c>
      <c r="K613" s="3">
        <v>436.0</v>
      </c>
      <c r="L613" s="3" t="s">
        <v>658</v>
      </c>
      <c r="M613" s="3">
        <v>14.0</v>
      </c>
      <c r="N613" s="3" t="s">
        <v>659</v>
      </c>
      <c r="O613" s="3" t="s">
        <v>2374</v>
      </c>
      <c r="P613" s="3" t="s">
        <v>2377</v>
      </c>
      <c r="Q613" s="3">
        <v>1.0</v>
      </c>
      <c r="R613" s="3">
        <v>613.0</v>
      </c>
      <c r="S613" s="3">
        <v>95.343925</v>
      </c>
      <c r="T613" s="3">
        <v>2.279907</v>
      </c>
      <c r="U613" s="3" t="s">
        <v>2376</v>
      </c>
      <c r="V613" s="3">
        <v>0.0</v>
      </c>
      <c r="W613" s="3">
        <v>2915.0</v>
      </c>
      <c r="X613" s="3">
        <v>6555.0</v>
      </c>
      <c r="Y613" s="3">
        <v>37.0</v>
      </c>
      <c r="Z613" s="3">
        <v>151.0</v>
      </c>
      <c r="AA613" s="3">
        <v>541.0</v>
      </c>
      <c r="AB613" s="3">
        <v>1355.0</v>
      </c>
      <c r="AC613" s="3">
        <v>1.0</v>
      </c>
    </row>
    <row r="614">
      <c r="A614" s="3">
        <v>612.0</v>
      </c>
      <c r="B614" s="3" t="s">
        <v>2373</v>
      </c>
      <c r="C614" s="3">
        <v>377.0</v>
      </c>
      <c r="D614" s="3" t="s">
        <v>1622</v>
      </c>
      <c r="E614" s="3">
        <v>12.087693</v>
      </c>
      <c r="F614" s="3">
        <v>-83.700095</v>
      </c>
      <c r="G614" s="3">
        <v>59.0</v>
      </c>
      <c r="H614" s="3">
        <v>6.0</v>
      </c>
      <c r="I614" s="3" t="s">
        <v>521</v>
      </c>
      <c r="J614" s="3">
        <v>431.0</v>
      </c>
      <c r="K614" s="3">
        <v>436.0</v>
      </c>
      <c r="L614" s="3" t="s">
        <v>658</v>
      </c>
      <c r="M614" s="3">
        <v>14.0</v>
      </c>
      <c r="N614" s="3" t="s">
        <v>659</v>
      </c>
      <c r="O614" s="3" t="s">
        <v>2374</v>
      </c>
      <c r="P614" s="3" t="s">
        <v>2377</v>
      </c>
      <c r="Q614" s="3">
        <v>1.0</v>
      </c>
      <c r="R614" s="3">
        <v>613.0</v>
      </c>
      <c r="S614" s="3">
        <v>95.343925</v>
      </c>
      <c r="T614" s="3">
        <v>2.279907</v>
      </c>
      <c r="U614" s="3" t="s">
        <v>2376</v>
      </c>
      <c r="V614" s="3">
        <v>0.0</v>
      </c>
      <c r="W614" s="3">
        <v>2915.0</v>
      </c>
      <c r="X614" s="3">
        <v>6555.0</v>
      </c>
      <c r="Y614" s="3">
        <v>37.0</v>
      </c>
      <c r="Z614" s="3">
        <v>151.0</v>
      </c>
      <c r="AA614" s="3">
        <v>541.0</v>
      </c>
      <c r="AB614" s="3">
        <v>1355.0</v>
      </c>
      <c r="AC614" s="3">
        <v>1.0</v>
      </c>
    </row>
    <row r="615">
      <c r="A615" s="3">
        <v>613.0</v>
      </c>
      <c r="B615" s="3" t="s">
        <v>2373</v>
      </c>
      <c r="C615" s="3">
        <v>378.0</v>
      </c>
      <c r="D615" s="3" t="s">
        <v>1623</v>
      </c>
      <c r="E615" s="3">
        <v>12.087693</v>
      </c>
      <c r="F615" s="3">
        <v>-83.700095</v>
      </c>
      <c r="G615" s="3">
        <v>59.0</v>
      </c>
      <c r="H615" s="3">
        <v>6.0</v>
      </c>
      <c r="I615" s="3" t="s">
        <v>521</v>
      </c>
      <c r="J615" s="3">
        <v>431.0</v>
      </c>
      <c r="K615" s="3">
        <v>436.0</v>
      </c>
      <c r="L615" s="3" t="s">
        <v>658</v>
      </c>
      <c r="M615" s="3">
        <v>14.0</v>
      </c>
      <c r="N615" s="3" t="s">
        <v>659</v>
      </c>
      <c r="O615" s="3" t="s">
        <v>2374</v>
      </c>
      <c r="P615" s="3" t="s">
        <v>2377</v>
      </c>
      <c r="Q615" s="3">
        <v>1.0</v>
      </c>
      <c r="R615" s="3">
        <v>613.0</v>
      </c>
      <c r="S615" s="3">
        <v>95.343925</v>
      </c>
      <c r="T615" s="3">
        <v>2.279907</v>
      </c>
      <c r="U615" s="3" t="s">
        <v>2376</v>
      </c>
      <c r="V615" s="3">
        <v>0.0</v>
      </c>
      <c r="W615" s="3">
        <v>2915.0</v>
      </c>
      <c r="X615" s="3">
        <v>6555.0</v>
      </c>
      <c r="Y615" s="3">
        <v>37.0</v>
      </c>
      <c r="Z615" s="3">
        <v>151.0</v>
      </c>
      <c r="AA615" s="3">
        <v>541.0</v>
      </c>
      <c r="AB615" s="3">
        <v>1355.0</v>
      </c>
      <c r="AC615" s="3">
        <v>1.0</v>
      </c>
    </row>
    <row r="616">
      <c r="A616" s="3">
        <v>614.0</v>
      </c>
      <c r="B616" s="3" t="s">
        <v>2373</v>
      </c>
      <c r="C616" s="3">
        <v>45.0</v>
      </c>
      <c r="D616" s="3" t="s">
        <v>1926</v>
      </c>
      <c r="E616" s="3">
        <v>7.75</v>
      </c>
      <c r="F616" s="3">
        <v>-77.583333</v>
      </c>
      <c r="G616" s="3">
        <v>62.0</v>
      </c>
      <c r="H616" s="3">
        <v>7.0</v>
      </c>
      <c r="I616" s="3" t="s">
        <v>146</v>
      </c>
      <c r="J616" s="3">
        <v>167.0</v>
      </c>
      <c r="K616" s="3">
        <v>169.0</v>
      </c>
      <c r="L616" s="3" t="s">
        <v>1929</v>
      </c>
      <c r="M616" s="3">
        <v>1.0</v>
      </c>
      <c r="N616" s="3" t="s">
        <v>121</v>
      </c>
      <c r="O616" s="3" t="s">
        <v>2374</v>
      </c>
      <c r="P616" s="3" t="s">
        <v>2378</v>
      </c>
      <c r="Q616" s="3">
        <v>2.0</v>
      </c>
      <c r="R616" s="3">
        <v>454.0</v>
      </c>
      <c r="S616" s="3">
        <v>46.34014</v>
      </c>
      <c r="T616" s="3">
        <v>5.989173</v>
      </c>
      <c r="U616" s="3" t="s">
        <v>2376</v>
      </c>
      <c r="V616" s="3">
        <v>0.0</v>
      </c>
      <c r="W616" s="3">
        <v>2886.0</v>
      </c>
      <c r="X616" s="3">
        <v>6329.0</v>
      </c>
      <c r="Y616" s="3">
        <v>22.0</v>
      </c>
      <c r="Z616" s="3">
        <v>120.0</v>
      </c>
      <c r="AA616" s="3">
        <v>440.0</v>
      </c>
      <c r="AB616" s="3">
        <v>1202.0</v>
      </c>
      <c r="AC616" s="3">
        <v>415.0</v>
      </c>
    </row>
    <row r="617">
      <c r="A617" s="3">
        <v>615.0</v>
      </c>
      <c r="B617" s="3" t="s">
        <v>2373</v>
      </c>
      <c r="C617" s="3">
        <v>46.0</v>
      </c>
      <c r="D617" s="3" t="s">
        <v>1930</v>
      </c>
      <c r="E617" s="3">
        <v>7.75</v>
      </c>
      <c r="F617" s="3">
        <v>-77.583333</v>
      </c>
      <c r="G617" s="3">
        <v>62.0</v>
      </c>
      <c r="H617" s="3">
        <v>7.0</v>
      </c>
      <c r="I617" s="3" t="s">
        <v>146</v>
      </c>
      <c r="J617" s="3">
        <v>167.0</v>
      </c>
      <c r="K617" s="3">
        <v>169.0</v>
      </c>
      <c r="L617" s="3" t="s">
        <v>1929</v>
      </c>
      <c r="M617" s="3">
        <v>1.0</v>
      </c>
      <c r="N617" s="3" t="s">
        <v>121</v>
      </c>
      <c r="O617" s="3" t="s">
        <v>2374</v>
      </c>
      <c r="P617" s="3" t="s">
        <v>2378</v>
      </c>
      <c r="Q617" s="3">
        <v>2.0</v>
      </c>
      <c r="R617" s="3">
        <v>454.0</v>
      </c>
      <c r="S617" s="3">
        <v>46.34014</v>
      </c>
      <c r="T617" s="3">
        <v>5.989173</v>
      </c>
      <c r="U617" s="3" t="s">
        <v>2376</v>
      </c>
      <c r="V617" s="3">
        <v>0.0</v>
      </c>
      <c r="W617" s="3">
        <v>2886.0</v>
      </c>
      <c r="X617" s="3">
        <v>6329.0</v>
      </c>
      <c r="Y617" s="3">
        <v>22.0</v>
      </c>
      <c r="Z617" s="3">
        <v>120.0</v>
      </c>
      <c r="AA617" s="3">
        <v>440.0</v>
      </c>
      <c r="AB617" s="3">
        <v>1202.0</v>
      </c>
      <c r="AC617" s="3">
        <v>415.0</v>
      </c>
    </row>
    <row r="618">
      <c r="A618" s="3">
        <v>616.0</v>
      </c>
      <c r="B618" s="3" t="s">
        <v>2373</v>
      </c>
      <c r="C618" s="3">
        <v>47.0</v>
      </c>
      <c r="D618" s="3" t="s">
        <v>1932</v>
      </c>
      <c r="E618" s="3">
        <v>7.75</v>
      </c>
      <c r="F618" s="3">
        <v>-77.583333</v>
      </c>
      <c r="G618" s="3">
        <v>62.0</v>
      </c>
      <c r="H618" s="3">
        <v>7.0</v>
      </c>
      <c r="I618" s="3" t="s">
        <v>146</v>
      </c>
      <c r="J618" s="3">
        <v>167.0</v>
      </c>
      <c r="K618" s="3">
        <v>169.0</v>
      </c>
      <c r="L618" s="3" t="s">
        <v>1929</v>
      </c>
      <c r="M618" s="3">
        <v>1.0</v>
      </c>
      <c r="N618" s="3" t="s">
        <v>121</v>
      </c>
      <c r="O618" s="3" t="s">
        <v>2374</v>
      </c>
      <c r="P618" s="3" t="s">
        <v>2378</v>
      </c>
      <c r="Q618" s="3">
        <v>2.0</v>
      </c>
      <c r="R618" s="3">
        <v>454.0</v>
      </c>
      <c r="S618" s="3">
        <v>46.34014</v>
      </c>
      <c r="T618" s="3">
        <v>5.989173</v>
      </c>
      <c r="U618" s="3" t="s">
        <v>2376</v>
      </c>
      <c r="V618" s="3">
        <v>0.0</v>
      </c>
      <c r="W618" s="3">
        <v>2886.0</v>
      </c>
      <c r="X618" s="3">
        <v>6329.0</v>
      </c>
      <c r="Y618" s="3">
        <v>22.0</v>
      </c>
      <c r="Z618" s="3">
        <v>120.0</v>
      </c>
      <c r="AA618" s="3">
        <v>440.0</v>
      </c>
      <c r="AB618" s="3">
        <v>1202.0</v>
      </c>
      <c r="AC618" s="3">
        <v>415.0</v>
      </c>
    </row>
    <row r="619">
      <c r="A619" s="3">
        <v>617.0</v>
      </c>
      <c r="B619" s="3" t="s">
        <v>2373</v>
      </c>
      <c r="C619" s="3">
        <v>150.0</v>
      </c>
      <c r="D619" s="3" t="s">
        <v>1568</v>
      </c>
      <c r="E619" s="3">
        <v>8.705533</v>
      </c>
      <c r="F619" s="3">
        <v>-79.762489</v>
      </c>
      <c r="G619" s="3">
        <v>64.0</v>
      </c>
      <c r="H619" s="3">
        <v>7.0</v>
      </c>
      <c r="I619" s="3" t="s">
        <v>146</v>
      </c>
      <c r="J619" s="3">
        <v>341.0</v>
      </c>
      <c r="K619" s="3">
        <v>345.0</v>
      </c>
      <c r="L619" s="3" t="s">
        <v>120</v>
      </c>
      <c r="M619" s="3">
        <v>1.0</v>
      </c>
      <c r="N619" s="3" t="s">
        <v>121</v>
      </c>
      <c r="O619" s="3" t="s">
        <v>2374</v>
      </c>
      <c r="P619" s="3" t="s">
        <v>2378</v>
      </c>
      <c r="Q619" s="3">
        <v>2.0</v>
      </c>
      <c r="R619" s="3">
        <v>470.0</v>
      </c>
      <c r="S619" s="3">
        <v>51.187393</v>
      </c>
      <c r="T619" s="3">
        <v>4.81635</v>
      </c>
      <c r="U619" s="3" t="s">
        <v>2376</v>
      </c>
      <c r="V619" s="3">
        <v>0.0</v>
      </c>
      <c r="W619" s="3">
        <v>1983.0</v>
      </c>
      <c r="X619" s="3">
        <v>6225.0</v>
      </c>
      <c r="Y619" s="3">
        <v>9.0</v>
      </c>
      <c r="Z619" s="3">
        <v>50.0</v>
      </c>
      <c r="AA619" s="3">
        <v>301.0</v>
      </c>
      <c r="AB619" s="3">
        <v>781.0</v>
      </c>
      <c r="AC619" s="3">
        <v>23.0</v>
      </c>
    </row>
    <row r="620">
      <c r="A620" s="3">
        <v>618.0</v>
      </c>
      <c r="B620" s="3" t="s">
        <v>2373</v>
      </c>
      <c r="C620" s="3">
        <v>151.0</v>
      </c>
      <c r="D620" s="3" t="s">
        <v>1571</v>
      </c>
      <c r="E620" s="3">
        <v>8.705533</v>
      </c>
      <c r="F620" s="3">
        <v>-79.762489</v>
      </c>
      <c r="G620" s="3">
        <v>64.0</v>
      </c>
      <c r="H620" s="3">
        <v>7.0</v>
      </c>
      <c r="I620" s="3" t="s">
        <v>146</v>
      </c>
      <c r="J620" s="3">
        <v>341.0</v>
      </c>
      <c r="K620" s="3">
        <v>345.0</v>
      </c>
      <c r="L620" s="3" t="s">
        <v>120</v>
      </c>
      <c r="M620" s="3">
        <v>1.0</v>
      </c>
      <c r="N620" s="3" t="s">
        <v>121</v>
      </c>
      <c r="O620" s="3" t="s">
        <v>2374</v>
      </c>
      <c r="P620" s="3" t="s">
        <v>2378</v>
      </c>
      <c r="Q620" s="3">
        <v>2.0</v>
      </c>
      <c r="R620" s="3">
        <v>470.0</v>
      </c>
      <c r="S620" s="3">
        <v>51.187393</v>
      </c>
      <c r="T620" s="3">
        <v>4.81635</v>
      </c>
      <c r="U620" s="3" t="s">
        <v>2376</v>
      </c>
      <c r="V620" s="3">
        <v>0.0</v>
      </c>
      <c r="W620" s="3">
        <v>1983.0</v>
      </c>
      <c r="X620" s="3">
        <v>6225.0</v>
      </c>
      <c r="Y620" s="3">
        <v>9.0</v>
      </c>
      <c r="Z620" s="3">
        <v>50.0</v>
      </c>
      <c r="AA620" s="3">
        <v>301.0</v>
      </c>
      <c r="AB620" s="3">
        <v>781.0</v>
      </c>
      <c r="AC620" s="3">
        <v>23.0</v>
      </c>
    </row>
    <row r="621">
      <c r="A621" s="3">
        <v>619.0</v>
      </c>
      <c r="B621" s="3" t="s">
        <v>2373</v>
      </c>
      <c r="C621" s="3">
        <v>164.0</v>
      </c>
      <c r="D621" s="3" t="s">
        <v>767</v>
      </c>
      <c r="E621" s="3">
        <v>9.2</v>
      </c>
      <c r="F621" s="3">
        <v>-79.7</v>
      </c>
      <c r="G621" s="3">
        <v>64.0</v>
      </c>
      <c r="H621" s="3">
        <v>7.0</v>
      </c>
      <c r="I621" s="3" t="s">
        <v>146</v>
      </c>
      <c r="J621" s="3">
        <v>341.0</v>
      </c>
      <c r="K621" s="3">
        <v>345.0</v>
      </c>
      <c r="L621" s="3" t="s">
        <v>120</v>
      </c>
      <c r="M621" s="3">
        <v>1.0</v>
      </c>
      <c r="N621" s="3" t="s">
        <v>121</v>
      </c>
      <c r="O621" s="3" t="s">
        <v>2374</v>
      </c>
      <c r="P621" s="3" t="s">
        <v>2378</v>
      </c>
      <c r="Q621" s="3">
        <v>2.0</v>
      </c>
      <c r="R621" s="3">
        <v>470.0</v>
      </c>
      <c r="S621" s="3">
        <v>51.187393</v>
      </c>
      <c r="T621" s="3">
        <v>4.81635</v>
      </c>
      <c r="U621" s="3" t="s">
        <v>2376</v>
      </c>
      <c r="V621" s="3">
        <v>0.0</v>
      </c>
      <c r="W621" s="3">
        <v>2748.0</v>
      </c>
      <c r="X621" s="3">
        <v>6282.0</v>
      </c>
      <c r="Y621" s="3">
        <v>18.0</v>
      </c>
      <c r="Z621" s="3">
        <v>103.0</v>
      </c>
      <c r="AA621" s="3">
        <v>415.0</v>
      </c>
      <c r="AB621" s="3">
        <v>1040.0</v>
      </c>
      <c r="AC621" s="3">
        <v>136.0</v>
      </c>
    </row>
    <row r="622">
      <c r="A622" s="3">
        <v>620.0</v>
      </c>
      <c r="B622" s="3" t="s">
        <v>2373</v>
      </c>
      <c r="C622" s="3">
        <v>165.0</v>
      </c>
      <c r="D622" s="3" t="s">
        <v>771</v>
      </c>
      <c r="E622" s="3">
        <v>9.2</v>
      </c>
      <c r="F622" s="3">
        <v>-79.7</v>
      </c>
      <c r="G622" s="3">
        <v>64.0</v>
      </c>
      <c r="H622" s="3">
        <v>7.0</v>
      </c>
      <c r="I622" s="3" t="s">
        <v>146</v>
      </c>
      <c r="J622" s="3">
        <v>341.0</v>
      </c>
      <c r="K622" s="3">
        <v>345.0</v>
      </c>
      <c r="L622" s="3" t="s">
        <v>120</v>
      </c>
      <c r="M622" s="3">
        <v>1.0</v>
      </c>
      <c r="N622" s="3" t="s">
        <v>121</v>
      </c>
      <c r="O622" s="3" t="s">
        <v>2374</v>
      </c>
      <c r="P622" s="3" t="s">
        <v>2378</v>
      </c>
      <c r="Q622" s="3">
        <v>2.0</v>
      </c>
      <c r="R622" s="3">
        <v>470.0</v>
      </c>
      <c r="S622" s="3">
        <v>51.187393</v>
      </c>
      <c r="T622" s="3">
        <v>4.81635</v>
      </c>
      <c r="U622" s="3" t="s">
        <v>2376</v>
      </c>
      <c r="V622" s="3">
        <v>0.0</v>
      </c>
      <c r="W622" s="3">
        <v>2748.0</v>
      </c>
      <c r="X622" s="3">
        <v>6282.0</v>
      </c>
      <c r="Y622" s="3">
        <v>18.0</v>
      </c>
      <c r="Z622" s="3">
        <v>103.0</v>
      </c>
      <c r="AA622" s="3">
        <v>415.0</v>
      </c>
      <c r="AB622" s="3">
        <v>1040.0</v>
      </c>
      <c r="AC622" s="3">
        <v>136.0</v>
      </c>
    </row>
    <row r="623">
      <c r="A623" s="3">
        <v>621.0</v>
      </c>
      <c r="B623" s="3" t="s">
        <v>2373</v>
      </c>
      <c r="C623" s="3">
        <v>22.0</v>
      </c>
      <c r="D623" s="3" t="s">
        <v>1917</v>
      </c>
      <c r="E623" s="3">
        <v>8.45</v>
      </c>
      <c r="F623" s="3">
        <v>-80.85</v>
      </c>
      <c r="G623" s="3">
        <v>65.0</v>
      </c>
      <c r="H623" s="3">
        <v>7.0</v>
      </c>
      <c r="I623" s="3" t="s">
        <v>146</v>
      </c>
      <c r="J623" s="3">
        <v>342.0</v>
      </c>
      <c r="K623" s="3">
        <v>346.0</v>
      </c>
      <c r="L623" s="3" t="s">
        <v>281</v>
      </c>
      <c r="M623" s="3">
        <v>1.0</v>
      </c>
      <c r="N623" s="3" t="s">
        <v>121</v>
      </c>
      <c r="O623" s="3" t="s">
        <v>2374</v>
      </c>
      <c r="P623" s="3" t="s">
        <v>2378</v>
      </c>
      <c r="Q623" s="3">
        <v>3.0</v>
      </c>
      <c r="R623" s="3">
        <v>471.0</v>
      </c>
      <c r="S623" s="3">
        <v>31.217137</v>
      </c>
      <c r="T623" s="3">
        <v>2.395495</v>
      </c>
      <c r="U623" s="3" t="s">
        <v>2376</v>
      </c>
      <c r="V623" s="3">
        <v>0.0</v>
      </c>
      <c r="W623" s="3">
        <v>2747.0</v>
      </c>
      <c r="X623" s="3">
        <v>7025.0</v>
      </c>
      <c r="Y623" s="3">
        <v>7.0</v>
      </c>
      <c r="Z623" s="3">
        <v>94.0</v>
      </c>
      <c r="AA623" s="3">
        <v>510.0</v>
      </c>
      <c r="AB623" s="3">
        <v>1232.0</v>
      </c>
      <c r="AC623" s="3">
        <v>695.0</v>
      </c>
    </row>
    <row r="624">
      <c r="A624" s="3">
        <v>622.0</v>
      </c>
      <c r="B624" s="3" t="s">
        <v>2373</v>
      </c>
      <c r="C624" s="3">
        <v>23.0</v>
      </c>
      <c r="D624" s="3" t="s">
        <v>1918</v>
      </c>
      <c r="E624" s="3">
        <v>8.45</v>
      </c>
      <c r="F624" s="3">
        <v>-80.85</v>
      </c>
      <c r="G624" s="3">
        <v>65.0</v>
      </c>
      <c r="H624" s="3">
        <v>7.0</v>
      </c>
      <c r="I624" s="3" t="s">
        <v>146</v>
      </c>
      <c r="J624" s="3">
        <v>342.0</v>
      </c>
      <c r="K624" s="3">
        <v>346.0</v>
      </c>
      <c r="L624" s="3" t="s">
        <v>281</v>
      </c>
      <c r="M624" s="3">
        <v>1.0</v>
      </c>
      <c r="N624" s="3" t="s">
        <v>121</v>
      </c>
      <c r="O624" s="3" t="s">
        <v>2374</v>
      </c>
      <c r="P624" s="3" t="s">
        <v>2378</v>
      </c>
      <c r="Q624" s="3">
        <v>3.0</v>
      </c>
      <c r="R624" s="3">
        <v>471.0</v>
      </c>
      <c r="S624" s="3">
        <v>31.217137</v>
      </c>
      <c r="T624" s="3">
        <v>2.395495</v>
      </c>
      <c r="U624" s="3" t="s">
        <v>2376</v>
      </c>
      <c r="V624" s="3">
        <v>0.0</v>
      </c>
      <c r="W624" s="3">
        <v>2747.0</v>
      </c>
      <c r="X624" s="3">
        <v>7025.0</v>
      </c>
      <c r="Y624" s="3">
        <v>7.0</v>
      </c>
      <c r="Z624" s="3">
        <v>94.0</v>
      </c>
      <c r="AA624" s="3">
        <v>510.0</v>
      </c>
      <c r="AB624" s="3">
        <v>1232.0</v>
      </c>
      <c r="AC624" s="3">
        <v>695.0</v>
      </c>
    </row>
    <row r="625">
      <c r="A625" s="3">
        <v>623.0</v>
      </c>
      <c r="B625" s="3" t="s">
        <v>2373</v>
      </c>
      <c r="C625" s="3">
        <v>24.0</v>
      </c>
      <c r="D625" s="3" t="s">
        <v>1919</v>
      </c>
      <c r="E625" s="3">
        <v>8.45</v>
      </c>
      <c r="F625" s="3">
        <v>-80.85</v>
      </c>
      <c r="G625" s="3">
        <v>65.0</v>
      </c>
      <c r="H625" s="3">
        <v>7.0</v>
      </c>
      <c r="I625" s="3" t="s">
        <v>146</v>
      </c>
      <c r="J625" s="3">
        <v>342.0</v>
      </c>
      <c r="K625" s="3">
        <v>346.0</v>
      </c>
      <c r="L625" s="3" t="s">
        <v>281</v>
      </c>
      <c r="M625" s="3">
        <v>1.0</v>
      </c>
      <c r="N625" s="3" t="s">
        <v>121</v>
      </c>
      <c r="O625" s="3" t="s">
        <v>2374</v>
      </c>
      <c r="P625" s="3" t="s">
        <v>2378</v>
      </c>
      <c r="Q625" s="3">
        <v>3.0</v>
      </c>
      <c r="R625" s="3">
        <v>471.0</v>
      </c>
      <c r="S625" s="3">
        <v>31.217137</v>
      </c>
      <c r="T625" s="3">
        <v>2.395495</v>
      </c>
      <c r="U625" s="3" t="s">
        <v>2376</v>
      </c>
      <c r="V625" s="3">
        <v>0.0</v>
      </c>
      <c r="W625" s="3">
        <v>2747.0</v>
      </c>
      <c r="X625" s="3">
        <v>7025.0</v>
      </c>
      <c r="Y625" s="3">
        <v>7.0</v>
      </c>
      <c r="Z625" s="3">
        <v>94.0</v>
      </c>
      <c r="AA625" s="3">
        <v>510.0</v>
      </c>
      <c r="AB625" s="3">
        <v>1232.0</v>
      </c>
      <c r="AC625" s="3">
        <v>695.0</v>
      </c>
    </row>
    <row r="626">
      <c r="A626" s="3">
        <v>624.0</v>
      </c>
      <c r="B626" s="3" t="s">
        <v>2373</v>
      </c>
      <c r="C626" s="3">
        <v>25.0</v>
      </c>
      <c r="D626" s="3" t="s">
        <v>363</v>
      </c>
      <c r="E626" s="3">
        <v>8.45</v>
      </c>
      <c r="F626" s="3">
        <v>-80.85</v>
      </c>
      <c r="G626" s="3">
        <v>65.0</v>
      </c>
      <c r="H626" s="3">
        <v>7.0</v>
      </c>
      <c r="I626" s="3" t="s">
        <v>146</v>
      </c>
      <c r="J626" s="3">
        <v>342.0</v>
      </c>
      <c r="K626" s="3">
        <v>346.0</v>
      </c>
      <c r="L626" s="3" t="s">
        <v>281</v>
      </c>
      <c r="M626" s="3">
        <v>1.0</v>
      </c>
      <c r="N626" s="3" t="s">
        <v>121</v>
      </c>
      <c r="O626" s="3" t="s">
        <v>2374</v>
      </c>
      <c r="P626" s="3" t="s">
        <v>2378</v>
      </c>
      <c r="Q626" s="3">
        <v>3.0</v>
      </c>
      <c r="R626" s="3">
        <v>471.0</v>
      </c>
      <c r="S626" s="3">
        <v>31.217137</v>
      </c>
      <c r="T626" s="3">
        <v>2.395495</v>
      </c>
      <c r="U626" s="3" t="s">
        <v>2376</v>
      </c>
      <c r="V626" s="3">
        <v>0.0</v>
      </c>
      <c r="W626" s="3">
        <v>2747.0</v>
      </c>
      <c r="X626" s="3">
        <v>7025.0</v>
      </c>
      <c r="Y626" s="3">
        <v>7.0</v>
      </c>
      <c r="Z626" s="3">
        <v>94.0</v>
      </c>
      <c r="AA626" s="3">
        <v>510.0</v>
      </c>
      <c r="AB626" s="3">
        <v>1232.0</v>
      </c>
      <c r="AC626" s="3">
        <v>695.0</v>
      </c>
    </row>
    <row r="627">
      <c r="A627" s="3">
        <v>625.0</v>
      </c>
      <c r="B627" s="3" t="s">
        <v>2373</v>
      </c>
      <c r="C627" s="3">
        <v>26.0</v>
      </c>
      <c r="D627" s="3" t="s">
        <v>365</v>
      </c>
      <c r="E627" s="3">
        <v>8.45</v>
      </c>
      <c r="F627" s="3">
        <v>-80.85</v>
      </c>
      <c r="G627" s="3">
        <v>65.0</v>
      </c>
      <c r="H627" s="3">
        <v>7.0</v>
      </c>
      <c r="I627" s="3" t="s">
        <v>146</v>
      </c>
      <c r="J627" s="3">
        <v>342.0</v>
      </c>
      <c r="K627" s="3">
        <v>346.0</v>
      </c>
      <c r="L627" s="3" t="s">
        <v>281</v>
      </c>
      <c r="M627" s="3">
        <v>1.0</v>
      </c>
      <c r="N627" s="3" t="s">
        <v>121</v>
      </c>
      <c r="O627" s="3" t="s">
        <v>2374</v>
      </c>
      <c r="P627" s="3" t="s">
        <v>2378</v>
      </c>
      <c r="Q627" s="3">
        <v>3.0</v>
      </c>
      <c r="R627" s="3">
        <v>471.0</v>
      </c>
      <c r="S627" s="3">
        <v>31.217137</v>
      </c>
      <c r="T627" s="3">
        <v>2.395495</v>
      </c>
      <c r="U627" s="3" t="s">
        <v>2376</v>
      </c>
      <c r="V627" s="3">
        <v>0.0</v>
      </c>
      <c r="W627" s="3">
        <v>2747.0</v>
      </c>
      <c r="X627" s="3">
        <v>7025.0</v>
      </c>
      <c r="Y627" s="3">
        <v>7.0</v>
      </c>
      <c r="Z627" s="3">
        <v>94.0</v>
      </c>
      <c r="AA627" s="3">
        <v>510.0</v>
      </c>
      <c r="AB627" s="3">
        <v>1232.0</v>
      </c>
      <c r="AC627" s="3">
        <v>695.0</v>
      </c>
    </row>
    <row r="628">
      <c r="A628" s="3">
        <v>626.0</v>
      </c>
      <c r="B628" s="3" t="s">
        <v>2373</v>
      </c>
      <c r="C628" s="3">
        <v>27.0</v>
      </c>
      <c r="D628" s="3" t="s">
        <v>367</v>
      </c>
      <c r="E628" s="3">
        <v>8.45</v>
      </c>
      <c r="F628" s="3">
        <v>-80.85</v>
      </c>
      <c r="G628" s="3">
        <v>65.0</v>
      </c>
      <c r="H628" s="3">
        <v>7.0</v>
      </c>
      <c r="I628" s="3" t="s">
        <v>146</v>
      </c>
      <c r="J628" s="3">
        <v>342.0</v>
      </c>
      <c r="K628" s="3">
        <v>346.0</v>
      </c>
      <c r="L628" s="3" t="s">
        <v>281</v>
      </c>
      <c r="M628" s="3">
        <v>1.0</v>
      </c>
      <c r="N628" s="3" t="s">
        <v>121</v>
      </c>
      <c r="O628" s="3" t="s">
        <v>2374</v>
      </c>
      <c r="P628" s="3" t="s">
        <v>2378</v>
      </c>
      <c r="Q628" s="3">
        <v>3.0</v>
      </c>
      <c r="R628" s="3">
        <v>471.0</v>
      </c>
      <c r="S628" s="3">
        <v>31.217137</v>
      </c>
      <c r="T628" s="3">
        <v>2.395495</v>
      </c>
      <c r="U628" s="3" t="s">
        <v>2376</v>
      </c>
      <c r="V628" s="3">
        <v>0.0</v>
      </c>
      <c r="W628" s="3">
        <v>2747.0</v>
      </c>
      <c r="X628" s="3">
        <v>7025.0</v>
      </c>
      <c r="Y628" s="3">
        <v>7.0</v>
      </c>
      <c r="Z628" s="3">
        <v>94.0</v>
      </c>
      <c r="AA628" s="3">
        <v>510.0</v>
      </c>
      <c r="AB628" s="3">
        <v>1232.0</v>
      </c>
      <c r="AC628" s="3">
        <v>695.0</v>
      </c>
    </row>
    <row r="629">
      <c r="A629" s="3">
        <v>627.0</v>
      </c>
      <c r="B629" s="3" t="s">
        <v>2373</v>
      </c>
      <c r="C629" s="3">
        <v>28.0</v>
      </c>
      <c r="D629" s="3" t="s">
        <v>368</v>
      </c>
      <c r="E629" s="3">
        <v>8.45</v>
      </c>
      <c r="F629" s="3">
        <v>-80.85</v>
      </c>
      <c r="G629" s="3">
        <v>65.0</v>
      </c>
      <c r="H629" s="3">
        <v>7.0</v>
      </c>
      <c r="I629" s="3" t="s">
        <v>146</v>
      </c>
      <c r="J629" s="3">
        <v>342.0</v>
      </c>
      <c r="K629" s="3">
        <v>346.0</v>
      </c>
      <c r="L629" s="3" t="s">
        <v>281</v>
      </c>
      <c r="M629" s="3">
        <v>1.0</v>
      </c>
      <c r="N629" s="3" t="s">
        <v>121</v>
      </c>
      <c r="O629" s="3" t="s">
        <v>2374</v>
      </c>
      <c r="P629" s="3" t="s">
        <v>2378</v>
      </c>
      <c r="Q629" s="3">
        <v>3.0</v>
      </c>
      <c r="R629" s="3">
        <v>471.0</v>
      </c>
      <c r="S629" s="3">
        <v>31.217137</v>
      </c>
      <c r="T629" s="3">
        <v>2.395495</v>
      </c>
      <c r="U629" s="3" t="s">
        <v>2376</v>
      </c>
      <c r="V629" s="3">
        <v>0.0</v>
      </c>
      <c r="W629" s="3">
        <v>2747.0</v>
      </c>
      <c r="X629" s="3">
        <v>7025.0</v>
      </c>
      <c r="Y629" s="3">
        <v>7.0</v>
      </c>
      <c r="Z629" s="3">
        <v>94.0</v>
      </c>
      <c r="AA629" s="3">
        <v>510.0</v>
      </c>
      <c r="AB629" s="3">
        <v>1232.0</v>
      </c>
      <c r="AC629" s="3">
        <v>695.0</v>
      </c>
    </row>
    <row r="630">
      <c r="A630" s="3">
        <v>628.0</v>
      </c>
      <c r="B630" s="3" t="s">
        <v>2373</v>
      </c>
      <c r="C630" s="3">
        <v>29.0</v>
      </c>
      <c r="D630" s="3" t="s">
        <v>289</v>
      </c>
      <c r="E630" s="3">
        <v>8.45</v>
      </c>
      <c r="F630" s="3">
        <v>-80.85</v>
      </c>
      <c r="G630" s="3">
        <v>65.0</v>
      </c>
      <c r="H630" s="3">
        <v>7.0</v>
      </c>
      <c r="I630" s="3" t="s">
        <v>146</v>
      </c>
      <c r="J630" s="3">
        <v>342.0</v>
      </c>
      <c r="K630" s="3">
        <v>346.0</v>
      </c>
      <c r="L630" s="3" t="s">
        <v>281</v>
      </c>
      <c r="M630" s="3">
        <v>1.0</v>
      </c>
      <c r="N630" s="3" t="s">
        <v>121</v>
      </c>
      <c r="O630" s="3" t="s">
        <v>2374</v>
      </c>
      <c r="P630" s="3" t="s">
        <v>2378</v>
      </c>
      <c r="Q630" s="3">
        <v>3.0</v>
      </c>
      <c r="R630" s="3">
        <v>471.0</v>
      </c>
      <c r="S630" s="3">
        <v>31.217137</v>
      </c>
      <c r="T630" s="3">
        <v>2.395495</v>
      </c>
      <c r="U630" s="3" t="s">
        <v>2376</v>
      </c>
      <c r="V630" s="3">
        <v>0.0</v>
      </c>
      <c r="W630" s="3">
        <v>2747.0</v>
      </c>
      <c r="X630" s="3">
        <v>7025.0</v>
      </c>
      <c r="Y630" s="3">
        <v>7.0</v>
      </c>
      <c r="Z630" s="3">
        <v>94.0</v>
      </c>
      <c r="AA630" s="3">
        <v>510.0</v>
      </c>
      <c r="AB630" s="3">
        <v>1232.0</v>
      </c>
      <c r="AC630" s="3">
        <v>695.0</v>
      </c>
    </row>
    <row r="631">
      <c r="A631" s="3">
        <v>629.0</v>
      </c>
      <c r="B631" s="3" t="s">
        <v>2373</v>
      </c>
      <c r="C631" s="3">
        <v>30.0</v>
      </c>
      <c r="D631" s="3" t="s">
        <v>292</v>
      </c>
      <c r="E631" s="3">
        <v>8.45</v>
      </c>
      <c r="F631" s="3">
        <v>-80.85</v>
      </c>
      <c r="G631" s="3">
        <v>65.0</v>
      </c>
      <c r="H631" s="3">
        <v>7.0</v>
      </c>
      <c r="I631" s="3" t="s">
        <v>146</v>
      </c>
      <c r="J631" s="3">
        <v>342.0</v>
      </c>
      <c r="K631" s="3">
        <v>346.0</v>
      </c>
      <c r="L631" s="3" t="s">
        <v>281</v>
      </c>
      <c r="M631" s="3">
        <v>1.0</v>
      </c>
      <c r="N631" s="3" t="s">
        <v>121</v>
      </c>
      <c r="O631" s="3" t="s">
        <v>2374</v>
      </c>
      <c r="P631" s="3" t="s">
        <v>2378</v>
      </c>
      <c r="Q631" s="3">
        <v>3.0</v>
      </c>
      <c r="R631" s="3">
        <v>471.0</v>
      </c>
      <c r="S631" s="3">
        <v>31.217137</v>
      </c>
      <c r="T631" s="3">
        <v>2.395495</v>
      </c>
      <c r="U631" s="3" t="s">
        <v>2376</v>
      </c>
      <c r="V631" s="3">
        <v>0.0</v>
      </c>
      <c r="W631" s="3">
        <v>2747.0</v>
      </c>
      <c r="X631" s="3">
        <v>7025.0</v>
      </c>
      <c r="Y631" s="3">
        <v>7.0</v>
      </c>
      <c r="Z631" s="3">
        <v>94.0</v>
      </c>
      <c r="AA631" s="3">
        <v>510.0</v>
      </c>
      <c r="AB631" s="3">
        <v>1232.0</v>
      </c>
      <c r="AC631" s="3">
        <v>695.0</v>
      </c>
    </row>
    <row r="632">
      <c r="A632" s="3">
        <v>630.0</v>
      </c>
      <c r="B632" s="3" t="s">
        <v>2373</v>
      </c>
      <c r="C632" s="3">
        <v>31.0</v>
      </c>
      <c r="D632" s="3" t="s">
        <v>273</v>
      </c>
      <c r="E632" s="3">
        <v>8.45</v>
      </c>
      <c r="F632" s="3">
        <v>-80.85</v>
      </c>
      <c r="G632" s="3">
        <v>65.0</v>
      </c>
      <c r="H632" s="3">
        <v>7.0</v>
      </c>
      <c r="I632" s="3" t="s">
        <v>146</v>
      </c>
      <c r="J632" s="3">
        <v>342.0</v>
      </c>
      <c r="K632" s="3">
        <v>346.0</v>
      </c>
      <c r="L632" s="3" t="s">
        <v>281</v>
      </c>
      <c r="M632" s="3">
        <v>1.0</v>
      </c>
      <c r="N632" s="3" t="s">
        <v>121</v>
      </c>
      <c r="O632" s="3" t="s">
        <v>2374</v>
      </c>
      <c r="P632" s="3" t="s">
        <v>2378</v>
      </c>
      <c r="Q632" s="3">
        <v>3.0</v>
      </c>
      <c r="R632" s="3">
        <v>471.0</v>
      </c>
      <c r="S632" s="3">
        <v>31.217137</v>
      </c>
      <c r="T632" s="3">
        <v>2.395495</v>
      </c>
      <c r="U632" s="3" t="s">
        <v>2376</v>
      </c>
      <c r="V632" s="3">
        <v>0.0</v>
      </c>
      <c r="W632" s="3">
        <v>2747.0</v>
      </c>
      <c r="X632" s="3">
        <v>7025.0</v>
      </c>
      <c r="Y632" s="3">
        <v>7.0</v>
      </c>
      <c r="Z632" s="3">
        <v>94.0</v>
      </c>
      <c r="AA632" s="3">
        <v>510.0</v>
      </c>
      <c r="AB632" s="3">
        <v>1232.0</v>
      </c>
      <c r="AC632" s="3">
        <v>695.0</v>
      </c>
    </row>
    <row r="633">
      <c r="A633" s="3">
        <v>631.0</v>
      </c>
      <c r="B633" s="3" t="s">
        <v>2373</v>
      </c>
      <c r="C633" s="3">
        <v>32.0</v>
      </c>
      <c r="D633" s="3" t="s">
        <v>298</v>
      </c>
      <c r="E633" s="3">
        <v>8.45</v>
      </c>
      <c r="F633" s="3">
        <v>-80.85</v>
      </c>
      <c r="G633" s="3">
        <v>65.0</v>
      </c>
      <c r="H633" s="3">
        <v>7.0</v>
      </c>
      <c r="I633" s="3" t="s">
        <v>146</v>
      </c>
      <c r="J633" s="3">
        <v>342.0</v>
      </c>
      <c r="K633" s="3">
        <v>346.0</v>
      </c>
      <c r="L633" s="3" t="s">
        <v>281</v>
      </c>
      <c r="M633" s="3">
        <v>1.0</v>
      </c>
      <c r="N633" s="3" t="s">
        <v>121</v>
      </c>
      <c r="O633" s="3" t="s">
        <v>2374</v>
      </c>
      <c r="P633" s="3" t="s">
        <v>2378</v>
      </c>
      <c r="Q633" s="3">
        <v>3.0</v>
      </c>
      <c r="R633" s="3">
        <v>471.0</v>
      </c>
      <c r="S633" s="3">
        <v>31.217137</v>
      </c>
      <c r="T633" s="3">
        <v>2.395495</v>
      </c>
      <c r="U633" s="3" t="s">
        <v>2376</v>
      </c>
      <c r="V633" s="3">
        <v>0.0</v>
      </c>
      <c r="W633" s="3">
        <v>2747.0</v>
      </c>
      <c r="X633" s="3">
        <v>7025.0</v>
      </c>
      <c r="Y633" s="3">
        <v>7.0</v>
      </c>
      <c r="Z633" s="3">
        <v>94.0</v>
      </c>
      <c r="AA633" s="3">
        <v>510.0</v>
      </c>
      <c r="AB633" s="3">
        <v>1232.0</v>
      </c>
      <c r="AC633" s="3">
        <v>695.0</v>
      </c>
    </row>
    <row r="634">
      <c r="A634" s="3">
        <v>632.0</v>
      </c>
      <c r="B634" s="3" t="s">
        <v>2373</v>
      </c>
      <c r="C634" s="3">
        <v>33.0</v>
      </c>
      <c r="D634" s="3" t="s">
        <v>313</v>
      </c>
      <c r="E634" s="3">
        <v>8.45</v>
      </c>
      <c r="F634" s="3">
        <v>-80.85</v>
      </c>
      <c r="G634" s="3">
        <v>65.0</v>
      </c>
      <c r="H634" s="3">
        <v>7.0</v>
      </c>
      <c r="I634" s="3" t="s">
        <v>146</v>
      </c>
      <c r="J634" s="3">
        <v>342.0</v>
      </c>
      <c r="K634" s="3">
        <v>346.0</v>
      </c>
      <c r="L634" s="3" t="s">
        <v>281</v>
      </c>
      <c r="M634" s="3">
        <v>1.0</v>
      </c>
      <c r="N634" s="3" t="s">
        <v>121</v>
      </c>
      <c r="O634" s="3" t="s">
        <v>2374</v>
      </c>
      <c r="P634" s="3" t="s">
        <v>2378</v>
      </c>
      <c r="Q634" s="3">
        <v>3.0</v>
      </c>
      <c r="R634" s="3">
        <v>471.0</v>
      </c>
      <c r="S634" s="3">
        <v>31.217137</v>
      </c>
      <c r="T634" s="3">
        <v>2.395495</v>
      </c>
      <c r="U634" s="3" t="s">
        <v>2376</v>
      </c>
      <c r="V634" s="3">
        <v>0.0</v>
      </c>
      <c r="W634" s="3">
        <v>2747.0</v>
      </c>
      <c r="X634" s="3">
        <v>7025.0</v>
      </c>
      <c r="Y634" s="3">
        <v>7.0</v>
      </c>
      <c r="Z634" s="3">
        <v>94.0</v>
      </c>
      <c r="AA634" s="3">
        <v>510.0</v>
      </c>
      <c r="AB634" s="3">
        <v>1232.0</v>
      </c>
      <c r="AC634" s="3">
        <v>695.0</v>
      </c>
    </row>
    <row r="635">
      <c r="A635" s="3">
        <v>633.0</v>
      </c>
      <c r="B635" s="3" t="s">
        <v>2373</v>
      </c>
      <c r="C635" s="3">
        <v>34.0</v>
      </c>
      <c r="D635" s="78" t="s">
        <v>318</v>
      </c>
      <c r="E635" s="3">
        <v>8.45</v>
      </c>
      <c r="F635" s="3">
        <v>-80.85</v>
      </c>
      <c r="G635" s="3">
        <v>65.0</v>
      </c>
      <c r="H635" s="3">
        <v>7.0</v>
      </c>
      <c r="I635" s="3" t="s">
        <v>146</v>
      </c>
      <c r="J635" s="3">
        <v>342.0</v>
      </c>
      <c r="K635" s="3">
        <v>346.0</v>
      </c>
      <c r="L635" s="3" t="s">
        <v>281</v>
      </c>
      <c r="M635" s="3">
        <v>1.0</v>
      </c>
      <c r="N635" s="3" t="s">
        <v>121</v>
      </c>
      <c r="O635" s="3" t="s">
        <v>2374</v>
      </c>
      <c r="P635" s="3" t="s">
        <v>2378</v>
      </c>
      <c r="Q635" s="3">
        <v>3.0</v>
      </c>
      <c r="R635" s="3">
        <v>471.0</v>
      </c>
      <c r="S635" s="3">
        <v>31.217137</v>
      </c>
      <c r="T635" s="3">
        <v>2.395495</v>
      </c>
      <c r="U635" s="3" t="s">
        <v>2376</v>
      </c>
      <c r="V635" s="3">
        <v>0.0</v>
      </c>
      <c r="W635" s="3">
        <v>2747.0</v>
      </c>
      <c r="X635" s="3">
        <v>7025.0</v>
      </c>
      <c r="Y635" s="3">
        <v>7.0</v>
      </c>
      <c r="Z635" s="3">
        <v>94.0</v>
      </c>
      <c r="AA635" s="3">
        <v>510.0</v>
      </c>
      <c r="AB635" s="3">
        <v>1232.0</v>
      </c>
      <c r="AC635" s="3">
        <v>695.0</v>
      </c>
    </row>
    <row r="636">
      <c r="A636" s="3">
        <v>634.0</v>
      </c>
      <c r="B636" s="3" t="s">
        <v>2373</v>
      </c>
      <c r="C636" s="3">
        <v>462.0</v>
      </c>
      <c r="D636" s="3" t="s">
        <v>2201</v>
      </c>
      <c r="E636" s="3">
        <v>8.625678</v>
      </c>
      <c r="F636" s="3">
        <v>-80.051178</v>
      </c>
      <c r="G636" s="3">
        <v>65.0</v>
      </c>
      <c r="H636" s="3">
        <v>7.0</v>
      </c>
      <c r="I636" s="3" t="s">
        <v>146</v>
      </c>
      <c r="J636" s="3">
        <v>342.0</v>
      </c>
      <c r="K636" s="3">
        <v>346.0</v>
      </c>
      <c r="L636" s="3" t="s">
        <v>281</v>
      </c>
      <c r="M636" s="3">
        <v>1.0</v>
      </c>
      <c r="N636" s="3" t="s">
        <v>121</v>
      </c>
      <c r="O636" s="3" t="s">
        <v>2374</v>
      </c>
      <c r="P636" s="3" t="s">
        <v>2378</v>
      </c>
      <c r="Q636" s="3">
        <v>3.0</v>
      </c>
      <c r="R636" s="3">
        <v>471.0</v>
      </c>
      <c r="S636" s="3">
        <v>31.217137</v>
      </c>
      <c r="T636" s="3">
        <v>2.395495</v>
      </c>
      <c r="U636" s="3" t="s">
        <v>2376</v>
      </c>
      <c r="V636" s="3">
        <v>0.0</v>
      </c>
      <c r="W636" s="3">
        <v>2261.0</v>
      </c>
      <c r="X636" s="3">
        <v>7174.0</v>
      </c>
      <c r="Y636" s="3">
        <v>7.0</v>
      </c>
      <c r="Z636" s="3">
        <v>67.0</v>
      </c>
      <c r="AA636" s="3">
        <v>365.0</v>
      </c>
      <c r="AB636" s="3">
        <v>1042.0</v>
      </c>
      <c r="AC636" s="3">
        <v>843.0</v>
      </c>
    </row>
    <row r="637">
      <c r="A637" s="3">
        <v>635.0</v>
      </c>
      <c r="B637" s="3" t="s">
        <v>2373</v>
      </c>
      <c r="C637" s="3">
        <v>463.0</v>
      </c>
      <c r="D637" s="3" t="s">
        <v>2203</v>
      </c>
      <c r="E637" s="3">
        <v>8.625678</v>
      </c>
      <c r="F637" s="3">
        <v>-80.051178</v>
      </c>
      <c r="G637" s="3">
        <v>65.0</v>
      </c>
      <c r="H637" s="3">
        <v>7.0</v>
      </c>
      <c r="I637" s="3" t="s">
        <v>146</v>
      </c>
      <c r="J637" s="3">
        <v>342.0</v>
      </c>
      <c r="K637" s="3">
        <v>346.0</v>
      </c>
      <c r="L637" s="3" t="s">
        <v>281</v>
      </c>
      <c r="M637" s="3">
        <v>1.0</v>
      </c>
      <c r="N637" s="3" t="s">
        <v>121</v>
      </c>
      <c r="O637" s="3" t="s">
        <v>2374</v>
      </c>
      <c r="P637" s="3" t="s">
        <v>2378</v>
      </c>
      <c r="Q637" s="3">
        <v>3.0</v>
      </c>
      <c r="R637" s="3">
        <v>471.0</v>
      </c>
      <c r="S637" s="3">
        <v>31.217137</v>
      </c>
      <c r="T637" s="3">
        <v>2.395495</v>
      </c>
      <c r="U637" s="3" t="s">
        <v>2376</v>
      </c>
      <c r="V637" s="3">
        <v>0.0</v>
      </c>
      <c r="W637" s="3">
        <v>2261.0</v>
      </c>
      <c r="X637" s="3">
        <v>7174.0</v>
      </c>
      <c r="Y637" s="3">
        <v>7.0</v>
      </c>
      <c r="Z637" s="3">
        <v>67.0</v>
      </c>
      <c r="AA637" s="3">
        <v>365.0</v>
      </c>
      <c r="AB637" s="3">
        <v>1042.0</v>
      </c>
      <c r="AC637" s="3">
        <v>843.0</v>
      </c>
    </row>
    <row r="638">
      <c r="A638" s="3">
        <v>636.0</v>
      </c>
      <c r="B638" s="3" t="s">
        <v>2373</v>
      </c>
      <c r="C638" s="3">
        <v>464.0</v>
      </c>
      <c r="D638" s="3" t="s">
        <v>2205</v>
      </c>
      <c r="E638" s="3">
        <v>8.625678</v>
      </c>
      <c r="F638" s="3">
        <v>-80.051178</v>
      </c>
      <c r="G638" s="3">
        <v>65.0</v>
      </c>
      <c r="H638" s="3">
        <v>7.0</v>
      </c>
      <c r="I638" s="3" t="s">
        <v>146</v>
      </c>
      <c r="J638" s="3">
        <v>342.0</v>
      </c>
      <c r="K638" s="3">
        <v>346.0</v>
      </c>
      <c r="L638" s="3" t="s">
        <v>281</v>
      </c>
      <c r="M638" s="3">
        <v>1.0</v>
      </c>
      <c r="N638" s="3" t="s">
        <v>121</v>
      </c>
      <c r="O638" s="3" t="s">
        <v>2374</v>
      </c>
      <c r="P638" s="3" t="s">
        <v>2378</v>
      </c>
      <c r="Q638" s="3">
        <v>3.0</v>
      </c>
      <c r="R638" s="3">
        <v>471.0</v>
      </c>
      <c r="S638" s="3">
        <v>31.217137</v>
      </c>
      <c r="T638" s="3">
        <v>2.395495</v>
      </c>
      <c r="U638" s="3" t="s">
        <v>2376</v>
      </c>
      <c r="V638" s="3">
        <v>0.0</v>
      </c>
      <c r="W638" s="3">
        <v>2261.0</v>
      </c>
      <c r="X638" s="3">
        <v>7174.0</v>
      </c>
      <c r="Y638" s="3">
        <v>7.0</v>
      </c>
      <c r="Z638" s="3">
        <v>67.0</v>
      </c>
      <c r="AA638" s="3">
        <v>365.0</v>
      </c>
      <c r="AB638" s="3">
        <v>1042.0</v>
      </c>
      <c r="AC638" s="3">
        <v>843.0</v>
      </c>
    </row>
    <row r="639">
      <c r="A639" s="3">
        <v>637.0</v>
      </c>
      <c r="B639" s="3" t="s">
        <v>2373</v>
      </c>
      <c r="C639" s="3">
        <v>465.0</v>
      </c>
      <c r="D639" s="3" t="s">
        <v>2206</v>
      </c>
      <c r="E639" s="3">
        <v>8.625678</v>
      </c>
      <c r="F639" s="3">
        <v>-80.051178</v>
      </c>
      <c r="G639" s="3">
        <v>65.0</v>
      </c>
      <c r="H639" s="3">
        <v>7.0</v>
      </c>
      <c r="I639" s="3" t="s">
        <v>146</v>
      </c>
      <c r="J639" s="3">
        <v>342.0</v>
      </c>
      <c r="K639" s="3">
        <v>346.0</v>
      </c>
      <c r="L639" s="3" t="s">
        <v>281</v>
      </c>
      <c r="M639" s="3">
        <v>1.0</v>
      </c>
      <c r="N639" s="3" t="s">
        <v>121</v>
      </c>
      <c r="O639" s="3" t="s">
        <v>2374</v>
      </c>
      <c r="P639" s="3" t="s">
        <v>2378</v>
      </c>
      <c r="Q639" s="3">
        <v>3.0</v>
      </c>
      <c r="R639" s="3">
        <v>471.0</v>
      </c>
      <c r="S639" s="3">
        <v>31.217137</v>
      </c>
      <c r="T639" s="3">
        <v>2.395495</v>
      </c>
      <c r="U639" s="3" t="s">
        <v>2376</v>
      </c>
      <c r="V639" s="3">
        <v>0.0</v>
      </c>
      <c r="W639" s="3">
        <v>2261.0</v>
      </c>
      <c r="X639" s="3">
        <v>7174.0</v>
      </c>
      <c r="Y639" s="3">
        <v>7.0</v>
      </c>
      <c r="Z639" s="3">
        <v>67.0</v>
      </c>
      <c r="AA639" s="3">
        <v>365.0</v>
      </c>
      <c r="AB639" s="3">
        <v>1042.0</v>
      </c>
      <c r="AC639" s="3">
        <v>843.0</v>
      </c>
    </row>
    <row r="640">
      <c r="A640" s="3">
        <v>638.0</v>
      </c>
      <c r="B640" s="3" t="s">
        <v>2373</v>
      </c>
      <c r="C640" s="3">
        <v>83.0</v>
      </c>
      <c r="D640" s="3" t="s">
        <v>1280</v>
      </c>
      <c r="E640" s="3">
        <v>9.333333</v>
      </c>
      <c r="F640" s="3">
        <v>-82.333333</v>
      </c>
      <c r="G640" s="3">
        <v>66.0</v>
      </c>
      <c r="H640" s="3">
        <v>7.0</v>
      </c>
      <c r="I640" s="3" t="s">
        <v>146</v>
      </c>
      <c r="J640" s="3">
        <v>431.0</v>
      </c>
      <c r="K640" s="3">
        <v>436.0</v>
      </c>
      <c r="L640" s="3" t="s">
        <v>658</v>
      </c>
      <c r="M640" s="3">
        <v>14.0</v>
      </c>
      <c r="N640" s="3" t="s">
        <v>659</v>
      </c>
      <c r="O640" s="3" t="s">
        <v>2374</v>
      </c>
      <c r="P640" s="3" t="s">
        <v>2377</v>
      </c>
      <c r="Q640" s="3">
        <v>1.0</v>
      </c>
      <c r="R640" s="3">
        <v>613.0</v>
      </c>
      <c r="S640" s="3">
        <v>95.343925</v>
      </c>
      <c r="T640" s="3">
        <v>2.279907</v>
      </c>
      <c r="U640" s="3" t="s">
        <v>2376</v>
      </c>
      <c r="V640" s="3">
        <v>0.034026</v>
      </c>
      <c r="W640" s="3">
        <v>3067.0</v>
      </c>
      <c r="X640" s="3">
        <v>3112.0</v>
      </c>
      <c r="Y640" s="3">
        <v>97.0</v>
      </c>
      <c r="Z640" s="3">
        <v>423.0</v>
      </c>
      <c r="AA640" s="3">
        <v>346.0</v>
      </c>
      <c r="AB640" s="3">
        <v>960.0</v>
      </c>
      <c r="AC640" s="3">
        <v>1.0</v>
      </c>
    </row>
    <row r="641">
      <c r="A641" s="3">
        <v>639.0</v>
      </c>
      <c r="B641" s="3" t="s">
        <v>2373</v>
      </c>
      <c r="C641" s="3">
        <v>557.0</v>
      </c>
      <c r="D641" s="3" t="s">
        <v>145</v>
      </c>
      <c r="E641" s="3">
        <v>8.88582</v>
      </c>
      <c r="F641" s="3">
        <v>-82.499791</v>
      </c>
      <c r="G641" s="3">
        <v>70.0</v>
      </c>
      <c r="H641" s="3">
        <v>7.0</v>
      </c>
      <c r="I641" s="3" t="s">
        <v>146</v>
      </c>
      <c r="J641" s="3">
        <v>718.0</v>
      </c>
      <c r="K641" s="3">
        <v>724.0</v>
      </c>
      <c r="L641" s="3" t="s">
        <v>154</v>
      </c>
      <c r="M641" s="3">
        <v>1.0</v>
      </c>
      <c r="N641" s="3" t="s">
        <v>121</v>
      </c>
      <c r="O641" s="3" t="s">
        <v>2374</v>
      </c>
      <c r="P641" s="3" t="s">
        <v>2378</v>
      </c>
      <c r="Q641" s="3">
        <v>1.0</v>
      </c>
      <c r="R641" s="3">
        <v>506.0</v>
      </c>
      <c r="S641" s="3">
        <v>36.135686</v>
      </c>
      <c r="T641" s="3">
        <v>1.339368</v>
      </c>
      <c r="U641" s="3" t="s">
        <v>2376</v>
      </c>
      <c r="V641" s="3">
        <v>0.0</v>
      </c>
      <c r="W641" s="3">
        <v>3751.0</v>
      </c>
      <c r="X641" s="3">
        <v>3973.0</v>
      </c>
      <c r="Y641" s="3">
        <v>102.0</v>
      </c>
      <c r="Z641" s="3">
        <v>466.0</v>
      </c>
      <c r="AA641" s="3">
        <v>549.0</v>
      </c>
      <c r="AB641" s="3">
        <v>1320.0</v>
      </c>
      <c r="AC641" s="3">
        <v>1859.0</v>
      </c>
    </row>
    <row r="642">
      <c r="A642" s="3">
        <v>640.0</v>
      </c>
      <c r="B642" s="3" t="s">
        <v>2373</v>
      </c>
      <c r="C642" s="3">
        <v>558.0</v>
      </c>
      <c r="D642" s="3" t="s">
        <v>155</v>
      </c>
      <c r="E642" s="3">
        <v>8.88582</v>
      </c>
      <c r="F642" s="3">
        <v>-82.499791</v>
      </c>
      <c r="G642" s="3">
        <v>70.0</v>
      </c>
      <c r="H642" s="3">
        <v>7.0</v>
      </c>
      <c r="I642" s="3" t="s">
        <v>146</v>
      </c>
      <c r="J642" s="3">
        <v>718.0</v>
      </c>
      <c r="K642" s="3">
        <v>724.0</v>
      </c>
      <c r="L642" s="3" t="s">
        <v>154</v>
      </c>
      <c r="M642" s="3">
        <v>1.0</v>
      </c>
      <c r="N642" s="3" t="s">
        <v>121</v>
      </c>
      <c r="O642" s="3" t="s">
        <v>2374</v>
      </c>
      <c r="P642" s="3" t="s">
        <v>2378</v>
      </c>
      <c r="Q642" s="3">
        <v>1.0</v>
      </c>
      <c r="R642" s="3">
        <v>506.0</v>
      </c>
      <c r="S642" s="3">
        <v>36.135686</v>
      </c>
      <c r="T642" s="3">
        <v>1.339368</v>
      </c>
      <c r="U642" s="3" t="s">
        <v>2376</v>
      </c>
      <c r="V642" s="3">
        <v>0.0</v>
      </c>
      <c r="W642" s="3">
        <v>3751.0</v>
      </c>
      <c r="X642" s="3">
        <v>3973.0</v>
      </c>
      <c r="Y642" s="3">
        <v>102.0</v>
      </c>
      <c r="Z642" s="3">
        <v>466.0</v>
      </c>
      <c r="AA642" s="3">
        <v>549.0</v>
      </c>
      <c r="AB642" s="3">
        <v>1320.0</v>
      </c>
      <c r="AC642" s="3">
        <v>1859.0</v>
      </c>
    </row>
    <row r="643">
      <c r="A643" s="3">
        <v>641.0</v>
      </c>
      <c r="B643" s="3" t="s">
        <v>2373</v>
      </c>
      <c r="C643" s="3">
        <v>559.0</v>
      </c>
      <c r="D643" s="3" t="s">
        <v>2027</v>
      </c>
      <c r="E643" s="3">
        <v>8.88582</v>
      </c>
      <c r="F643" s="3">
        <v>-82.499791</v>
      </c>
      <c r="G643" s="3">
        <v>70.0</v>
      </c>
      <c r="H643" s="3">
        <v>7.0</v>
      </c>
      <c r="I643" s="3" t="s">
        <v>146</v>
      </c>
      <c r="J643" s="3">
        <v>718.0</v>
      </c>
      <c r="K643" s="3">
        <v>724.0</v>
      </c>
      <c r="L643" s="3" t="s">
        <v>154</v>
      </c>
      <c r="M643" s="3">
        <v>1.0</v>
      </c>
      <c r="N643" s="3" t="s">
        <v>121</v>
      </c>
      <c r="O643" s="3" t="s">
        <v>2374</v>
      </c>
      <c r="P643" s="3" t="s">
        <v>2378</v>
      </c>
      <c r="Q643" s="3">
        <v>1.0</v>
      </c>
      <c r="R643" s="3">
        <v>506.0</v>
      </c>
      <c r="S643" s="3">
        <v>36.135686</v>
      </c>
      <c r="T643" s="3">
        <v>1.339368</v>
      </c>
      <c r="U643" s="3" t="s">
        <v>2376</v>
      </c>
      <c r="V643" s="3">
        <v>0.0</v>
      </c>
      <c r="W643" s="3">
        <v>3751.0</v>
      </c>
      <c r="X643" s="3">
        <v>3973.0</v>
      </c>
      <c r="Y643" s="3">
        <v>102.0</v>
      </c>
      <c r="Z643" s="3">
        <v>466.0</v>
      </c>
      <c r="AA643" s="3">
        <v>549.0</v>
      </c>
      <c r="AB643" s="3">
        <v>1320.0</v>
      </c>
      <c r="AC643" s="3">
        <v>1859.0</v>
      </c>
    </row>
  </sheetData>
  <hyperlinks>
    <hyperlink r:id="rId1" ref="D21"/>
    <hyperlink r:id="rId2" ref="D28"/>
    <hyperlink r:id="rId3" ref="D63"/>
    <hyperlink r:id="rId4" ref="D83"/>
    <hyperlink r:id="rId5" ref="D100"/>
    <hyperlink r:id="rId6" ref="D112"/>
    <hyperlink r:id="rId7" ref="D119"/>
    <hyperlink r:id="rId8" ref="D147"/>
    <hyperlink r:id="rId9" ref="D154"/>
    <hyperlink r:id="rId10" ref="D174"/>
    <hyperlink r:id="rId11" ref="D182"/>
    <hyperlink r:id="rId12" ref="D205"/>
    <hyperlink r:id="rId13" ref="D216"/>
    <hyperlink r:id="rId14" ref="D243"/>
    <hyperlink r:id="rId15" ref="D249"/>
    <hyperlink r:id="rId16" ref="D275"/>
    <hyperlink r:id="rId17" ref="D299"/>
    <hyperlink r:id="rId18" ref="D306"/>
    <hyperlink r:id="rId19" ref="D321"/>
    <hyperlink r:id="rId20" ref="D329"/>
    <hyperlink r:id="rId21" ref="D340"/>
    <hyperlink r:id="rId22" ref="D348"/>
    <hyperlink r:id="rId23" ref="D372"/>
    <hyperlink r:id="rId24" ref="D387"/>
    <hyperlink r:id="rId25" ref="D402"/>
    <hyperlink r:id="rId26" ref="D424"/>
    <hyperlink r:id="rId27" ref="D456"/>
    <hyperlink r:id="rId28" ref="D546"/>
    <hyperlink r:id="rId29" ref="D554"/>
    <hyperlink r:id="rId30" ref="D608"/>
    <hyperlink r:id="rId31" ref="D635"/>
  </hyperlinks>
  <drawing r:id="rId3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2.86"/>
  </cols>
  <sheetData>
    <row r="1">
      <c r="A1" s="17" t="s">
        <v>2240</v>
      </c>
      <c r="C1" s="17" t="s">
        <v>2381</v>
      </c>
    </row>
    <row r="2">
      <c r="A2" s="79">
        <v>2050.0</v>
      </c>
      <c r="B2" s="80">
        <v>2.23566851E8</v>
      </c>
      <c r="C2" s="1">
        <f t="shared" ref="C2:C8" si="1">B2/1000000</f>
        <v>223.566851</v>
      </c>
    </row>
    <row r="3">
      <c r="A3" s="81">
        <v>2045.0</v>
      </c>
      <c r="B3" s="82">
        <v>2.19101877E8</v>
      </c>
      <c r="C3" s="1">
        <f t="shared" si="1"/>
        <v>219.101877</v>
      </c>
    </row>
    <row r="4">
      <c r="A4" s="79">
        <v>2040.0</v>
      </c>
      <c r="B4" s="80">
        <v>2.13441466E8</v>
      </c>
      <c r="C4" s="1">
        <f t="shared" si="1"/>
        <v>213.441466</v>
      </c>
    </row>
    <row r="5">
      <c r="A5" s="81">
        <v>2035.0</v>
      </c>
      <c r="B5" s="82">
        <v>2.06587982E8</v>
      </c>
      <c r="C5" s="1">
        <f t="shared" si="1"/>
        <v>206.587982</v>
      </c>
    </row>
    <row r="6">
      <c r="A6" s="79">
        <v>2030.0</v>
      </c>
      <c r="B6" s="80">
        <v>1.98571322E8</v>
      </c>
      <c r="C6" s="1">
        <f t="shared" si="1"/>
        <v>198.571322</v>
      </c>
    </row>
    <row r="7">
      <c r="A7" s="81">
        <v>2025.0</v>
      </c>
      <c r="B7" s="82">
        <v>1.89580526E8</v>
      </c>
      <c r="C7" s="1">
        <f t="shared" si="1"/>
        <v>189.580526</v>
      </c>
    </row>
    <row r="8">
      <c r="A8" s="79">
        <v>2020.0</v>
      </c>
      <c r="B8" s="80">
        <v>1.796702E8</v>
      </c>
      <c r="C8" s="1">
        <f t="shared" si="1"/>
        <v>179.6702</v>
      </c>
    </row>
    <row r="9">
      <c r="A9" s="81"/>
      <c r="B9" s="82"/>
    </row>
    <row r="10">
      <c r="A10" s="79"/>
      <c r="B10" s="80"/>
    </row>
    <row r="11">
      <c r="A11" s="81"/>
      <c r="B11" s="82"/>
    </row>
    <row r="12">
      <c r="A12" s="79"/>
      <c r="B12" s="80"/>
    </row>
    <row r="13">
      <c r="A13" s="81">
        <v>2015.0</v>
      </c>
      <c r="B13" s="82">
        <v>1.68949191E8</v>
      </c>
      <c r="C13" s="1">
        <f t="shared" ref="C13:C25" si="2">B13/1000000</f>
        <v>168.949191</v>
      </c>
    </row>
    <row r="14">
      <c r="A14" s="79">
        <v>2010.0</v>
      </c>
      <c r="B14" s="80">
        <v>1.57591319E8</v>
      </c>
      <c r="C14" s="1">
        <f t="shared" si="2"/>
        <v>157.591319</v>
      </c>
    </row>
    <row r="15">
      <c r="A15" s="81">
        <v>2005.0</v>
      </c>
      <c r="B15" s="82">
        <v>1.45950548E8</v>
      </c>
      <c r="C15" s="1">
        <f t="shared" si="2"/>
        <v>145.950548</v>
      </c>
    </row>
    <row r="16">
      <c r="A16" s="79">
        <v>2000.0</v>
      </c>
      <c r="B16" s="80">
        <v>1.3532235E8</v>
      </c>
      <c r="C16" s="1">
        <f t="shared" si="2"/>
        <v>135.32235</v>
      </c>
    </row>
    <row r="17">
      <c r="A17" s="81">
        <v>1995.0</v>
      </c>
      <c r="B17" s="82">
        <v>1.24553738E8</v>
      </c>
      <c r="C17" s="1">
        <f t="shared" si="2"/>
        <v>124.553738</v>
      </c>
    </row>
    <row r="18">
      <c r="A18" s="79">
        <v>1990.0</v>
      </c>
      <c r="B18" s="80">
        <v>1.13383693E8</v>
      </c>
      <c r="C18" s="1">
        <f t="shared" si="2"/>
        <v>113.383693</v>
      </c>
    </row>
    <row r="19">
      <c r="A19" s="81">
        <v>1985.0</v>
      </c>
      <c r="B19" s="82">
        <v>1.02296688E8</v>
      </c>
      <c r="C19" s="1">
        <f t="shared" si="2"/>
        <v>102.296688</v>
      </c>
    </row>
    <row r="20">
      <c r="A20" s="79">
        <v>1980.0</v>
      </c>
      <c r="B20" s="80">
        <v>9.1092382E7</v>
      </c>
      <c r="C20" s="1">
        <f t="shared" si="2"/>
        <v>91.092382</v>
      </c>
    </row>
    <row r="21">
      <c r="A21" s="81">
        <v>1975.0</v>
      </c>
      <c r="B21" s="82">
        <v>8.0129069E7</v>
      </c>
      <c r="C21" s="1">
        <f t="shared" si="2"/>
        <v>80.129069</v>
      </c>
    </row>
    <row r="22">
      <c r="A22" s="79">
        <v>1970.0</v>
      </c>
      <c r="B22" s="80">
        <v>6.9400453E7</v>
      </c>
      <c r="C22" s="1">
        <f t="shared" si="2"/>
        <v>69.400453</v>
      </c>
    </row>
    <row r="23">
      <c r="A23" s="81">
        <v>1965.0</v>
      </c>
      <c r="B23" s="82">
        <v>5.9622915E7</v>
      </c>
      <c r="C23" s="1">
        <f t="shared" si="2"/>
        <v>59.622915</v>
      </c>
    </row>
    <row r="24">
      <c r="A24" s="79">
        <v>1960.0</v>
      </c>
      <c r="B24" s="80">
        <v>5.1116534E7</v>
      </c>
      <c r="C24" s="1">
        <f t="shared" si="2"/>
        <v>51.116534</v>
      </c>
    </row>
    <row r="25">
      <c r="A25" s="83">
        <v>1955.0</v>
      </c>
      <c r="B25" s="84">
        <v>4.3859267E7</v>
      </c>
      <c r="C25" s="1">
        <f t="shared" si="2"/>
        <v>43.859267</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32.86"/>
    <col customWidth="1" min="4" max="4" width="20.14"/>
  </cols>
  <sheetData>
    <row r="1">
      <c r="A1" s="1" t="s">
        <v>0</v>
      </c>
      <c r="B1" s="1" t="s">
        <v>1</v>
      </c>
      <c r="C1" s="1" t="s">
        <v>2</v>
      </c>
      <c r="D1" s="1" t="s">
        <v>3</v>
      </c>
      <c r="E1" s="1" t="s">
        <v>4</v>
      </c>
      <c r="F1" s="1" t="s">
        <v>5</v>
      </c>
      <c r="G1" s="1" t="s">
        <v>6</v>
      </c>
      <c r="H1" s="1" t="s">
        <v>7</v>
      </c>
      <c r="I1" s="1" t="s">
        <v>8</v>
      </c>
      <c r="J1" s="1" t="s">
        <v>9</v>
      </c>
      <c r="K1" s="2" t="s">
        <v>10</v>
      </c>
      <c r="L1" s="2" t="s">
        <v>11</v>
      </c>
      <c r="M1" s="2" t="s">
        <v>12</v>
      </c>
      <c r="N1" s="1" t="s">
        <v>13</v>
      </c>
      <c r="O1" s="1" t="s">
        <v>14</v>
      </c>
      <c r="P1" s="1" t="s">
        <v>15</v>
      </c>
      <c r="Q1" s="1" t="s">
        <v>16</v>
      </c>
      <c r="R1" s="1" t="s">
        <v>17</v>
      </c>
      <c r="S1" s="1" t="s">
        <v>18</v>
      </c>
      <c r="T1" s="2" t="s">
        <v>19</v>
      </c>
      <c r="U1" s="1" t="s">
        <v>20</v>
      </c>
      <c r="V1" s="3" t="s">
        <v>21</v>
      </c>
      <c r="W1" s="1" t="s">
        <v>22</v>
      </c>
      <c r="X1" s="1" t="s">
        <v>23</v>
      </c>
      <c r="Y1" s="4" t="s">
        <v>24</v>
      </c>
      <c r="Z1" s="4" t="s">
        <v>24</v>
      </c>
      <c r="AA1" s="1" t="s">
        <v>25</v>
      </c>
      <c r="AB1" s="1" t="s">
        <v>26</v>
      </c>
      <c r="AC1" s="1" t="s">
        <v>27</v>
      </c>
      <c r="AD1" s="1" t="s">
        <v>28</v>
      </c>
      <c r="AE1" s="1" t="s">
        <v>29</v>
      </c>
      <c r="AF1" s="1" t="s">
        <v>30</v>
      </c>
      <c r="AG1" s="1" t="s">
        <v>31</v>
      </c>
      <c r="AH1" s="1" t="s">
        <v>32</v>
      </c>
      <c r="AI1" s="1" t="s">
        <v>33</v>
      </c>
      <c r="AJ1" s="1" t="s">
        <v>34</v>
      </c>
      <c r="AK1" s="1" t="s">
        <v>35</v>
      </c>
      <c r="AL1" s="1" t="s">
        <v>36</v>
      </c>
      <c r="AM1" s="1" t="s">
        <v>37</v>
      </c>
      <c r="AN1" s="1" t="s">
        <v>38</v>
      </c>
      <c r="AO1" s="1" t="s">
        <v>39</v>
      </c>
      <c r="AP1" s="1" t="s">
        <v>40</v>
      </c>
      <c r="AQ1" s="1" t="s">
        <v>41</v>
      </c>
      <c r="AR1" s="1" t="s">
        <v>42</v>
      </c>
      <c r="AS1" s="1" t="s">
        <v>43</v>
      </c>
      <c r="AT1" s="1" t="s">
        <v>44</v>
      </c>
      <c r="AU1" s="1" t="s">
        <v>45</v>
      </c>
      <c r="AV1" s="1" t="s">
        <v>46</v>
      </c>
      <c r="AW1" s="1" t="s">
        <v>47</v>
      </c>
      <c r="AX1" s="1" t="s">
        <v>48</v>
      </c>
      <c r="AY1" s="1" t="s">
        <v>49</v>
      </c>
      <c r="AZ1" s="1" t="s">
        <v>50</v>
      </c>
      <c r="BA1" s="1" t="s">
        <v>51</v>
      </c>
    </row>
    <row r="2">
      <c r="A2" s="1" t="s">
        <v>1815</v>
      </c>
      <c r="B2" s="1" t="s">
        <v>53</v>
      </c>
      <c r="C2" s="1">
        <v>1979.0</v>
      </c>
      <c r="D2" s="1" t="s">
        <v>1816</v>
      </c>
      <c r="E2" s="1" t="s">
        <v>1817</v>
      </c>
      <c r="F2" s="1" t="s">
        <v>1818</v>
      </c>
      <c r="I2" s="1">
        <v>206.0</v>
      </c>
      <c r="J2" s="1">
        <v>4416.0</v>
      </c>
      <c r="K2" s="2" t="s">
        <v>1819</v>
      </c>
      <c r="L2" s="2" t="s">
        <v>60</v>
      </c>
      <c r="M2" s="1" t="s">
        <v>1820</v>
      </c>
      <c r="N2" s="1" t="s">
        <v>62</v>
      </c>
      <c r="O2" s="1" t="s">
        <v>92</v>
      </c>
      <c r="P2" s="1" t="s">
        <v>1821</v>
      </c>
      <c r="Q2" s="1">
        <v>17.062554</v>
      </c>
      <c r="R2" s="1">
        <v>-89.405279</v>
      </c>
      <c r="S2" s="1" t="s">
        <v>148</v>
      </c>
      <c r="T2" s="2" t="s">
        <v>275</v>
      </c>
      <c r="U2" s="1" t="s">
        <v>173</v>
      </c>
      <c r="V2" s="3" t="s">
        <v>68</v>
      </c>
      <c r="W2" s="1" t="s">
        <v>278</v>
      </c>
      <c r="X2" s="1" t="s">
        <v>279</v>
      </c>
      <c r="Y2" s="6" t="s">
        <v>76</v>
      </c>
      <c r="Z2" s="3" t="s">
        <v>76</v>
      </c>
      <c r="AA2" s="1">
        <v>1.0</v>
      </c>
      <c r="AI2" s="2" t="s">
        <v>72</v>
      </c>
      <c r="AJ2" s="1">
        <v>-50.0</v>
      </c>
      <c r="AK2" s="1">
        <v>1950.0</v>
      </c>
      <c r="AL2" s="2" t="s">
        <v>100</v>
      </c>
      <c r="AM2" s="2" t="s">
        <v>72</v>
      </c>
      <c r="AN2" s="2" t="s">
        <v>72</v>
      </c>
      <c r="AO2" s="2" t="s">
        <v>101</v>
      </c>
      <c r="AQ2" s="2" t="s">
        <v>75</v>
      </c>
      <c r="AR2" s="2" t="s">
        <v>76</v>
      </c>
      <c r="AS2" s="1">
        <v>1794.0</v>
      </c>
      <c r="AT2" s="1">
        <v>259.0</v>
      </c>
      <c r="AU2" s="1">
        <v>723.0</v>
      </c>
      <c r="AV2" s="1">
        <v>40.0</v>
      </c>
      <c r="AW2" s="1">
        <v>146.0</v>
      </c>
      <c r="AX2" s="1">
        <v>5515.0</v>
      </c>
      <c r="AY2" s="1">
        <v>265.0</v>
      </c>
      <c r="AZ2" s="1" t="s">
        <v>133</v>
      </c>
      <c r="BA2" s="1" t="s">
        <v>121</v>
      </c>
    </row>
    <row r="3">
      <c r="A3" s="1" t="s">
        <v>1815</v>
      </c>
      <c r="B3" s="1" t="s">
        <v>53</v>
      </c>
      <c r="C3" s="1">
        <v>1979.0</v>
      </c>
      <c r="D3" s="1" t="s">
        <v>1816</v>
      </c>
      <c r="E3" s="1" t="s">
        <v>1817</v>
      </c>
      <c r="F3" s="1" t="s">
        <v>1818</v>
      </c>
      <c r="I3" s="1">
        <v>206.0</v>
      </c>
      <c r="J3" s="1">
        <v>4416.0</v>
      </c>
      <c r="K3" s="2" t="s">
        <v>1819</v>
      </c>
      <c r="L3" s="2" t="s">
        <v>60</v>
      </c>
      <c r="M3" s="1" t="s">
        <v>1822</v>
      </c>
      <c r="N3" s="1" t="s">
        <v>62</v>
      </c>
      <c r="O3" s="1" t="s">
        <v>92</v>
      </c>
      <c r="P3" s="1" t="s">
        <v>1823</v>
      </c>
      <c r="Q3" s="1">
        <v>17.061405</v>
      </c>
      <c r="R3" s="1">
        <v>-89.363565</v>
      </c>
      <c r="S3" s="1" t="s">
        <v>148</v>
      </c>
      <c r="T3" s="2" t="s">
        <v>275</v>
      </c>
      <c r="U3" s="1" t="s">
        <v>173</v>
      </c>
      <c r="V3" s="3" t="s">
        <v>68</v>
      </c>
      <c r="W3" s="1" t="s">
        <v>278</v>
      </c>
      <c r="X3" s="1" t="s">
        <v>279</v>
      </c>
      <c r="Y3" s="6" t="s">
        <v>76</v>
      </c>
      <c r="Z3" s="3" t="s">
        <v>76</v>
      </c>
      <c r="AA3" s="1">
        <v>1.0</v>
      </c>
      <c r="AI3" s="2" t="s">
        <v>72</v>
      </c>
      <c r="AJ3" s="1">
        <v>-2800.0</v>
      </c>
      <c r="AK3" s="1">
        <v>1950.0</v>
      </c>
      <c r="AL3" s="2" t="s">
        <v>100</v>
      </c>
      <c r="AM3" s="2" t="s">
        <v>72</v>
      </c>
      <c r="AN3" s="2" t="s">
        <v>72</v>
      </c>
      <c r="AO3" s="2" t="s">
        <v>101</v>
      </c>
      <c r="AQ3" s="2" t="s">
        <v>75</v>
      </c>
      <c r="AR3" s="2" t="s">
        <v>76</v>
      </c>
      <c r="AS3" s="1">
        <v>1804.0</v>
      </c>
      <c r="AT3" s="1">
        <v>1804.0</v>
      </c>
      <c r="AU3" s="1">
        <v>728.0</v>
      </c>
      <c r="AV3" s="1">
        <v>40.0</v>
      </c>
      <c r="AW3" s="1">
        <v>147.0</v>
      </c>
      <c r="AX3" s="1">
        <v>5487.0</v>
      </c>
      <c r="AY3" s="1">
        <v>275.0</v>
      </c>
      <c r="AZ3" s="1" t="s">
        <v>133</v>
      </c>
      <c r="BA3" s="1" t="s">
        <v>121</v>
      </c>
    </row>
    <row r="4">
      <c r="A4" s="1" t="s">
        <v>1815</v>
      </c>
      <c r="B4" s="1" t="s">
        <v>53</v>
      </c>
      <c r="C4" s="1">
        <v>1979.0</v>
      </c>
      <c r="D4" s="1" t="s">
        <v>1816</v>
      </c>
      <c r="E4" s="1" t="s">
        <v>1817</v>
      </c>
      <c r="F4" s="1" t="s">
        <v>1818</v>
      </c>
      <c r="I4" s="1">
        <v>206.0</v>
      </c>
      <c r="J4" s="1">
        <v>4416.0</v>
      </c>
      <c r="K4" s="2" t="s">
        <v>1819</v>
      </c>
      <c r="L4" s="2" t="s">
        <v>60</v>
      </c>
      <c r="M4" s="1" t="s">
        <v>1824</v>
      </c>
      <c r="N4" s="1" t="s">
        <v>62</v>
      </c>
      <c r="O4" s="1" t="s">
        <v>92</v>
      </c>
      <c r="P4" s="1" t="s">
        <v>1821</v>
      </c>
      <c r="Q4" s="1">
        <v>17.061405</v>
      </c>
      <c r="R4" s="1">
        <v>-89.363565</v>
      </c>
      <c r="S4" s="1" t="s">
        <v>148</v>
      </c>
      <c r="T4" s="2" t="s">
        <v>169</v>
      </c>
      <c r="U4" s="1" t="s">
        <v>1825</v>
      </c>
      <c r="V4" s="3" t="s">
        <v>68</v>
      </c>
      <c r="W4" s="2" t="s">
        <v>72</v>
      </c>
      <c r="X4" s="2" t="s">
        <v>1826</v>
      </c>
      <c r="Y4" s="6" t="s">
        <v>76</v>
      </c>
      <c r="Z4" s="3" t="s">
        <v>76</v>
      </c>
      <c r="AA4" s="1">
        <v>1.0</v>
      </c>
      <c r="AI4" s="2" t="s">
        <v>72</v>
      </c>
      <c r="AJ4" s="1">
        <v>-50.0</v>
      </c>
      <c r="AK4" s="1">
        <v>1950.0</v>
      </c>
      <c r="AL4" s="2" t="s">
        <v>100</v>
      </c>
      <c r="AM4" s="2" t="s">
        <v>72</v>
      </c>
      <c r="AN4" s="2" t="s">
        <v>72</v>
      </c>
      <c r="AO4" s="2" t="s">
        <v>101</v>
      </c>
      <c r="AQ4" s="2" t="s">
        <v>75</v>
      </c>
      <c r="AR4" s="2" t="s">
        <v>76</v>
      </c>
      <c r="AS4" s="1">
        <v>1804.0</v>
      </c>
      <c r="AT4" s="1">
        <v>1804.0</v>
      </c>
      <c r="AU4" s="1">
        <v>728.0</v>
      </c>
      <c r="AV4" s="1">
        <v>40.0</v>
      </c>
      <c r="AW4" s="1">
        <v>147.0</v>
      </c>
      <c r="AX4" s="1">
        <v>5487.0</v>
      </c>
      <c r="AY4" s="1">
        <v>275.0</v>
      </c>
      <c r="AZ4" s="1" t="s">
        <v>133</v>
      </c>
      <c r="BA4" s="1" t="s">
        <v>121</v>
      </c>
    </row>
    <row r="5">
      <c r="A5" s="1" t="s">
        <v>1815</v>
      </c>
      <c r="B5" s="1" t="s">
        <v>53</v>
      </c>
      <c r="C5" s="1">
        <v>1979.0</v>
      </c>
      <c r="D5" s="1" t="s">
        <v>1816</v>
      </c>
      <c r="E5" s="1" t="s">
        <v>1817</v>
      </c>
      <c r="F5" s="1" t="s">
        <v>1818</v>
      </c>
      <c r="I5" s="1">
        <v>206.0</v>
      </c>
      <c r="J5" s="1">
        <v>4416.0</v>
      </c>
      <c r="K5" s="2" t="s">
        <v>1819</v>
      </c>
      <c r="L5" s="2" t="s">
        <v>60</v>
      </c>
      <c r="M5" s="1" t="s">
        <v>1827</v>
      </c>
      <c r="N5" s="1" t="s">
        <v>62</v>
      </c>
      <c r="O5" s="1" t="s">
        <v>92</v>
      </c>
      <c r="P5" s="1" t="s">
        <v>1823</v>
      </c>
      <c r="Q5" s="1">
        <v>17.061405</v>
      </c>
      <c r="R5" s="1">
        <v>-89.363565</v>
      </c>
      <c r="S5" s="1" t="s">
        <v>148</v>
      </c>
      <c r="T5" s="2" t="s">
        <v>169</v>
      </c>
      <c r="U5" s="1" t="s">
        <v>1825</v>
      </c>
      <c r="V5" s="3" t="s">
        <v>68</v>
      </c>
      <c r="W5" s="2" t="s">
        <v>72</v>
      </c>
      <c r="X5" s="2" t="s">
        <v>1826</v>
      </c>
      <c r="Y5" s="6" t="s">
        <v>76</v>
      </c>
      <c r="Z5" s="3" t="s">
        <v>76</v>
      </c>
      <c r="AA5" s="1">
        <v>1.0</v>
      </c>
      <c r="AI5" s="2" t="s">
        <v>72</v>
      </c>
      <c r="AJ5" s="1">
        <v>-2800.0</v>
      </c>
      <c r="AK5" s="1">
        <v>1950.0</v>
      </c>
      <c r="AL5" s="2" t="s">
        <v>100</v>
      </c>
      <c r="AM5" s="2" t="s">
        <v>72</v>
      </c>
      <c r="AN5" s="2" t="s">
        <v>72</v>
      </c>
      <c r="AO5" s="2" t="s">
        <v>101</v>
      </c>
      <c r="AQ5" s="2" t="s">
        <v>75</v>
      </c>
      <c r="AR5" s="2" t="s">
        <v>76</v>
      </c>
      <c r="AS5" s="1">
        <v>1804.0</v>
      </c>
      <c r="AT5" s="1">
        <v>1804.0</v>
      </c>
      <c r="AU5" s="1">
        <v>728.0</v>
      </c>
      <c r="AV5" s="1">
        <v>40.0</v>
      </c>
      <c r="AW5" s="1">
        <v>147.0</v>
      </c>
      <c r="AX5" s="1">
        <v>5487.0</v>
      </c>
      <c r="AY5" s="1">
        <v>275.0</v>
      </c>
      <c r="AZ5" s="1" t="s">
        <v>133</v>
      </c>
      <c r="BA5" s="1" t="s">
        <v>121</v>
      </c>
    </row>
    <row r="6">
      <c r="A6" s="1" t="s">
        <v>1815</v>
      </c>
      <c r="B6" s="1" t="s">
        <v>53</v>
      </c>
      <c r="C6" s="1">
        <v>1979.0</v>
      </c>
      <c r="D6" s="1" t="s">
        <v>1816</v>
      </c>
      <c r="E6" s="1" t="s">
        <v>1817</v>
      </c>
      <c r="F6" s="1" t="s">
        <v>1818</v>
      </c>
      <c r="I6" s="1">
        <v>206.0</v>
      </c>
      <c r="J6" s="1">
        <v>4416.0</v>
      </c>
      <c r="K6" s="2" t="s">
        <v>1819</v>
      </c>
      <c r="L6" s="2" t="s">
        <v>60</v>
      </c>
      <c r="M6" s="1" t="s">
        <v>1828</v>
      </c>
      <c r="N6" s="1" t="s">
        <v>62</v>
      </c>
      <c r="O6" s="1" t="s">
        <v>92</v>
      </c>
      <c r="P6" s="1" t="s">
        <v>1821</v>
      </c>
      <c r="Q6" s="1">
        <v>17.062554</v>
      </c>
      <c r="R6" s="1">
        <v>-89.405279</v>
      </c>
      <c r="S6" s="1" t="s">
        <v>148</v>
      </c>
      <c r="T6" s="2" t="s">
        <v>66</v>
      </c>
      <c r="U6" s="1" t="s">
        <v>823</v>
      </c>
      <c r="V6" s="3" t="s">
        <v>68</v>
      </c>
      <c r="W6" s="2" t="s">
        <v>72</v>
      </c>
      <c r="X6" s="1" t="s">
        <v>70</v>
      </c>
      <c r="Y6" s="5" t="s">
        <v>76</v>
      </c>
      <c r="Z6" s="3" t="s">
        <v>76</v>
      </c>
      <c r="AA6" s="1">
        <v>1.0</v>
      </c>
      <c r="AI6" s="2" t="s">
        <v>72</v>
      </c>
      <c r="AJ6" s="1">
        <v>-50.0</v>
      </c>
      <c r="AK6" s="1">
        <v>1950.0</v>
      </c>
      <c r="AL6" s="2" t="s">
        <v>100</v>
      </c>
      <c r="AM6" s="2" t="s">
        <v>72</v>
      </c>
      <c r="AN6" s="2" t="s">
        <v>72</v>
      </c>
      <c r="AO6" s="2" t="s">
        <v>101</v>
      </c>
      <c r="AQ6" s="2" t="s">
        <v>75</v>
      </c>
      <c r="AR6" s="2" t="s">
        <v>76</v>
      </c>
      <c r="AS6" s="1">
        <v>1794.0</v>
      </c>
      <c r="AT6" s="1">
        <v>1794.0</v>
      </c>
      <c r="AU6" s="1">
        <v>723.0</v>
      </c>
      <c r="AV6" s="1">
        <v>40.0</v>
      </c>
      <c r="AW6" s="1">
        <v>146.0</v>
      </c>
      <c r="AX6" s="1">
        <v>5515.0</v>
      </c>
      <c r="AY6" s="1">
        <v>265.0</v>
      </c>
      <c r="AZ6" s="1" t="s">
        <v>133</v>
      </c>
      <c r="BA6" s="1" t="s">
        <v>121</v>
      </c>
    </row>
    <row r="7">
      <c r="A7" s="1" t="s">
        <v>1815</v>
      </c>
      <c r="B7" s="1" t="s">
        <v>53</v>
      </c>
      <c r="C7" s="1">
        <v>1979.0</v>
      </c>
      <c r="D7" s="1" t="s">
        <v>1816</v>
      </c>
      <c r="E7" s="1" t="s">
        <v>1817</v>
      </c>
      <c r="F7" s="1" t="s">
        <v>1818</v>
      </c>
      <c r="I7" s="1">
        <v>206.0</v>
      </c>
      <c r="J7" s="1">
        <v>4416.0</v>
      </c>
      <c r="K7" s="2" t="s">
        <v>1819</v>
      </c>
      <c r="L7" s="2" t="s">
        <v>60</v>
      </c>
      <c r="M7" s="1" t="s">
        <v>1829</v>
      </c>
      <c r="N7" s="1" t="s">
        <v>62</v>
      </c>
      <c r="O7" s="1" t="s">
        <v>92</v>
      </c>
      <c r="P7" s="1" t="s">
        <v>1823</v>
      </c>
      <c r="Q7" s="1">
        <v>17.061405</v>
      </c>
      <c r="R7" s="1">
        <v>-89.363565</v>
      </c>
      <c r="S7" s="1" t="s">
        <v>148</v>
      </c>
      <c r="T7" s="2" t="s">
        <v>66</v>
      </c>
      <c r="U7" s="1" t="s">
        <v>823</v>
      </c>
      <c r="V7" s="3" t="s">
        <v>68</v>
      </c>
      <c r="W7" s="2" t="s">
        <v>72</v>
      </c>
      <c r="X7" s="1" t="s">
        <v>70</v>
      </c>
      <c r="Y7" s="5" t="s">
        <v>76</v>
      </c>
      <c r="Z7" s="3" t="s">
        <v>76</v>
      </c>
      <c r="AA7" s="1">
        <v>1.0</v>
      </c>
      <c r="AI7" s="2" t="s">
        <v>72</v>
      </c>
      <c r="AJ7" s="1">
        <v>-2800.0</v>
      </c>
      <c r="AK7" s="1">
        <v>1950.0</v>
      </c>
      <c r="AL7" s="2" t="s">
        <v>100</v>
      </c>
      <c r="AM7" s="2" t="s">
        <v>72</v>
      </c>
      <c r="AN7" s="2" t="s">
        <v>72</v>
      </c>
      <c r="AO7" s="2" t="s">
        <v>101</v>
      </c>
      <c r="AQ7" s="2" t="s">
        <v>75</v>
      </c>
      <c r="AR7" s="2" t="s">
        <v>76</v>
      </c>
      <c r="AS7" s="1">
        <v>1804.0</v>
      </c>
      <c r="AT7" s="1">
        <v>1804.0</v>
      </c>
      <c r="AU7" s="1">
        <v>728.0</v>
      </c>
      <c r="AV7" s="1">
        <v>40.0</v>
      </c>
      <c r="AW7" s="1">
        <v>147.0</v>
      </c>
      <c r="AX7" s="1">
        <v>5487.0</v>
      </c>
      <c r="AY7" s="1">
        <v>275.0</v>
      </c>
      <c r="AZ7" s="1" t="s">
        <v>133</v>
      </c>
      <c r="BA7" s="1" t="s">
        <v>121</v>
      </c>
    </row>
    <row r="8">
      <c r="A8" s="1" t="s">
        <v>1515</v>
      </c>
      <c r="B8" s="1" t="s">
        <v>53</v>
      </c>
      <c r="C8" s="1">
        <v>1987.0</v>
      </c>
      <c r="D8" s="1" t="s">
        <v>1516</v>
      </c>
      <c r="E8" s="1" t="s">
        <v>1517</v>
      </c>
      <c r="F8" s="1" t="s">
        <v>303</v>
      </c>
      <c r="G8" s="1" t="s">
        <v>1518</v>
      </c>
      <c r="H8" s="1" t="s">
        <v>1519</v>
      </c>
      <c r="I8" s="1">
        <v>28.0</v>
      </c>
      <c r="J8" s="1">
        <v>3.0</v>
      </c>
      <c r="K8" s="2" t="s">
        <v>1520</v>
      </c>
      <c r="L8" s="2" t="s">
        <v>76</v>
      </c>
      <c r="M8" s="1" t="s">
        <v>1515</v>
      </c>
      <c r="N8" s="1" t="s">
        <v>62</v>
      </c>
      <c r="O8" s="1" t="s">
        <v>167</v>
      </c>
      <c r="P8" s="1" t="s">
        <v>878</v>
      </c>
      <c r="Q8" s="1">
        <v>16.983333</v>
      </c>
      <c r="R8" s="1">
        <v>-89.666667</v>
      </c>
      <c r="S8" s="1" t="s">
        <v>148</v>
      </c>
      <c r="T8" s="2" t="s">
        <v>66</v>
      </c>
      <c r="U8" s="1" t="s">
        <v>823</v>
      </c>
      <c r="V8" s="3" t="s">
        <v>68</v>
      </c>
      <c r="W8" s="2" t="s">
        <v>72</v>
      </c>
      <c r="X8" s="1" t="s">
        <v>70</v>
      </c>
      <c r="Y8" s="5" t="s">
        <v>76</v>
      </c>
      <c r="Z8" s="3" t="s">
        <v>76</v>
      </c>
      <c r="AA8" s="1">
        <v>1.0</v>
      </c>
      <c r="AI8" s="2" t="s">
        <v>72</v>
      </c>
      <c r="AJ8" s="2" t="s">
        <v>72</v>
      </c>
      <c r="AK8" s="2" t="s">
        <v>72</v>
      </c>
      <c r="AL8" s="2" t="s">
        <v>100</v>
      </c>
      <c r="AM8" s="2" t="s">
        <v>72</v>
      </c>
      <c r="AN8" s="2" t="s">
        <v>72</v>
      </c>
      <c r="AO8" s="2" t="s">
        <v>101</v>
      </c>
      <c r="AQ8" s="2" t="s">
        <v>75</v>
      </c>
      <c r="AR8" s="2" t="s">
        <v>76</v>
      </c>
      <c r="AS8" s="1">
        <v>1756.0</v>
      </c>
      <c r="AT8" s="1">
        <v>1756.0</v>
      </c>
      <c r="AU8" s="1">
        <v>708.0</v>
      </c>
      <c r="AV8" s="1">
        <v>37.0</v>
      </c>
      <c r="AW8" s="1">
        <v>139.0</v>
      </c>
      <c r="AX8" s="1">
        <v>5736.0</v>
      </c>
      <c r="AY8" s="1">
        <v>114.0</v>
      </c>
      <c r="AZ8" s="1" t="s">
        <v>133</v>
      </c>
      <c r="BA8" s="1" t="s">
        <v>121</v>
      </c>
    </row>
    <row r="9">
      <c r="A9" s="1" t="s">
        <v>1221</v>
      </c>
      <c r="B9" s="1" t="s">
        <v>53</v>
      </c>
      <c r="C9" s="1">
        <v>1987.0</v>
      </c>
      <c r="D9" s="1" t="s">
        <v>1222</v>
      </c>
      <c r="E9" s="1" t="s">
        <v>1223</v>
      </c>
      <c r="F9" s="1" t="s">
        <v>1224</v>
      </c>
      <c r="H9" s="1" t="s">
        <v>1225</v>
      </c>
      <c r="I9" s="1">
        <v>326.0</v>
      </c>
      <c r="J9" s="1">
        <v>6110.0</v>
      </c>
      <c r="K9" s="2" t="s">
        <v>1226</v>
      </c>
      <c r="L9" s="2" t="s">
        <v>60</v>
      </c>
      <c r="M9" s="1" t="s">
        <v>1227</v>
      </c>
      <c r="N9" s="1" t="s">
        <v>62</v>
      </c>
      <c r="O9" s="1" t="s">
        <v>63</v>
      </c>
      <c r="P9" s="1" t="s">
        <v>1228</v>
      </c>
      <c r="Q9" s="1">
        <v>14.873719</v>
      </c>
      <c r="R9" s="1">
        <v>-87.983813</v>
      </c>
      <c r="S9" s="1" t="s">
        <v>148</v>
      </c>
      <c r="T9" s="2" t="s">
        <v>66</v>
      </c>
      <c r="U9" s="3" t="s">
        <v>1229</v>
      </c>
      <c r="V9" s="3" t="s">
        <v>68</v>
      </c>
      <c r="W9" s="2" t="s">
        <v>72</v>
      </c>
      <c r="X9" s="1" t="s">
        <v>70</v>
      </c>
      <c r="Y9" s="5" t="s">
        <v>60</v>
      </c>
      <c r="Z9" s="3" t="s">
        <v>1230</v>
      </c>
      <c r="AB9" s="1">
        <v>1.0</v>
      </c>
      <c r="AI9" s="1" t="s">
        <v>1231</v>
      </c>
      <c r="AJ9" s="1">
        <v>-2820.0</v>
      </c>
      <c r="AK9" s="1">
        <v>1950.0</v>
      </c>
      <c r="AL9" s="2" t="s">
        <v>73</v>
      </c>
      <c r="AM9" s="2" t="s">
        <v>72</v>
      </c>
      <c r="AN9" s="2" t="s">
        <v>72</v>
      </c>
      <c r="AO9" s="2" t="s">
        <v>60</v>
      </c>
      <c r="AQ9" s="2" t="s">
        <v>75</v>
      </c>
      <c r="AR9" s="2" t="s">
        <v>76</v>
      </c>
      <c r="AS9" s="1">
        <v>2246.0</v>
      </c>
      <c r="AT9" s="1">
        <v>2246.0</v>
      </c>
      <c r="AU9" s="1">
        <v>1016.0</v>
      </c>
      <c r="AV9" s="1">
        <v>45.0</v>
      </c>
      <c r="AW9" s="1">
        <v>160.0</v>
      </c>
      <c r="AX9" s="1">
        <v>6470.0</v>
      </c>
      <c r="AY9" s="1">
        <v>635.0</v>
      </c>
      <c r="AZ9" s="1" t="s">
        <v>1232</v>
      </c>
      <c r="BA9" s="1" t="s">
        <v>121</v>
      </c>
    </row>
    <row r="10">
      <c r="A10" s="1" t="s">
        <v>1221</v>
      </c>
      <c r="B10" s="1" t="s">
        <v>53</v>
      </c>
      <c r="C10" s="1">
        <v>1987.0</v>
      </c>
      <c r="D10" s="1" t="s">
        <v>1222</v>
      </c>
      <c r="E10" s="1" t="s">
        <v>1223</v>
      </c>
      <c r="F10" s="1" t="s">
        <v>1224</v>
      </c>
      <c r="H10" s="1" t="s">
        <v>1225</v>
      </c>
      <c r="I10" s="1">
        <v>326.0</v>
      </c>
      <c r="J10" s="1">
        <v>6110.0</v>
      </c>
      <c r="K10" s="2" t="s">
        <v>1226</v>
      </c>
      <c r="L10" s="2" t="s">
        <v>60</v>
      </c>
      <c r="M10" s="1" t="s">
        <v>1233</v>
      </c>
      <c r="N10" s="1" t="s">
        <v>62</v>
      </c>
      <c r="O10" s="1" t="s">
        <v>63</v>
      </c>
      <c r="P10" s="1" t="s">
        <v>1234</v>
      </c>
      <c r="Q10" s="1">
        <v>14.867</v>
      </c>
      <c r="R10" s="1">
        <v>-89.125</v>
      </c>
      <c r="S10" s="1" t="s">
        <v>114</v>
      </c>
      <c r="T10" s="2" t="s">
        <v>66</v>
      </c>
      <c r="U10" s="3" t="s">
        <v>1229</v>
      </c>
      <c r="V10" s="3" t="s">
        <v>68</v>
      </c>
      <c r="W10" s="2" t="s">
        <v>72</v>
      </c>
      <c r="X10" s="1" t="s">
        <v>70</v>
      </c>
      <c r="Y10" s="5" t="s">
        <v>60</v>
      </c>
      <c r="Z10" s="3" t="s">
        <v>1230</v>
      </c>
      <c r="AB10" s="1">
        <v>2.0</v>
      </c>
      <c r="AI10" s="1" t="s">
        <v>706</v>
      </c>
      <c r="AJ10" s="1">
        <v>1010.0</v>
      </c>
      <c r="AK10" s="1">
        <v>1950.0</v>
      </c>
      <c r="AL10" s="2" t="s">
        <v>73</v>
      </c>
      <c r="AM10" s="2" t="s">
        <v>72</v>
      </c>
      <c r="AN10" s="2" t="s">
        <v>72</v>
      </c>
      <c r="AO10" s="2" t="s">
        <v>60</v>
      </c>
      <c r="AQ10" s="2" t="s">
        <v>75</v>
      </c>
      <c r="AR10" s="2" t="s">
        <v>76</v>
      </c>
      <c r="AS10" s="1">
        <v>1510.0</v>
      </c>
      <c r="AT10" s="1">
        <v>1510.0</v>
      </c>
      <c r="AU10" s="1">
        <v>719.0</v>
      </c>
      <c r="AV10" s="1">
        <v>20.0</v>
      </c>
      <c r="AW10" s="1">
        <v>74.0</v>
      </c>
      <c r="AX10" s="1">
        <v>7799.0</v>
      </c>
      <c r="AY10" s="1">
        <v>784.0</v>
      </c>
      <c r="AZ10" s="1" t="s">
        <v>77</v>
      </c>
      <c r="BA10" s="1" t="s">
        <v>78</v>
      </c>
    </row>
    <row r="11">
      <c r="A11" s="1" t="s">
        <v>805</v>
      </c>
      <c r="B11" s="1" t="s">
        <v>53</v>
      </c>
      <c r="C11" s="1">
        <v>1990.0</v>
      </c>
      <c r="D11" s="1" t="s">
        <v>806</v>
      </c>
      <c r="E11" s="1" t="s">
        <v>807</v>
      </c>
      <c r="F11" s="1" t="s">
        <v>732</v>
      </c>
      <c r="G11" s="1" t="s">
        <v>808</v>
      </c>
      <c r="H11" s="1" t="s">
        <v>809</v>
      </c>
      <c r="I11" s="1">
        <v>4.0</v>
      </c>
      <c r="J11" s="1">
        <v>3.0</v>
      </c>
      <c r="K11" s="2" t="s">
        <v>810</v>
      </c>
      <c r="L11" s="2" t="s">
        <v>60</v>
      </c>
      <c r="M11" s="1" t="s">
        <v>811</v>
      </c>
      <c r="N11" s="1" t="s">
        <v>62</v>
      </c>
      <c r="O11" s="1" t="s">
        <v>167</v>
      </c>
      <c r="P11" s="1" t="s">
        <v>812</v>
      </c>
      <c r="Q11" s="1">
        <v>16.85</v>
      </c>
      <c r="R11" s="1">
        <v>-90.133333</v>
      </c>
      <c r="S11" s="1" t="s">
        <v>148</v>
      </c>
      <c r="T11" s="2" t="s">
        <v>189</v>
      </c>
      <c r="U11" s="2" t="s">
        <v>813</v>
      </c>
      <c r="V11" s="3" t="s">
        <v>68</v>
      </c>
      <c r="W11" s="1" t="s">
        <v>814</v>
      </c>
      <c r="X11" s="1" t="s">
        <v>70</v>
      </c>
      <c r="Y11" s="6" t="s">
        <v>76</v>
      </c>
      <c r="Z11" s="3" t="s">
        <v>76</v>
      </c>
      <c r="AD11" s="1">
        <v>1.0</v>
      </c>
      <c r="AI11" s="2" t="s">
        <v>72</v>
      </c>
      <c r="AJ11" s="1">
        <v>1645.0</v>
      </c>
      <c r="AK11" s="1">
        <v>1950.0</v>
      </c>
      <c r="AL11" s="3" t="s">
        <v>153</v>
      </c>
      <c r="AM11" s="2" t="s">
        <v>72</v>
      </c>
      <c r="AN11" s="2" t="s">
        <v>72</v>
      </c>
      <c r="AO11" s="2" t="s">
        <v>72</v>
      </c>
      <c r="AQ11" s="2" t="s">
        <v>75</v>
      </c>
      <c r="AR11" s="2" t="s">
        <v>76</v>
      </c>
      <c r="AS11" s="1">
        <v>2170.0</v>
      </c>
      <c r="AT11" s="1">
        <v>2170.0</v>
      </c>
      <c r="AU11" s="1">
        <v>883.0</v>
      </c>
      <c r="AV11" s="1">
        <v>50.0</v>
      </c>
      <c r="AW11" s="1">
        <v>177.0</v>
      </c>
      <c r="AX11" s="1">
        <v>5759.0</v>
      </c>
      <c r="AY11" s="1">
        <v>188.0</v>
      </c>
      <c r="AZ11" s="1" t="s">
        <v>133</v>
      </c>
      <c r="BA11" s="1" t="s">
        <v>121</v>
      </c>
    </row>
    <row r="12">
      <c r="A12" s="1" t="s">
        <v>805</v>
      </c>
      <c r="B12" s="1" t="s">
        <v>53</v>
      </c>
      <c r="C12" s="1">
        <v>1990.0</v>
      </c>
      <c r="D12" s="1" t="s">
        <v>806</v>
      </c>
      <c r="E12" s="1" t="s">
        <v>807</v>
      </c>
      <c r="F12" s="1" t="s">
        <v>732</v>
      </c>
      <c r="G12" s="1" t="s">
        <v>808</v>
      </c>
      <c r="H12" s="1" t="s">
        <v>809</v>
      </c>
      <c r="I12" s="1">
        <v>4.0</v>
      </c>
      <c r="J12" s="1">
        <v>3.0</v>
      </c>
      <c r="K12" s="2" t="s">
        <v>810</v>
      </c>
      <c r="L12" s="2" t="s">
        <v>60</v>
      </c>
      <c r="M12" s="1" t="s">
        <v>815</v>
      </c>
      <c r="N12" s="1" t="s">
        <v>62</v>
      </c>
      <c r="O12" s="1" t="s">
        <v>167</v>
      </c>
      <c r="P12" s="1" t="s">
        <v>816</v>
      </c>
      <c r="Q12" s="1">
        <v>16.8</v>
      </c>
      <c r="R12" s="1">
        <v>-90.033333</v>
      </c>
      <c r="S12" s="1" t="s">
        <v>148</v>
      </c>
      <c r="T12" s="2" t="s">
        <v>189</v>
      </c>
      <c r="U12" s="2" t="s">
        <v>813</v>
      </c>
      <c r="V12" s="3" t="s">
        <v>68</v>
      </c>
      <c r="W12" s="1" t="s">
        <v>814</v>
      </c>
      <c r="X12" s="1" t="s">
        <v>70</v>
      </c>
      <c r="Y12" s="6" t="s">
        <v>76</v>
      </c>
      <c r="Z12" s="3" t="s">
        <v>76</v>
      </c>
      <c r="AB12" s="1">
        <v>1.0</v>
      </c>
      <c r="AD12" s="1">
        <v>1.0</v>
      </c>
      <c r="AI12" s="2" t="s">
        <v>72</v>
      </c>
      <c r="AJ12" s="1">
        <v>1645.0</v>
      </c>
      <c r="AK12" s="1">
        <v>1950.0</v>
      </c>
      <c r="AL12" s="2" t="s">
        <v>73</v>
      </c>
      <c r="AM12" s="2" t="s">
        <v>72</v>
      </c>
      <c r="AN12" s="2" t="s">
        <v>72</v>
      </c>
      <c r="AO12" s="2" t="s">
        <v>72</v>
      </c>
      <c r="AQ12" s="2" t="s">
        <v>75</v>
      </c>
      <c r="AR12" s="2" t="s">
        <v>76</v>
      </c>
      <c r="AS12" s="1">
        <v>2162.0</v>
      </c>
      <c r="AT12" s="1">
        <v>2162.0</v>
      </c>
      <c r="AU12" s="1">
        <v>878.0</v>
      </c>
      <c r="AV12" s="1">
        <v>49.0</v>
      </c>
      <c r="AW12" s="1">
        <v>180.0</v>
      </c>
      <c r="AX12" s="1">
        <v>5673.0</v>
      </c>
      <c r="AY12" s="1">
        <v>248.0</v>
      </c>
      <c r="AZ12" s="1" t="s">
        <v>133</v>
      </c>
      <c r="BA12" s="1" t="s">
        <v>121</v>
      </c>
    </row>
    <row r="13">
      <c r="A13" s="1" t="s">
        <v>805</v>
      </c>
      <c r="B13" s="1" t="s">
        <v>53</v>
      </c>
      <c r="C13" s="1">
        <v>1990.0</v>
      </c>
      <c r="D13" s="1" t="s">
        <v>806</v>
      </c>
      <c r="E13" s="1" t="s">
        <v>807</v>
      </c>
      <c r="F13" s="1" t="s">
        <v>732</v>
      </c>
      <c r="G13" s="1" t="s">
        <v>808</v>
      </c>
      <c r="H13" s="1" t="s">
        <v>809</v>
      </c>
      <c r="I13" s="1">
        <v>4.0</v>
      </c>
      <c r="J13" s="1">
        <v>3.0</v>
      </c>
      <c r="K13" s="2" t="s">
        <v>810</v>
      </c>
      <c r="L13" s="2" t="s">
        <v>60</v>
      </c>
      <c r="M13" s="1" t="s">
        <v>817</v>
      </c>
      <c r="N13" s="1" t="s">
        <v>62</v>
      </c>
      <c r="O13" s="1" t="s">
        <v>167</v>
      </c>
      <c r="P13" s="1" t="s">
        <v>812</v>
      </c>
      <c r="Q13" s="1">
        <v>16.85</v>
      </c>
      <c r="R13" s="1">
        <v>-90.133333</v>
      </c>
      <c r="S13" s="1" t="s">
        <v>148</v>
      </c>
      <c r="T13" s="2" t="s">
        <v>169</v>
      </c>
      <c r="U13" s="1" t="s">
        <v>276</v>
      </c>
      <c r="V13" s="3" t="s">
        <v>68</v>
      </c>
      <c r="W13" s="1" t="s">
        <v>818</v>
      </c>
      <c r="X13" s="1" t="s">
        <v>575</v>
      </c>
      <c r="Y13" s="6" t="s">
        <v>76</v>
      </c>
      <c r="Z13" s="3" t="s">
        <v>76</v>
      </c>
      <c r="AD13" s="1">
        <v>1.0</v>
      </c>
      <c r="AI13" s="2" t="s">
        <v>72</v>
      </c>
      <c r="AJ13" s="1">
        <v>1645.0</v>
      </c>
      <c r="AK13" s="1">
        <v>1950.0</v>
      </c>
      <c r="AL13" s="3" t="s">
        <v>153</v>
      </c>
      <c r="AM13" s="2" t="s">
        <v>72</v>
      </c>
      <c r="AN13" s="2" t="s">
        <v>72</v>
      </c>
      <c r="AO13" s="2" t="s">
        <v>72</v>
      </c>
      <c r="AQ13" s="2" t="s">
        <v>75</v>
      </c>
      <c r="AR13" s="2" t="s">
        <v>76</v>
      </c>
      <c r="AS13" s="1">
        <v>2170.0</v>
      </c>
      <c r="AT13" s="1">
        <v>2170.0</v>
      </c>
      <c r="AU13" s="1">
        <v>883.0</v>
      </c>
      <c r="AV13" s="1">
        <v>50.0</v>
      </c>
      <c r="AW13" s="1">
        <v>177.0</v>
      </c>
      <c r="AX13" s="1">
        <v>5759.0</v>
      </c>
      <c r="AY13" s="1">
        <v>188.0</v>
      </c>
      <c r="AZ13" s="1" t="s">
        <v>133</v>
      </c>
      <c r="BA13" s="1" t="s">
        <v>121</v>
      </c>
    </row>
    <row r="14">
      <c r="A14" s="1" t="s">
        <v>805</v>
      </c>
      <c r="B14" s="1" t="s">
        <v>53</v>
      </c>
      <c r="C14" s="1">
        <v>1990.0</v>
      </c>
      <c r="D14" s="1" t="s">
        <v>806</v>
      </c>
      <c r="E14" s="1" t="s">
        <v>807</v>
      </c>
      <c r="F14" s="1" t="s">
        <v>732</v>
      </c>
      <c r="G14" s="1" t="s">
        <v>808</v>
      </c>
      <c r="H14" s="1" t="s">
        <v>809</v>
      </c>
      <c r="I14" s="1">
        <v>4.0</v>
      </c>
      <c r="J14" s="1">
        <v>3.0</v>
      </c>
      <c r="K14" s="2" t="s">
        <v>810</v>
      </c>
      <c r="L14" s="2" t="s">
        <v>60</v>
      </c>
      <c r="M14" s="1" t="s">
        <v>820</v>
      </c>
      <c r="N14" s="1" t="s">
        <v>62</v>
      </c>
      <c r="O14" s="1" t="s">
        <v>167</v>
      </c>
      <c r="P14" s="1" t="s">
        <v>816</v>
      </c>
      <c r="Q14" s="1">
        <v>16.8</v>
      </c>
      <c r="R14" s="1">
        <v>-90.033333</v>
      </c>
      <c r="S14" s="1" t="s">
        <v>148</v>
      </c>
      <c r="T14" s="2" t="s">
        <v>169</v>
      </c>
      <c r="U14" s="1" t="s">
        <v>276</v>
      </c>
      <c r="V14" s="3" t="s">
        <v>68</v>
      </c>
      <c r="W14" s="1" t="s">
        <v>818</v>
      </c>
      <c r="X14" s="1" t="s">
        <v>575</v>
      </c>
      <c r="Y14" s="6" t="s">
        <v>76</v>
      </c>
      <c r="Z14" s="3" t="s">
        <v>76</v>
      </c>
      <c r="AB14" s="1">
        <v>1.0</v>
      </c>
      <c r="AD14" s="1">
        <v>1.0</v>
      </c>
      <c r="AI14" s="2" t="s">
        <v>72</v>
      </c>
      <c r="AJ14" s="1">
        <v>1645.0</v>
      </c>
      <c r="AK14" s="1">
        <v>1950.0</v>
      </c>
      <c r="AL14" s="2" t="s">
        <v>73</v>
      </c>
      <c r="AM14" s="2" t="s">
        <v>72</v>
      </c>
      <c r="AN14" s="2" t="s">
        <v>72</v>
      </c>
      <c r="AO14" s="2" t="s">
        <v>72</v>
      </c>
      <c r="AQ14" s="2" t="s">
        <v>75</v>
      </c>
      <c r="AR14" s="2" t="s">
        <v>76</v>
      </c>
      <c r="AS14" s="1">
        <v>2162.0</v>
      </c>
      <c r="AT14" s="1">
        <v>2162.0</v>
      </c>
      <c r="AU14" s="1">
        <v>878.0</v>
      </c>
      <c r="AV14" s="1">
        <v>49.0</v>
      </c>
      <c r="AW14" s="1">
        <v>180.0</v>
      </c>
      <c r="AX14" s="1">
        <v>5673.0</v>
      </c>
      <c r="AY14" s="1">
        <v>248.0</v>
      </c>
      <c r="AZ14" s="1" t="s">
        <v>133</v>
      </c>
      <c r="BA14" s="1" t="s">
        <v>121</v>
      </c>
    </row>
    <row r="15">
      <c r="A15" s="1" t="s">
        <v>805</v>
      </c>
      <c r="B15" s="1" t="s">
        <v>53</v>
      </c>
      <c r="C15" s="1">
        <v>1990.0</v>
      </c>
      <c r="D15" s="1" t="s">
        <v>806</v>
      </c>
      <c r="E15" s="1" t="s">
        <v>807</v>
      </c>
      <c r="F15" s="1" t="s">
        <v>732</v>
      </c>
      <c r="G15" s="1" t="s">
        <v>808</v>
      </c>
      <c r="H15" s="1" t="s">
        <v>809</v>
      </c>
      <c r="I15" s="1">
        <v>4.0</v>
      </c>
      <c r="J15" s="1">
        <v>3.0</v>
      </c>
      <c r="K15" s="2" t="s">
        <v>810</v>
      </c>
      <c r="L15" s="2" t="s">
        <v>60</v>
      </c>
      <c r="M15" s="1" t="s">
        <v>821</v>
      </c>
      <c r="N15" s="1" t="s">
        <v>62</v>
      </c>
      <c r="O15" s="1" t="s">
        <v>167</v>
      </c>
      <c r="P15" s="1" t="s">
        <v>822</v>
      </c>
      <c r="Q15" s="1">
        <v>16.648694</v>
      </c>
      <c r="R15" s="1">
        <v>-89.750195</v>
      </c>
      <c r="S15" s="1" t="s">
        <v>148</v>
      </c>
      <c r="T15" s="2" t="s">
        <v>66</v>
      </c>
      <c r="U15" s="1" t="s">
        <v>823</v>
      </c>
      <c r="V15" s="3" t="s">
        <v>68</v>
      </c>
      <c r="W15" s="1" t="s">
        <v>117</v>
      </c>
      <c r="X15" s="1" t="s">
        <v>70</v>
      </c>
      <c r="Y15" s="5" t="s">
        <v>76</v>
      </c>
      <c r="Z15" s="3" t="s">
        <v>76</v>
      </c>
      <c r="AD15" s="1">
        <v>1.0</v>
      </c>
      <c r="AI15" s="2" t="s">
        <v>72</v>
      </c>
      <c r="AJ15" s="1">
        <v>1645.0</v>
      </c>
      <c r="AK15" s="1">
        <v>1950.0</v>
      </c>
      <c r="AL15" s="3" t="s">
        <v>153</v>
      </c>
      <c r="AM15" s="2" t="s">
        <v>72</v>
      </c>
      <c r="AN15" s="2" t="s">
        <v>72</v>
      </c>
      <c r="AO15" s="2" t="s">
        <v>72</v>
      </c>
      <c r="AQ15" s="2" t="s">
        <v>75</v>
      </c>
      <c r="AR15" s="2" t="s">
        <v>76</v>
      </c>
      <c r="AS15" s="1">
        <v>2384.0</v>
      </c>
      <c r="AT15" s="1">
        <v>2384.0</v>
      </c>
      <c r="AU15" s="1">
        <v>1014.0</v>
      </c>
      <c r="AV15" s="1">
        <v>52.0</v>
      </c>
      <c r="AW15" s="1">
        <v>198.0</v>
      </c>
      <c r="AX15" s="1">
        <v>5843.0</v>
      </c>
      <c r="AY15" s="1">
        <v>150.0</v>
      </c>
      <c r="AZ15" s="1" t="s">
        <v>133</v>
      </c>
      <c r="BA15" s="1" t="s">
        <v>121</v>
      </c>
    </row>
    <row r="16">
      <c r="A16" s="1" t="s">
        <v>805</v>
      </c>
      <c r="B16" s="1" t="s">
        <v>53</v>
      </c>
      <c r="C16" s="1">
        <v>1990.0</v>
      </c>
      <c r="D16" s="1" t="s">
        <v>806</v>
      </c>
      <c r="E16" s="1" t="s">
        <v>807</v>
      </c>
      <c r="F16" s="1" t="s">
        <v>732</v>
      </c>
      <c r="G16" s="1" t="s">
        <v>808</v>
      </c>
      <c r="H16" s="1" t="s">
        <v>809</v>
      </c>
      <c r="I16" s="1">
        <v>4.0</v>
      </c>
      <c r="J16" s="1">
        <v>3.0</v>
      </c>
      <c r="K16" s="2" t="s">
        <v>810</v>
      </c>
      <c r="L16" s="2" t="s">
        <v>60</v>
      </c>
      <c r="M16" s="1" t="s">
        <v>836</v>
      </c>
      <c r="N16" s="1" t="s">
        <v>62</v>
      </c>
      <c r="O16" s="1" t="s">
        <v>167</v>
      </c>
      <c r="P16" s="1" t="s">
        <v>812</v>
      </c>
      <c r="Q16" s="1">
        <v>16.85</v>
      </c>
      <c r="R16" s="1">
        <v>-90.133333</v>
      </c>
      <c r="S16" s="1" t="s">
        <v>148</v>
      </c>
      <c r="T16" s="2" t="s">
        <v>66</v>
      </c>
      <c r="U16" s="1" t="s">
        <v>823</v>
      </c>
      <c r="V16" s="3" t="s">
        <v>68</v>
      </c>
      <c r="W16" s="1" t="s">
        <v>117</v>
      </c>
      <c r="X16" s="1" t="s">
        <v>70</v>
      </c>
      <c r="Y16" s="5" t="s">
        <v>76</v>
      </c>
      <c r="Z16" s="3" t="s">
        <v>76</v>
      </c>
      <c r="AD16" s="1">
        <v>1.0</v>
      </c>
      <c r="AI16" s="2" t="s">
        <v>72</v>
      </c>
      <c r="AJ16" s="1">
        <v>1645.0</v>
      </c>
      <c r="AK16" s="1">
        <v>1950.0</v>
      </c>
      <c r="AL16" s="3" t="s">
        <v>153</v>
      </c>
      <c r="AM16" s="2" t="s">
        <v>72</v>
      </c>
      <c r="AN16" s="2" t="s">
        <v>72</v>
      </c>
      <c r="AO16" s="2" t="s">
        <v>72</v>
      </c>
      <c r="AQ16" s="2" t="s">
        <v>75</v>
      </c>
      <c r="AR16" s="2" t="s">
        <v>76</v>
      </c>
      <c r="AS16" s="1">
        <v>2170.0</v>
      </c>
      <c r="AT16" s="1">
        <v>2170.0</v>
      </c>
      <c r="AU16" s="1">
        <v>883.0</v>
      </c>
      <c r="AV16" s="1">
        <v>50.0</v>
      </c>
      <c r="AW16" s="1">
        <v>177.0</v>
      </c>
      <c r="AX16" s="1">
        <v>5759.0</v>
      </c>
      <c r="AY16" s="1">
        <v>188.0</v>
      </c>
      <c r="AZ16" s="1" t="s">
        <v>133</v>
      </c>
      <c r="BA16" s="1" t="s">
        <v>121</v>
      </c>
    </row>
    <row r="17">
      <c r="A17" s="1" t="s">
        <v>805</v>
      </c>
      <c r="B17" s="1" t="s">
        <v>53</v>
      </c>
      <c r="C17" s="1">
        <v>1990.0</v>
      </c>
      <c r="D17" s="1" t="s">
        <v>806</v>
      </c>
      <c r="E17" s="1" t="s">
        <v>807</v>
      </c>
      <c r="F17" s="1" t="s">
        <v>732</v>
      </c>
      <c r="G17" s="1" t="s">
        <v>808</v>
      </c>
      <c r="H17" s="1" t="s">
        <v>809</v>
      </c>
      <c r="I17" s="1">
        <v>4.0</v>
      </c>
      <c r="J17" s="1">
        <v>3.0</v>
      </c>
      <c r="K17" s="2" t="s">
        <v>810</v>
      </c>
      <c r="L17" s="2" t="s">
        <v>60</v>
      </c>
      <c r="M17" s="1" t="s">
        <v>841</v>
      </c>
      <c r="N17" s="1" t="s">
        <v>62</v>
      </c>
      <c r="O17" s="1" t="s">
        <v>167</v>
      </c>
      <c r="P17" s="1" t="s">
        <v>816</v>
      </c>
      <c r="Q17" s="1">
        <v>16.8</v>
      </c>
      <c r="R17" s="1">
        <v>-90.033333</v>
      </c>
      <c r="S17" s="1" t="s">
        <v>148</v>
      </c>
      <c r="T17" s="2" t="s">
        <v>66</v>
      </c>
      <c r="U17" s="1" t="s">
        <v>823</v>
      </c>
      <c r="V17" s="3" t="s">
        <v>68</v>
      </c>
      <c r="W17" s="1" t="s">
        <v>117</v>
      </c>
      <c r="X17" s="1" t="s">
        <v>70</v>
      </c>
      <c r="Y17" s="5" t="s">
        <v>76</v>
      </c>
      <c r="Z17" s="3" t="s">
        <v>76</v>
      </c>
      <c r="AB17" s="1">
        <v>1.0</v>
      </c>
      <c r="AD17" s="1">
        <v>1.0</v>
      </c>
      <c r="AI17" s="2" t="s">
        <v>72</v>
      </c>
      <c r="AJ17" s="1">
        <v>1645.0</v>
      </c>
      <c r="AK17" s="1">
        <v>1950.0</v>
      </c>
      <c r="AL17" s="2" t="s">
        <v>73</v>
      </c>
      <c r="AM17" s="2" t="s">
        <v>72</v>
      </c>
      <c r="AN17" s="2" t="s">
        <v>72</v>
      </c>
      <c r="AO17" s="2" t="s">
        <v>72</v>
      </c>
      <c r="AQ17" s="2" t="s">
        <v>75</v>
      </c>
      <c r="AR17" s="2" t="s">
        <v>76</v>
      </c>
      <c r="AS17" s="1">
        <v>2162.0</v>
      </c>
      <c r="AT17" s="1">
        <v>2162.0</v>
      </c>
      <c r="AU17" s="1">
        <v>878.0</v>
      </c>
      <c r="AV17" s="1">
        <v>49.0</v>
      </c>
      <c r="AW17" s="1">
        <v>180.0</v>
      </c>
      <c r="AX17" s="1">
        <v>5673.0</v>
      </c>
      <c r="AY17" s="1">
        <v>248.0</v>
      </c>
      <c r="AZ17" s="1" t="s">
        <v>133</v>
      </c>
      <c r="BA17" s="1" t="s">
        <v>121</v>
      </c>
    </row>
    <row r="18">
      <c r="A18" s="1" t="s">
        <v>805</v>
      </c>
      <c r="B18" s="1" t="s">
        <v>53</v>
      </c>
      <c r="C18" s="1">
        <v>1990.0</v>
      </c>
      <c r="D18" s="1" t="s">
        <v>806</v>
      </c>
      <c r="E18" s="1" t="s">
        <v>807</v>
      </c>
      <c r="F18" s="1" t="s">
        <v>732</v>
      </c>
      <c r="G18" s="1" t="s">
        <v>808</v>
      </c>
      <c r="H18" s="1" t="s">
        <v>809</v>
      </c>
      <c r="I18" s="1">
        <v>4.0</v>
      </c>
      <c r="J18" s="1">
        <v>3.0</v>
      </c>
      <c r="K18" s="2" t="s">
        <v>810</v>
      </c>
      <c r="L18" s="2" t="s">
        <v>60</v>
      </c>
      <c r="M18" s="1" t="s">
        <v>842</v>
      </c>
      <c r="N18" s="1" t="s">
        <v>62</v>
      </c>
      <c r="O18" s="1" t="s">
        <v>167</v>
      </c>
      <c r="P18" s="1" t="s">
        <v>812</v>
      </c>
      <c r="Q18" s="1">
        <v>16.85</v>
      </c>
      <c r="R18" s="1">
        <v>-90.133333</v>
      </c>
      <c r="S18" s="1" t="s">
        <v>148</v>
      </c>
      <c r="T18" s="2" t="s">
        <v>194</v>
      </c>
      <c r="U18" s="2" t="s">
        <v>813</v>
      </c>
      <c r="V18" s="3" t="s">
        <v>68</v>
      </c>
      <c r="W18" s="1" t="s">
        <v>286</v>
      </c>
      <c r="X18" s="1" t="s">
        <v>70</v>
      </c>
      <c r="Y18" s="6" t="s">
        <v>76</v>
      </c>
      <c r="Z18" s="3" t="s">
        <v>76</v>
      </c>
      <c r="AD18" s="1">
        <v>1.0</v>
      </c>
      <c r="AI18" s="2" t="s">
        <v>72</v>
      </c>
      <c r="AJ18" s="1">
        <v>1645.0</v>
      </c>
      <c r="AK18" s="1">
        <v>1950.0</v>
      </c>
      <c r="AL18" s="3" t="s">
        <v>153</v>
      </c>
      <c r="AM18" s="2" t="s">
        <v>72</v>
      </c>
      <c r="AN18" s="2" t="s">
        <v>72</v>
      </c>
      <c r="AO18" s="2" t="s">
        <v>72</v>
      </c>
      <c r="AQ18" s="2" t="s">
        <v>75</v>
      </c>
      <c r="AR18" s="2" t="s">
        <v>76</v>
      </c>
      <c r="AS18" s="1">
        <v>2170.0</v>
      </c>
      <c r="AT18" s="1">
        <v>2170.0</v>
      </c>
      <c r="AU18" s="1">
        <v>883.0</v>
      </c>
      <c r="AV18" s="1">
        <v>50.0</v>
      </c>
      <c r="AW18" s="1">
        <v>177.0</v>
      </c>
      <c r="AX18" s="1">
        <v>5759.0</v>
      </c>
      <c r="AY18" s="1">
        <v>188.0</v>
      </c>
      <c r="AZ18" s="1" t="s">
        <v>133</v>
      </c>
      <c r="BA18" s="1" t="s">
        <v>121</v>
      </c>
    </row>
    <row r="19">
      <c r="A19" s="1" t="s">
        <v>805</v>
      </c>
      <c r="B19" s="1" t="s">
        <v>53</v>
      </c>
      <c r="C19" s="1">
        <v>1990.0</v>
      </c>
      <c r="D19" s="1" t="s">
        <v>806</v>
      </c>
      <c r="E19" s="1" t="s">
        <v>807</v>
      </c>
      <c r="F19" s="1" t="s">
        <v>732</v>
      </c>
      <c r="G19" s="1" t="s">
        <v>808</v>
      </c>
      <c r="H19" s="1" t="s">
        <v>809</v>
      </c>
      <c r="I19" s="1">
        <v>4.0</v>
      </c>
      <c r="J19" s="1">
        <v>3.0</v>
      </c>
      <c r="K19" s="2" t="s">
        <v>810</v>
      </c>
      <c r="L19" s="2" t="s">
        <v>60</v>
      </c>
      <c r="M19" s="1" t="s">
        <v>845</v>
      </c>
      <c r="N19" s="1" t="s">
        <v>62</v>
      </c>
      <c r="O19" s="1" t="s">
        <v>167</v>
      </c>
      <c r="P19" s="1" t="s">
        <v>816</v>
      </c>
      <c r="Q19" s="1">
        <v>16.8</v>
      </c>
      <c r="R19" s="1">
        <v>-90.033333</v>
      </c>
      <c r="S19" s="1" t="s">
        <v>148</v>
      </c>
      <c r="T19" s="2" t="s">
        <v>194</v>
      </c>
      <c r="U19" s="2" t="s">
        <v>813</v>
      </c>
      <c r="V19" s="3" t="s">
        <v>68</v>
      </c>
      <c r="W19" s="1" t="s">
        <v>286</v>
      </c>
      <c r="X19" s="1" t="s">
        <v>70</v>
      </c>
      <c r="Y19" s="6" t="s">
        <v>76</v>
      </c>
      <c r="Z19" s="3" t="s">
        <v>76</v>
      </c>
      <c r="AB19" s="1">
        <v>1.0</v>
      </c>
      <c r="AD19" s="1">
        <v>1.0</v>
      </c>
      <c r="AI19" s="2" t="s">
        <v>72</v>
      </c>
      <c r="AJ19" s="1">
        <v>1645.0</v>
      </c>
      <c r="AK19" s="1">
        <v>1950.0</v>
      </c>
      <c r="AL19" s="2" t="s">
        <v>73</v>
      </c>
      <c r="AM19" s="2" t="s">
        <v>72</v>
      </c>
      <c r="AN19" s="2" t="s">
        <v>72</v>
      </c>
      <c r="AO19" s="2" t="s">
        <v>72</v>
      </c>
      <c r="AQ19" s="2" t="s">
        <v>75</v>
      </c>
      <c r="AR19" s="2" t="s">
        <v>76</v>
      </c>
      <c r="AS19" s="1">
        <v>2162.0</v>
      </c>
      <c r="AT19" s="1">
        <v>2162.0</v>
      </c>
      <c r="AU19" s="1">
        <v>878.0</v>
      </c>
      <c r="AV19" s="1">
        <v>49.0</v>
      </c>
      <c r="AW19" s="1">
        <v>180.0</v>
      </c>
      <c r="AX19" s="1">
        <v>5673.0</v>
      </c>
      <c r="AY19" s="1">
        <v>248.0</v>
      </c>
      <c r="AZ19" s="1" t="s">
        <v>133</v>
      </c>
      <c r="BA19" s="1" t="s">
        <v>121</v>
      </c>
    </row>
    <row r="20">
      <c r="A20" s="1" t="s">
        <v>805</v>
      </c>
      <c r="B20" s="1" t="s">
        <v>53</v>
      </c>
      <c r="C20" s="1">
        <v>1990.0</v>
      </c>
      <c r="D20" s="1" t="s">
        <v>806</v>
      </c>
      <c r="E20" s="1" t="s">
        <v>807</v>
      </c>
      <c r="F20" s="1" t="s">
        <v>732</v>
      </c>
      <c r="G20" s="1" t="s">
        <v>808</v>
      </c>
      <c r="H20" s="1" t="s">
        <v>809</v>
      </c>
      <c r="I20" s="1">
        <v>4.0</v>
      </c>
      <c r="J20" s="1">
        <v>3.0</v>
      </c>
      <c r="K20" s="2" t="s">
        <v>810</v>
      </c>
      <c r="L20" s="2" t="s">
        <v>60</v>
      </c>
      <c r="M20" s="1" t="s">
        <v>846</v>
      </c>
      <c r="N20" s="1" t="s">
        <v>62</v>
      </c>
      <c r="O20" s="1" t="s">
        <v>167</v>
      </c>
      <c r="P20" s="1" t="s">
        <v>822</v>
      </c>
      <c r="Q20" s="1">
        <v>16.648694</v>
      </c>
      <c r="R20" s="1">
        <v>-89.750195</v>
      </c>
      <c r="S20" s="1" t="s">
        <v>148</v>
      </c>
      <c r="T20" s="2" t="s">
        <v>80</v>
      </c>
      <c r="U20" s="1" t="s">
        <v>156</v>
      </c>
      <c r="V20" s="3" t="s">
        <v>138</v>
      </c>
      <c r="W20" s="1" t="s">
        <v>348</v>
      </c>
      <c r="X20" s="1" t="s">
        <v>847</v>
      </c>
      <c r="Y20" s="6" t="s">
        <v>76</v>
      </c>
      <c r="Z20" s="3" t="s">
        <v>76</v>
      </c>
      <c r="AD20" s="1">
        <v>1.0</v>
      </c>
      <c r="AI20" s="2" t="s">
        <v>72</v>
      </c>
      <c r="AJ20" s="1">
        <v>1300.0</v>
      </c>
      <c r="AK20" s="1">
        <v>1950.0</v>
      </c>
      <c r="AL20" s="3" t="s">
        <v>153</v>
      </c>
      <c r="AM20" s="2" t="s">
        <v>72</v>
      </c>
      <c r="AN20" s="2" t="s">
        <v>72</v>
      </c>
      <c r="AO20" s="2" t="s">
        <v>72</v>
      </c>
      <c r="AQ20" s="2" t="s">
        <v>75</v>
      </c>
      <c r="AR20" s="2" t="s">
        <v>76</v>
      </c>
      <c r="AS20" s="1">
        <v>2384.0</v>
      </c>
      <c r="AT20" s="1">
        <v>2384.0</v>
      </c>
      <c r="AU20" s="1">
        <v>1014.0</v>
      </c>
      <c r="AV20" s="1">
        <v>52.0</v>
      </c>
      <c r="AW20" s="1">
        <v>198.0</v>
      </c>
      <c r="AX20" s="1">
        <v>5843.0</v>
      </c>
      <c r="AY20" s="1">
        <v>150.0</v>
      </c>
      <c r="AZ20" s="1" t="s">
        <v>133</v>
      </c>
      <c r="BA20" s="1" t="s">
        <v>121</v>
      </c>
    </row>
    <row r="21">
      <c r="A21" s="1" t="s">
        <v>805</v>
      </c>
      <c r="B21" s="1" t="s">
        <v>53</v>
      </c>
      <c r="C21" s="1">
        <v>1990.0</v>
      </c>
      <c r="D21" s="1" t="s">
        <v>806</v>
      </c>
      <c r="E21" s="1" t="s">
        <v>807</v>
      </c>
      <c r="F21" s="1" t="s">
        <v>732</v>
      </c>
      <c r="G21" s="1" t="s">
        <v>808</v>
      </c>
      <c r="H21" s="1" t="s">
        <v>809</v>
      </c>
      <c r="I21" s="1">
        <v>4.0</v>
      </c>
      <c r="J21" s="1">
        <v>3.0</v>
      </c>
      <c r="K21" s="2" t="s">
        <v>810</v>
      </c>
      <c r="L21" s="2" t="s">
        <v>60</v>
      </c>
      <c r="M21" s="1" t="s">
        <v>848</v>
      </c>
      <c r="N21" s="1" t="s">
        <v>62</v>
      </c>
      <c r="O21" s="1" t="s">
        <v>167</v>
      </c>
      <c r="P21" s="1" t="s">
        <v>812</v>
      </c>
      <c r="Q21" s="1">
        <v>16.85</v>
      </c>
      <c r="R21" s="1">
        <v>-90.133333</v>
      </c>
      <c r="S21" s="1" t="s">
        <v>148</v>
      </c>
      <c r="T21" s="2" t="s">
        <v>80</v>
      </c>
      <c r="U21" s="1" t="s">
        <v>156</v>
      </c>
      <c r="V21" s="3" t="s">
        <v>138</v>
      </c>
      <c r="W21" s="1" t="s">
        <v>348</v>
      </c>
      <c r="X21" s="1" t="s">
        <v>847</v>
      </c>
      <c r="Y21" s="6" t="s">
        <v>76</v>
      </c>
      <c r="Z21" s="3" t="s">
        <v>76</v>
      </c>
      <c r="AD21" s="1">
        <v>1.0</v>
      </c>
      <c r="AI21" s="2" t="s">
        <v>72</v>
      </c>
      <c r="AJ21" s="1">
        <v>1645.0</v>
      </c>
      <c r="AK21" s="1">
        <v>1950.0</v>
      </c>
      <c r="AL21" s="3" t="s">
        <v>153</v>
      </c>
      <c r="AM21" s="2" t="s">
        <v>72</v>
      </c>
      <c r="AN21" s="2" t="s">
        <v>72</v>
      </c>
      <c r="AO21" s="2" t="s">
        <v>72</v>
      </c>
      <c r="AQ21" s="2" t="s">
        <v>75</v>
      </c>
      <c r="AR21" s="2" t="s">
        <v>76</v>
      </c>
      <c r="AS21" s="1">
        <v>2170.0</v>
      </c>
      <c r="AT21" s="1">
        <v>2170.0</v>
      </c>
      <c r="AU21" s="1">
        <v>883.0</v>
      </c>
      <c r="AV21" s="1">
        <v>50.0</v>
      </c>
      <c r="AW21" s="1">
        <v>177.0</v>
      </c>
      <c r="AX21" s="1">
        <v>5759.0</v>
      </c>
      <c r="AY21" s="1">
        <v>188.0</v>
      </c>
      <c r="AZ21" s="1" t="s">
        <v>133</v>
      </c>
      <c r="BA21" s="1" t="s">
        <v>121</v>
      </c>
    </row>
    <row r="22">
      <c r="A22" s="1" t="s">
        <v>805</v>
      </c>
      <c r="B22" s="1" t="s">
        <v>53</v>
      </c>
      <c r="C22" s="1">
        <v>1990.0</v>
      </c>
      <c r="D22" s="1" t="s">
        <v>806</v>
      </c>
      <c r="E22" s="1" t="s">
        <v>807</v>
      </c>
      <c r="F22" s="1" t="s">
        <v>732</v>
      </c>
      <c r="G22" s="1" t="s">
        <v>808</v>
      </c>
      <c r="H22" s="1" t="s">
        <v>809</v>
      </c>
      <c r="I22" s="1">
        <v>4.0</v>
      </c>
      <c r="J22" s="1">
        <v>3.0</v>
      </c>
      <c r="K22" s="2" t="s">
        <v>810</v>
      </c>
      <c r="L22" s="2" t="s">
        <v>60</v>
      </c>
      <c r="M22" s="1" t="s">
        <v>849</v>
      </c>
      <c r="N22" s="1" t="s">
        <v>62</v>
      </c>
      <c r="O22" s="1" t="s">
        <v>167</v>
      </c>
      <c r="P22" s="1" t="s">
        <v>816</v>
      </c>
      <c r="Q22" s="1">
        <v>16.8</v>
      </c>
      <c r="R22" s="1">
        <v>-90.033333</v>
      </c>
      <c r="S22" s="1" t="s">
        <v>148</v>
      </c>
      <c r="T22" s="2" t="s">
        <v>80</v>
      </c>
      <c r="U22" s="1" t="s">
        <v>156</v>
      </c>
      <c r="V22" s="3" t="s">
        <v>138</v>
      </c>
      <c r="W22" s="1" t="s">
        <v>348</v>
      </c>
      <c r="X22" s="1" t="s">
        <v>847</v>
      </c>
      <c r="Y22" s="6" t="s">
        <v>76</v>
      </c>
      <c r="Z22" s="3" t="s">
        <v>76</v>
      </c>
      <c r="AB22" s="1">
        <v>1.0</v>
      </c>
      <c r="AD22" s="1">
        <v>1.0</v>
      </c>
      <c r="AI22" s="2" t="s">
        <v>72</v>
      </c>
      <c r="AJ22" s="1">
        <v>1645.0</v>
      </c>
      <c r="AK22" s="1">
        <v>1950.0</v>
      </c>
      <c r="AL22" s="2" t="s">
        <v>73</v>
      </c>
      <c r="AM22" s="2" t="s">
        <v>72</v>
      </c>
      <c r="AN22" s="2" t="s">
        <v>72</v>
      </c>
      <c r="AO22" s="2" t="s">
        <v>72</v>
      </c>
      <c r="AQ22" s="2" t="s">
        <v>75</v>
      </c>
      <c r="AR22" s="2" t="s">
        <v>76</v>
      </c>
      <c r="AS22" s="1">
        <v>2162.0</v>
      </c>
      <c r="AT22" s="1">
        <v>2162.0</v>
      </c>
      <c r="AU22" s="1">
        <v>878.0</v>
      </c>
      <c r="AV22" s="1">
        <v>49.0</v>
      </c>
      <c r="AW22" s="1">
        <v>180.0</v>
      </c>
      <c r="AX22" s="1">
        <v>5673.0</v>
      </c>
      <c r="AY22" s="1">
        <v>248.0</v>
      </c>
      <c r="AZ22" s="1" t="s">
        <v>133</v>
      </c>
      <c r="BA22" s="1" t="s">
        <v>121</v>
      </c>
    </row>
    <row r="23">
      <c r="A23" s="1" t="s">
        <v>1912</v>
      </c>
      <c r="B23" s="1" t="s">
        <v>268</v>
      </c>
      <c r="C23" s="1">
        <v>1990.0</v>
      </c>
      <c r="D23" s="1" t="s">
        <v>1913</v>
      </c>
      <c r="E23" s="1" t="s">
        <v>1914</v>
      </c>
      <c r="H23" s="1" t="s">
        <v>1915</v>
      </c>
      <c r="I23" s="1">
        <v>33.0</v>
      </c>
      <c r="K23" s="2" t="s">
        <v>1916</v>
      </c>
      <c r="L23" s="2" t="s">
        <v>60</v>
      </c>
      <c r="M23" s="1" t="s">
        <v>1917</v>
      </c>
      <c r="N23" s="1" t="s">
        <v>62</v>
      </c>
      <c r="O23" s="1" t="s">
        <v>146</v>
      </c>
      <c r="P23" s="1" t="s">
        <v>274</v>
      </c>
      <c r="Q23" s="1">
        <v>8.45</v>
      </c>
      <c r="R23" s="1">
        <v>-80.85</v>
      </c>
      <c r="S23" s="1" t="s">
        <v>148</v>
      </c>
      <c r="T23" s="2" t="s">
        <v>66</v>
      </c>
      <c r="U23" s="2" t="s">
        <v>1073</v>
      </c>
      <c r="V23" s="3" t="s">
        <v>68</v>
      </c>
      <c r="W23" s="1" t="s">
        <v>364</v>
      </c>
      <c r="X23" s="2" t="s">
        <v>355</v>
      </c>
      <c r="Y23" s="6" t="s">
        <v>76</v>
      </c>
      <c r="Z23" s="3" t="s">
        <v>316</v>
      </c>
      <c r="AB23" s="1">
        <v>9.0</v>
      </c>
      <c r="AI23" s="2" t="s">
        <v>72</v>
      </c>
      <c r="AJ23" s="1">
        <v>-12350.0</v>
      </c>
      <c r="AK23" s="1">
        <v>1950.0</v>
      </c>
      <c r="AL23" s="2" t="s">
        <v>153</v>
      </c>
      <c r="AM23" s="2" t="s">
        <v>72</v>
      </c>
      <c r="AN23" s="2" t="s">
        <v>72</v>
      </c>
      <c r="AO23" s="2" t="s">
        <v>72</v>
      </c>
      <c r="AQ23" s="2" t="s">
        <v>102</v>
      </c>
      <c r="AR23" s="2" t="s">
        <v>76</v>
      </c>
      <c r="AS23" s="1">
        <v>2747.0</v>
      </c>
      <c r="AT23" s="1">
        <v>2747.0</v>
      </c>
      <c r="AU23" s="1">
        <v>1232.0</v>
      </c>
      <c r="AV23" s="1">
        <v>7.0</v>
      </c>
      <c r="AW23" s="1">
        <v>94.0</v>
      </c>
      <c r="AX23" s="1">
        <v>7025.0</v>
      </c>
      <c r="AY23" s="1">
        <v>695.0</v>
      </c>
      <c r="AZ23" s="1" t="s">
        <v>281</v>
      </c>
      <c r="BA23" s="1" t="s">
        <v>121</v>
      </c>
    </row>
    <row r="24">
      <c r="A24" s="1" t="s">
        <v>1912</v>
      </c>
      <c r="B24" s="1" t="s">
        <v>268</v>
      </c>
      <c r="C24" s="1">
        <v>1990.0</v>
      </c>
      <c r="D24" s="1" t="s">
        <v>1913</v>
      </c>
      <c r="E24" s="1" t="s">
        <v>1914</v>
      </c>
      <c r="H24" s="1" t="s">
        <v>1915</v>
      </c>
      <c r="I24" s="1">
        <v>33.0</v>
      </c>
      <c r="K24" s="2" t="s">
        <v>1916</v>
      </c>
      <c r="L24" s="2" t="s">
        <v>60</v>
      </c>
      <c r="M24" s="1" t="s">
        <v>1918</v>
      </c>
      <c r="N24" s="1" t="s">
        <v>62</v>
      </c>
      <c r="O24" s="1" t="s">
        <v>146</v>
      </c>
      <c r="P24" s="1" t="s">
        <v>274</v>
      </c>
      <c r="Q24" s="1">
        <v>8.45</v>
      </c>
      <c r="R24" s="1">
        <v>-80.85</v>
      </c>
      <c r="S24" s="1" t="s">
        <v>148</v>
      </c>
      <c r="T24" s="2" t="s">
        <v>293</v>
      </c>
      <c r="U24" s="2" t="s">
        <v>1073</v>
      </c>
      <c r="V24" s="3" t="s">
        <v>68</v>
      </c>
      <c r="W24" s="1" t="s">
        <v>366</v>
      </c>
      <c r="X24" s="2" t="s">
        <v>355</v>
      </c>
      <c r="Y24" s="6" t="s">
        <v>76</v>
      </c>
      <c r="Z24" s="3" t="s">
        <v>316</v>
      </c>
      <c r="AB24" s="1">
        <v>9.0</v>
      </c>
      <c r="AI24" s="2" t="s">
        <v>72</v>
      </c>
      <c r="AJ24" s="1">
        <v>-12350.0</v>
      </c>
      <c r="AK24" s="1">
        <v>1950.0</v>
      </c>
      <c r="AL24" s="2" t="s">
        <v>153</v>
      </c>
      <c r="AM24" s="2" t="s">
        <v>72</v>
      </c>
      <c r="AN24" s="2" t="s">
        <v>72</v>
      </c>
      <c r="AO24" s="2" t="s">
        <v>72</v>
      </c>
      <c r="AQ24" s="2" t="s">
        <v>102</v>
      </c>
      <c r="AR24" s="2" t="s">
        <v>76</v>
      </c>
      <c r="AS24" s="1">
        <v>2747.0</v>
      </c>
      <c r="AT24" s="1">
        <v>2747.0</v>
      </c>
      <c r="AU24" s="1">
        <v>1232.0</v>
      </c>
      <c r="AV24" s="1">
        <v>7.0</v>
      </c>
      <c r="AW24" s="1">
        <v>94.0</v>
      </c>
      <c r="AX24" s="1">
        <v>7025.0</v>
      </c>
      <c r="AY24" s="1">
        <v>695.0</v>
      </c>
      <c r="AZ24" s="1" t="s">
        <v>281</v>
      </c>
      <c r="BA24" s="1" t="s">
        <v>121</v>
      </c>
    </row>
    <row r="25">
      <c r="A25" s="1" t="s">
        <v>1912</v>
      </c>
      <c r="B25" s="1" t="s">
        <v>268</v>
      </c>
      <c r="C25" s="1">
        <v>1990.0</v>
      </c>
      <c r="D25" s="1" t="s">
        <v>1913</v>
      </c>
      <c r="E25" s="1" t="s">
        <v>1914</v>
      </c>
      <c r="H25" s="1" t="s">
        <v>1915</v>
      </c>
      <c r="I25" s="1">
        <v>33.0</v>
      </c>
      <c r="K25" s="2" t="s">
        <v>1916</v>
      </c>
      <c r="L25" s="2" t="s">
        <v>60</v>
      </c>
      <c r="M25" s="1" t="s">
        <v>1919</v>
      </c>
      <c r="N25" s="1" t="s">
        <v>62</v>
      </c>
      <c r="O25" s="1" t="s">
        <v>146</v>
      </c>
      <c r="P25" s="1" t="s">
        <v>274</v>
      </c>
      <c r="Q25" s="1">
        <v>8.45</v>
      </c>
      <c r="R25" s="1">
        <v>-80.85</v>
      </c>
      <c r="S25" s="1" t="s">
        <v>148</v>
      </c>
      <c r="T25" s="2" t="s">
        <v>80</v>
      </c>
      <c r="U25" s="2" t="s">
        <v>1073</v>
      </c>
      <c r="V25" s="3" t="s">
        <v>68</v>
      </c>
      <c r="W25" s="2" t="s">
        <v>72</v>
      </c>
      <c r="X25" s="2" t="s">
        <v>355</v>
      </c>
      <c r="Y25" s="6" t="s">
        <v>76</v>
      </c>
      <c r="Z25" s="3" t="s">
        <v>84</v>
      </c>
      <c r="AB25" s="1">
        <v>9.0</v>
      </c>
      <c r="AI25" s="2" t="s">
        <v>72</v>
      </c>
      <c r="AJ25" s="1">
        <v>-12350.0</v>
      </c>
      <c r="AK25" s="1">
        <v>-6500.0</v>
      </c>
      <c r="AL25" s="2" t="s">
        <v>153</v>
      </c>
      <c r="AM25" s="2" t="s">
        <v>72</v>
      </c>
      <c r="AN25" s="2" t="s">
        <v>72</v>
      </c>
      <c r="AO25" s="2" t="s">
        <v>72</v>
      </c>
      <c r="AQ25" s="2" t="s">
        <v>102</v>
      </c>
      <c r="AR25" s="2" t="s">
        <v>76</v>
      </c>
      <c r="AS25" s="1">
        <v>2747.0</v>
      </c>
      <c r="AT25" s="1">
        <v>2747.0</v>
      </c>
      <c r="AU25" s="1">
        <v>1232.0</v>
      </c>
      <c r="AV25" s="1">
        <v>7.0</v>
      </c>
      <c r="AW25" s="1">
        <v>94.0</v>
      </c>
      <c r="AX25" s="1">
        <v>7025.0</v>
      </c>
      <c r="AY25" s="1">
        <v>695.0</v>
      </c>
      <c r="AZ25" s="1" t="s">
        <v>281</v>
      </c>
      <c r="BA25" s="1" t="s">
        <v>121</v>
      </c>
    </row>
    <row r="26">
      <c r="A26" s="1" t="s">
        <v>356</v>
      </c>
      <c r="B26" s="1" t="s">
        <v>53</v>
      </c>
      <c r="C26" s="1">
        <v>1991.0</v>
      </c>
      <c r="D26" s="1" t="s">
        <v>357</v>
      </c>
      <c r="E26" s="1" t="s">
        <v>358</v>
      </c>
      <c r="F26" s="1" t="s">
        <v>359</v>
      </c>
      <c r="G26" s="1" t="s">
        <v>360</v>
      </c>
      <c r="H26" s="1" t="s">
        <v>361</v>
      </c>
      <c r="I26" s="1">
        <v>6.0</v>
      </c>
      <c r="J26" s="1">
        <v>3.0</v>
      </c>
      <c r="K26" s="2" t="s">
        <v>362</v>
      </c>
      <c r="L26" s="2" t="s">
        <v>60</v>
      </c>
      <c r="M26" s="1" t="s">
        <v>363</v>
      </c>
      <c r="N26" s="1" t="s">
        <v>62</v>
      </c>
      <c r="O26" s="1" t="s">
        <v>146</v>
      </c>
      <c r="P26" s="1" t="s">
        <v>274</v>
      </c>
      <c r="Q26" s="1">
        <v>8.45</v>
      </c>
      <c r="R26" s="1">
        <v>-80.85</v>
      </c>
      <c r="S26" s="1" t="s">
        <v>148</v>
      </c>
      <c r="T26" s="2" t="s">
        <v>66</v>
      </c>
      <c r="U26" s="3" t="s">
        <v>314</v>
      </c>
      <c r="V26" s="3" t="s">
        <v>68</v>
      </c>
      <c r="W26" s="1" t="s">
        <v>364</v>
      </c>
      <c r="X26" s="2" t="s">
        <v>355</v>
      </c>
      <c r="Y26" s="6" t="s">
        <v>76</v>
      </c>
      <c r="Z26" s="3" t="s">
        <v>316</v>
      </c>
      <c r="AB26" s="1">
        <v>12.0</v>
      </c>
      <c r="AI26" s="2" t="s">
        <v>72</v>
      </c>
      <c r="AJ26" s="1">
        <v>-12350.0</v>
      </c>
      <c r="AK26" s="1">
        <v>1950.0</v>
      </c>
      <c r="AL26" s="2" t="s">
        <v>153</v>
      </c>
      <c r="AM26" s="2" t="s">
        <v>72</v>
      </c>
      <c r="AN26" s="2" t="s">
        <v>72</v>
      </c>
      <c r="AO26" s="2" t="s">
        <v>72</v>
      </c>
      <c r="AQ26" s="2" t="s">
        <v>102</v>
      </c>
      <c r="AR26" s="2" t="s">
        <v>76</v>
      </c>
      <c r="AS26" s="1">
        <v>2747.0</v>
      </c>
      <c r="AT26" s="1">
        <v>2747.0</v>
      </c>
      <c r="AU26" s="1">
        <v>1232.0</v>
      </c>
      <c r="AV26" s="1">
        <v>7.0</v>
      </c>
      <c r="AW26" s="1">
        <v>94.0</v>
      </c>
      <c r="AX26" s="1">
        <v>7025.0</v>
      </c>
      <c r="AY26" s="1">
        <v>695.0</v>
      </c>
      <c r="AZ26" s="1" t="s">
        <v>281</v>
      </c>
      <c r="BA26" s="1" t="s">
        <v>121</v>
      </c>
    </row>
    <row r="27">
      <c r="A27" s="1" t="s">
        <v>356</v>
      </c>
      <c r="B27" s="1" t="s">
        <v>53</v>
      </c>
      <c r="C27" s="1">
        <v>1991.0</v>
      </c>
      <c r="D27" s="1" t="s">
        <v>357</v>
      </c>
      <c r="E27" s="1" t="s">
        <v>358</v>
      </c>
      <c r="F27" s="1" t="s">
        <v>359</v>
      </c>
      <c r="G27" s="1" t="s">
        <v>360</v>
      </c>
      <c r="H27" s="1" t="s">
        <v>361</v>
      </c>
      <c r="I27" s="1">
        <v>6.0</v>
      </c>
      <c r="J27" s="1">
        <v>3.0</v>
      </c>
      <c r="K27" s="2" t="s">
        <v>362</v>
      </c>
      <c r="L27" s="2" t="s">
        <v>60</v>
      </c>
      <c r="M27" s="1" t="s">
        <v>365</v>
      </c>
      <c r="N27" s="1" t="s">
        <v>62</v>
      </c>
      <c r="O27" s="1" t="s">
        <v>146</v>
      </c>
      <c r="P27" s="1" t="s">
        <v>274</v>
      </c>
      <c r="Q27" s="1">
        <v>8.45</v>
      </c>
      <c r="R27" s="1">
        <v>-80.85</v>
      </c>
      <c r="S27" s="1" t="s">
        <v>148</v>
      </c>
      <c r="T27" s="2" t="s">
        <v>293</v>
      </c>
      <c r="U27" s="3" t="s">
        <v>314</v>
      </c>
      <c r="V27" s="3" t="s">
        <v>68</v>
      </c>
      <c r="W27" s="1" t="s">
        <v>366</v>
      </c>
      <c r="X27" s="2" t="s">
        <v>355</v>
      </c>
      <c r="Y27" s="6" t="s">
        <v>76</v>
      </c>
      <c r="Z27" s="3" t="s">
        <v>316</v>
      </c>
      <c r="AB27" s="1">
        <v>12.0</v>
      </c>
      <c r="AI27" s="2" t="s">
        <v>72</v>
      </c>
      <c r="AJ27" s="1">
        <v>-12350.0</v>
      </c>
      <c r="AK27" s="1">
        <v>1950.0</v>
      </c>
      <c r="AL27" s="2" t="s">
        <v>153</v>
      </c>
      <c r="AM27" s="2" t="s">
        <v>72</v>
      </c>
      <c r="AN27" s="2" t="s">
        <v>72</v>
      </c>
      <c r="AO27" s="2" t="s">
        <v>72</v>
      </c>
      <c r="AQ27" s="2" t="s">
        <v>102</v>
      </c>
      <c r="AR27" s="2" t="s">
        <v>76</v>
      </c>
      <c r="AS27" s="1">
        <v>2747.0</v>
      </c>
      <c r="AT27" s="1">
        <v>2747.0</v>
      </c>
      <c r="AU27" s="1">
        <v>1232.0</v>
      </c>
      <c r="AV27" s="1">
        <v>7.0</v>
      </c>
      <c r="AW27" s="1">
        <v>94.0</v>
      </c>
      <c r="AX27" s="1">
        <v>7025.0</v>
      </c>
      <c r="AY27" s="1">
        <v>695.0</v>
      </c>
      <c r="AZ27" s="1" t="s">
        <v>281</v>
      </c>
      <c r="BA27" s="1" t="s">
        <v>121</v>
      </c>
    </row>
    <row r="28">
      <c r="A28" s="1" t="s">
        <v>356</v>
      </c>
      <c r="B28" s="1" t="s">
        <v>53</v>
      </c>
      <c r="C28" s="1">
        <v>1991.0</v>
      </c>
      <c r="D28" s="1" t="s">
        <v>357</v>
      </c>
      <c r="E28" s="1" t="s">
        <v>358</v>
      </c>
      <c r="F28" s="1" t="s">
        <v>359</v>
      </c>
      <c r="G28" s="1" t="s">
        <v>360</v>
      </c>
      <c r="H28" s="1" t="s">
        <v>361</v>
      </c>
      <c r="I28" s="1">
        <v>6.0</v>
      </c>
      <c r="J28" s="1">
        <v>3.0</v>
      </c>
      <c r="K28" s="2" t="s">
        <v>362</v>
      </c>
      <c r="L28" s="2" t="s">
        <v>60</v>
      </c>
      <c r="M28" s="1" t="s">
        <v>367</v>
      </c>
      <c r="N28" s="1" t="s">
        <v>62</v>
      </c>
      <c r="O28" s="1" t="s">
        <v>146</v>
      </c>
      <c r="P28" s="1" t="s">
        <v>274</v>
      </c>
      <c r="Q28" s="1">
        <v>8.45</v>
      </c>
      <c r="R28" s="1">
        <v>-80.85</v>
      </c>
      <c r="S28" s="1" t="s">
        <v>148</v>
      </c>
      <c r="T28" s="2" t="s">
        <v>80</v>
      </c>
      <c r="U28" s="3" t="s">
        <v>81</v>
      </c>
      <c r="V28" s="3" t="s">
        <v>68</v>
      </c>
      <c r="W28" s="2" t="s">
        <v>72</v>
      </c>
      <c r="X28" s="2" t="s">
        <v>355</v>
      </c>
      <c r="Y28" s="6" t="s">
        <v>76</v>
      </c>
      <c r="Z28" s="3" t="s">
        <v>84</v>
      </c>
      <c r="AB28" s="1">
        <v>12.0</v>
      </c>
      <c r="AI28" s="2" t="s">
        <v>72</v>
      </c>
      <c r="AJ28" s="1">
        <v>-12350.0</v>
      </c>
      <c r="AK28" s="1">
        <v>1950.0</v>
      </c>
      <c r="AL28" s="2" t="s">
        <v>153</v>
      </c>
      <c r="AM28" s="2" t="s">
        <v>72</v>
      </c>
      <c r="AN28" s="2" t="s">
        <v>72</v>
      </c>
      <c r="AO28" s="2" t="s">
        <v>72</v>
      </c>
      <c r="AQ28" s="2" t="s">
        <v>102</v>
      </c>
      <c r="AR28" s="2" t="s">
        <v>76</v>
      </c>
      <c r="AS28" s="1">
        <v>2747.0</v>
      </c>
      <c r="AT28" s="1">
        <v>2747.0</v>
      </c>
      <c r="AU28" s="1">
        <v>1232.0</v>
      </c>
      <c r="AV28" s="1">
        <v>7.0</v>
      </c>
      <c r="AW28" s="1">
        <v>94.0</v>
      </c>
      <c r="AX28" s="1">
        <v>7025.0</v>
      </c>
      <c r="AY28" s="1">
        <v>695.0</v>
      </c>
      <c r="AZ28" s="1" t="s">
        <v>281</v>
      </c>
      <c r="BA28" s="1" t="s">
        <v>121</v>
      </c>
    </row>
    <row r="29">
      <c r="A29" s="1" t="s">
        <v>356</v>
      </c>
      <c r="B29" s="1" t="s">
        <v>53</v>
      </c>
      <c r="C29" s="1">
        <v>1991.0</v>
      </c>
      <c r="D29" s="1" t="s">
        <v>357</v>
      </c>
      <c r="E29" s="1" t="s">
        <v>358</v>
      </c>
      <c r="F29" s="1" t="s">
        <v>359</v>
      </c>
      <c r="G29" s="1" t="s">
        <v>360</v>
      </c>
      <c r="H29" s="1" t="s">
        <v>361</v>
      </c>
      <c r="I29" s="1">
        <v>6.0</v>
      </c>
      <c r="J29" s="1">
        <v>3.0</v>
      </c>
      <c r="K29" s="2" t="s">
        <v>362</v>
      </c>
      <c r="L29" s="2" t="s">
        <v>60</v>
      </c>
      <c r="M29" s="1" t="s">
        <v>368</v>
      </c>
      <c r="N29" s="1" t="s">
        <v>62</v>
      </c>
      <c r="O29" s="1" t="s">
        <v>146</v>
      </c>
      <c r="P29" s="1" t="s">
        <v>274</v>
      </c>
      <c r="Q29" s="1">
        <v>8.45</v>
      </c>
      <c r="R29" s="1">
        <v>-80.85</v>
      </c>
      <c r="S29" s="1" t="s">
        <v>148</v>
      </c>
      <c r="T29" s="3" t="s">
        <v>1150</v>
      </c>
      <c r="U29" s="3" t="s">
        <v>81</v>
      </c>
      <c r="V29" s="3" t="s">
        <v>68</v>
      </c>
      <c r="W29" s="2" t="s">
        <v>72</v>
      </c>
      <c r="X29" s="2" t="s">
        <v>355</v>
      </c>
      <c r="Y29" s="6" t="s">
        <v>76</v>
      </c>
      <c r="Z29" s="3" t="s">
        <v>84</v>
      </c>
      <c r="AB29" s="1">
        <v>12.0</v>
      </c>
      <c r="AI29" s="2" t="s">
        <v>72</v>
      </c>
      <c r="AJ29" s="1">
        <v>-12350.0</v>
      </c>
      <c r="AK29" s="1">
        <v>1950.0</v>
      </c>
      <c r="AL29" s="2" t="s">
        <v>153</v>
      </c>
      <c r="AM29" s="2" t="s">
        <v>72</v>
      </c>
      <c r="AN29" s="2" t="s">
        <v>72</v>
      </c>
      <c r="AO29" s="2" t="s">
        <v>72</v>
      </c>
      <c r="AQ29" s="2" t="s">
        <v>102</v>
      </c>
      <c r="AR29" s="2" t="s">
        <v>76</v>
      </c>
      <c r="AS29" s="1">
        <v>2747.0</v>
      </c>
      <c r="AT29" s="1">
        <v>2747.0</v>
      </c>
      <c r="AU29" s="1">
        <v>1232.0</v>
      </c>
      <c r="AV29" s="1">
        <v>7.0</v>
      </c>
      <c r="AW29" s="1">
        <v>94.0</v>
      </c>
      <c r="AX29" s="1">
        <v>7025.0</v>
      </c>
      <c r="AY29" s="1">
        <v>695.0</v>
      </c>
      <c r="AZ29" s="1" t="s">
        <v>281</v>
      </c>
      <c r="BA29" s="1" t="s">
        <v>121</v>
      </c>
    </row>
    <row r="30">
      <c r="A30" s="1" t="s">
        <v>267</v>
      </c>
      <c r="B30" s="1" t="s">
        <v>53</v>
      </c>
      <c r="C30" s="1">
        <v>1992.0</v>
      </c>
      <c r="D30" s="1" t="s">
        <v>269</v>
      </c>
      <c r="E30" s="1" t="s">
        <v>270</v>
      </c>
      <c r="F30" s="3" t="s">
        <v>287</v>
      </c>
      <c r="G30" s="3" t="s">
        <v>288</v>
      </c>
      <c r="H30" s="1" t="s">
        <v>271</v>
      </c>
      <c r="I30" s="1">
        <v>62.0</v>
      </c>
      <c r="K30" s="2" t="s">
        <v>272</v>
      </c>
      <c r="L30" s="2" t="s">
        <v>60</v>
      </c>
      <c r="M30" s="1" t="s">
        <v>289</v>
      </c>
      <c r="N30" s="1" t="s">
        <v>62</v>
      </c>
      <c r="O30" s="1" t="s">
        <v>146</v>
      </c>
      <c r="P30" s="1" t="s">
        <v>274</v>
      </c>
      <c r="Q30" s="1">
        <v>8.45</v>
      </c>
      <c r="R30" s="1">
        <v>-80.85</v>
      </c>
      <c r="S30" s="1" t="s">
        <v>148</v>
      </c>
      <c r="T30" s="2" t="s">
        <v>149</v>
      </c>
      <c r="U30" s="1" t="s">
        <v>150</v>
      </c>
      <c r="V30" s="3" t="s">
        <v>97</v>
      </c>
      <c r="W30" s="1" t="s">
        <v>290</v>
      </c>
      <c r="X30" s="1" t="s">
        <v>70</v>
      </c>
      <c r="Y30" s="6" t="s">
        <v>76</v>
      </c>
      <c r="Z30" s="3" t="s">
        <v>76</v>
      </c>
      <c r="AB30" s="1">
        <v>12.0</v>
      </c>
      <c r="AI30" s="2" t="s">
        <v>72</v>
      </c>
      <c r="AJ30" s="1">
        <v>-12350.0</v>
      </c>
      <c r="AK30" s="1">
        <v>1950.0</v>
      </c>
      <c r="AL30" s="2" t="s">
        <v>153</v>
      </c>
      <c r="AM30" s="2" t="s">
        <v>60</v>
      </c>
      <c r="AN30" s="2" t="s">
        <v>72</v>
      </c>
      <c r="AO30" s="2" t="s">
        <v>72</v>
      </c>
      <c r="AP30" s="1" t="s">
        <v>280</v>
      </c>
      <c r="AQ30" s="2" t="s">
        <v>102</v>
      </c>
      <c r="AR30" s="2" t="s">
        <v>76</v>
      </c>
      <c r="AS30" s="1">
        <v>2747.0</v>
      </c>
      <c r="AT30" s="1">
        <v>2747.0</v>
      </c>
      <c r="AU30" s="1">
        <v>1232.0</v>
      </c>
      <c r="AV30" s="1">
        <v>7.0</v>
      </c>
      <c r="AW30" s="1">
        <v>94.0</v>
      </c>
      <c r="AX30" s="1">
        <v>7025.0</v>
      </c>
      <c r="AY30" s="1">
        <v>695.0</v>
      </c>
      <c r="AZ30" s="1" t="s">
        <v>281</v>
      </c>
      <c r="BA30" s="1" t="s">
        <v>121</v>
      </c>
    </row>
    <row r="31">
      <c r="A31" s="1" t="s">
        <v>267</v>
      </c>
      <c r="B31" s="1" t="s">
        <v>53</v>
      </c>
      <c r="C31" s="1">
        <v>1992.0</v>
      </c>
      <c r="D31" s="1" t="s">
        <v>269</v>
      </c>
      <c r="E31" s="1" t="s">
        <v>270</v>
      </c>
      <c r="F31" s="3" t="s">
        <v>287</v>
      </c>
      <c r="G31" s="3" t="s">
        <v>291</v>
      </c>
      <c r="H31" s="1" t="s">
        <v>271</v>
      </c>
      <c r="I31" s="1">
        <v>62.0</v>
      </c>
      <c r="K31" s="2" t="s">
        <v>272</v>
      </c>
      <c r="L31" s="2" t="s">
        <v>60</v>
      </c>
      <c r="M31" s="1" t="s">
        <v>292</v>
      </c>
      <c r="N31" s="1" t="s">
        <v>62</v>
      </c>
      <c r="O31" s="1" t="s">
        <v>146</v>
      </c>
      <c r="P31" s="1" t="s">
        <v>274</v>
      </c>
      <c r="Q31" s="1">
        <v>8.45</v>
      </c>
      <c r="R31" s="1">
        <v>-80.85</v>
      </c>
      <c r="S31" s="1" t="s">
        <v>148</v>
      </c>
      <c r="T31" s="2" t="s">
        <v>293</v>
      </c>
      <c r="U31" s="2" t="s">
        <v>294</v>
      </c>
      <c r="V31" s="3" t="s">
        <v>68</v>
      </c>
      <c r="W31" s="1" t="s">
        <v>295</v>
      </c>
      <c r="X31" s="1" t="s">
        <v>70</v>
      </c>
      <c r="Y31" s="5" t="s">
        <v>60</v>
      </c>
      <c r="Z31" s="3" t="s">
        <v>296</v>
      </c>
      <c r="AB31" s="1">
        <v>12.0</v>
      </c>
      <c r="AI31" s="2" t="s">
        <v>72</v>
      </c>
      <c r="AJ31" s="1">
        <v>-12350.0</v>
      </c>
      <c r="AK31" s="1">
        <v>1950.0</v>
      </c>
      <c r="AL31" s="2" t="s">
        <v>153</v>
      </c>
      <c r="AM31" s="2" t="s">
        <v>60</v>
      </c>
      <c r="AN31" s="2" t="s">
        <v>72</v>
      </c>
      <c r="AO31" s="2" t="s">
        <v>72</v>
      </c>
      <c r="AP31" s="1" t="s">
        <v>280</v>
      </c>
      <c r="AQ31" s="2" t="s">
        <v>102</v>
      </c>
      <c r="AR31" s="2" t="s">
        <v>76</v>
      </c>
      <c r="AS31" s="1">
        <v>2747.0</v>
      </c>
      <c r="AT31" s="1">
        <v>2747.0</v>
      </c>
      <c r="AU31" s="1">
        <v>1232.0</v>
      </c>
      <c r="AV31" s="1">
        <v>7.0</v>
      </c>
      <c r="AW31" s="1">
        <v>94.0</v>
      </c>
      <c r="AX31" s="1">
        <v>7025.0</v>
      </c>
      <c r="AY31" s="1">
        <v>695.0</v>
      </c>
      <c r="AZ31" s="1" t="s">
        <v>281</v>
      </c>
      <c r="BA31" s="1" t="s">
        <v>121</v>
      </c>
    </row>
    <row r="32">
      <c r="A32" s="1" t="s">
        <v>267</v>
      </c>
      <c r="B32" s="1" t="s">
        <v>53</v>
      </c>
      <c r="C32" s="1">
        <v>1992.0</v>
      </c>
      <c r="D32" s="1" t="s">
        <v>269</v>
      </c>
      <c r="E32" s="1" t="s">
        <v>270</v>
      </c>
      <c r="F32" s="3" t="s">
        <v>287</v>
      </c>
      <c r="G32" s="3" t="s">
        <v>297</v>
      </c>
      <c r="H32" s="1" t="s">
        <v>271</v>
      </c>
      <c r="I32" s="1">
        <v>62.0</v>
      </c>
      <c r="K32" s="2" t="s">
        <v>272</v>
      </c>
      <c r="L32" s="2" t="s">
        <v>60</v>
      </c>
      <c r="M32" s="1" t="s">
        <v>298</v>
      </c>
      <c r="N32" s="1" t="s">
        <v>62</v>
      </c>
      <c r="O32" s="1" t="s">
        <v>146</v>
      </c>
      <c r="P32" s="1" t="s">
        <v>274</v>
      </c>
      <c r="Q32" s="1">
        <v>8.45</v>
      </c>
      <c r="R32" s="1">
        <v>-80.85</v>
      </c>
      <c r="S32" s="1" t="s">
        <v>148</v>
      </c>
      <c r="T32" s="2" t="s">
        <v>194</v>
      </c>
      <c r="U32" s="1" t="s">
        <v>276</v>
      </c>
      <c r="V32" s="3" t="s">
        <v>299</v>
      </c>
      <c r="W32" s="1" t="s">
        <v>286</v>
      </c>
      <c r="X32" s="2" t="s">
        <v>72</v>
      </c>
      <c r="Y32" s="6" t="s">
        <v>76</v>
      </c>
      <c r="Z32" s="3" t="s">
        <v>76</v>
      </c>
      <c r="AB32" s="1">
        <v>12.0</v>
      </c>
      <c r="AI32" s="2" t="s">
        <v>72</v>
      </c>
      <c r="AJ32" s="1">
        <v>-12350.0</v>
      </c>
      <c r="AK32" s="1">
        <v>1950.0</v>
      </c>
      <c r="AL32" s="2" t="s">
        <v>153</v>
      </c>
      <c r="AM32" s="2" t="s">
        <v>60</v>
      </c>
      <c r="AN32" s="2" t="s">
        <v>72</v>
      </c>
      <c r="AO32" s="2" t="s">
        <v>72</v>
      </c>
      <c r="AP32" s="1" t="s">
        <v>280</v>
      </c>
      <c r="AQ32" s="2" t="s">
        <v>102</v>
      </c>
      <c r="AR32" s="2" t="s">
        <v>76</v>
      </c>
      <c r="AS32" s="1">
        <v>2747.0</v>
      </c>
      <c r="AT32" s="1">
        <v>2747.0</v>
      </c>
      <c r="AU32" s="1">
        <v>1232.0</v>
      </c>
      <c r="AV32" s="1">
        <v>7.0</v>
      </c>
      <c r="AW32" s="1">
        <v>94.0</v>
      </c>
      <c r="AX32" s="1">
        <v>7025.0</v>
      </c>
      <c r="AY32" s="1">
        <v>695.0</v>
      </c>
      <c r="AZ32" s="1" t="s">
        <v>281</v>
      </c>
      <c r="BA32" s="1" t="s">
        <v>121</v>
      </c>
    </row>
    <row r="33">
      <c r="A33" s="1" t="s">
        <v>267</v>
      </c>
      <c r="B33" s="1" t="s">
        <v>53</v>
      </c>
      <c r="C33" s="1">
        <v>1992.0</v>
      </c>
      <c r="D33" s="1" t="s">
        <v>269</v>
      </c>
      <c r="E33" s="1" t="s">
        <v>270</v>
      </c>
      <c r="F33" s="3" t="s">
        <v>287</v>
      </c>
      <c r="G33" s="3" t="s">
        <v>312</v>
      </c>
      <c r="H33" s="1" t="s">
        <v>271</v>
      </c>
      <c r="I33" s="1">
        <v>62.0</v>
      </c>
      <c r="K33" s="2" t="s">
        <v>272</v>
      </c>
      <c r="L33" s="2" t="s">
        <v>60</v>
      </c>
      <c r="M33" s="1" t="s">
        <v>313</v>
      </c>
      <c r="N33" s="1" t="s">
        <v>62</v>
      </c>
      <c r="O33" s="1" t="s">
        <v>146</v>
      </c>
      <c r="P33" s="1" t="s">
        <v>274</v>
      </c>
      <c r="Q33" s="1">
        <v>8.45</v>
      </c>
      <c r="R33" s="1">
        <v>-80.85</v>
      </c>
      <c r="S33" s="1" t="s">
        <v>148</v>
      </c>
      <c r="T33" s="2" t="s">
        <v>66</v>
      </c>
      <c r="U33" s="3" t="s">
        <v>314</v>
      </c>
      <c r="V33" s="3" t="s">
        <v>68</v>
      </c>
      <c r="W33" s="1" t="s">
        <v>315</v>
      </c>
      <c r="X33" s="1" t="s">
        <v>70</v>
      </c>
      <c r="Y33" s="6" t="s">
        <v>76</v>
      </c>
      <c r="Z33" s="3" t="s">
        <v>316</v>
      </c>
      <c r="AB33" s="1">
        <v>12.0</v>
      </c>
      <c r="AI33" s="2" t="s">
        <v>72</v>
      </c>
      <c r="AJ33" s="1">
        <v>-12350.0</v>
      </c>
      <c r="AK33" s="1">
        <v>1950.0</v>
      </c>
      <c r="AL33" s="2" t="s">
        <v>153</v>
      </c>
      <c r="AM33" s="2" t="s">
        <v>60</v>
      </c>
      <c r="AN33" s="2" t="s">
        <v>72</v>
      </c>
      <c r="AO33" s="2" t="s">
        <v>72</v>
      </c>
      <c r="AP33" s="1" t="s">
        <v>280</v>
      </c>
      <c r="AQ33" s="2" t="s">
        <v>102</v>
      </c>
      <c r="AR33" s="2" t="s">
        <v>76</v>
      </c>
      <c r="AS33" s="1">
        <v>2747.0</v>
      </c>
      <c r="AT33" s="1">
        <v>2747.0</v>
      </c>
      <c r="AU33" s="1">
        <v>1232.0</v>
      </c>
      <c r="AV33" s="1">
        <v>7.0</v>
      </c>
      <c r="AW33" s="1">
        <v>94.0</v>
      </c>
      <c r="AX33" s="1">
        <v>7025.0</v>
      </c>
      <c r="AY33" s="1">
        <v>695.0</v>
      </c>
      <c r="AZ33" s="1" t="s">
        <v>281</v>
      </c>
      <c r="BA33" s="1" t="s">
        <v>121</v>
      </c>
    </row>
    <row r="34">
      <c r="A34" s="1" t="s">
        <v>267</v>
      </c>
      <c r="B34" s="1" t="s">
        <v>53</v>
      </c>
      <c r="C34" s="1">
        <v>1992.0</v>
      </c>
      <c r="D34" s="1" t="s">
        <v>269</v>
      </c>
      <c r="E34" s="1" t="s">
        <v>270</v>
      </c>
      <c r="F34" s="3" t="s">
        <v>287</v>
      </c>
      <c r="G34" s="3" t="s">
        <v>317</v>
      </c>
      <c r="H34" s="1" t="s">
        <v>271</v>
      </c>
      <c r="I34" s="1">
        <v>62.0</v>
      </c>
      <c r="K34" s="2" t="s">
        <v>272</v>
      </c>
      <c r="L34" s="2" t="s">
        <v>60</v>
      </c>
      <c r="M34" s="1" t="s">
        <v>318</v>
      </c>
      <c r="N34" s="1" t="s">
        <v>62</v>
      </c>
      <c r="O34" s="1" t="s">
        <v>146</v>
      </c>
      <c r="P34" s="1" t="s">
        <v>274</v>
      </c>
      <c r="Q34" s="1">
        <v>8.45</v>
      </c>
      <c r="R34" s="1">
        <v>-80.85</v>
      </c>
      <c r="S34" s="1" t="s">
        <v>148</v>
      </c>
      <c r="T34" s="2" t="s">
        <v>80</v>
      </c>
      <c r="U34" s="3" t="s">
        <v>81</v>
      </c>
      <c r="V34" s="3" t="s">
        <v>68</v>
      </c>
      <c r="W34" s="1" t="s">
        <v>319</v>
      </c>
      <c r="X34" s="2" t="s">
        <v>70</v>
      </c>
      <c r="Y34" s="6" t="s">
        <v>76</v>
      </c>
      <c r="Z34" s="3" t="s">
        <v>84</v>
      </c>
      <c r="AB34" s="1">
        <v>12.0</v>
      </c>
      <c r="AI34" s="2" t="s">
        <v>72</v>
      </c>
      <c r="AJ34" s="1">
        <v>-12350.0</v>
      </c>
      <c r="AK34" s="1">
        <v>1950.0</v>
      </c>
      <c r="AL34" s="2" t="s">
        <v>153</v>
      </c>
      <c r="AM34" s="2" t="s">
        <v>60</v>
      </c>
      <c r="AN34" s="2" t="s">
        <v>72</v>
      </c>
      <c r="AO34" s="2" t="s">
        <v>72</v>
      </c>
      <c r="AP34" s="1" t="s">
        <v>280</v>
      </c>
      <c r="AQ34" s="2" t="s">
        <v>102</v>
      </c>
      <c r="AR34" s="2" t="s">
        <v>76</v>
      </c>
      <c r="AS34" s="1">
        <v>2747.0</v>
      </c>
      <c r="AT34" s="1">
        <v>2747.0</v>
      </c>
      <c r="AU34" s="1">
        <v>1232.0</v>
      </c>
      <c r="AV34" s="1">
        <v>7.0</v>
      </c>
      <c r="AW34" s="1">
        <v>94.0</v>
      </c>
      <c r="AX34" s="1">
        <v>7025.0</v>
      </c>
      <c r="AY34" s="1">
        <v>695.0</v>
      </c>
      <c r="AZ34" s="1" t="s">
        <v>281</v>
      </c>
      <c r="BA34" s="1" t="s">
        <v>121</v>
      </c>
    </row>
    <row r="35">
      <c r="A35" s="1" t="s">
        <v>267</v>
      </c>
      <c r="B35" s="1" t="s">
        <v>53</v>
      </c>
      <c r="C35" s="1">
        <v>1992.0</v>
      </c>
      <c r="D35" s="1" t="s">
        <v>269</v>
      </c>
      <c r="E35" s="1" t="s">
        <v>270</v>
      </c>
      <c r="F35" s="3" t="s">
        <v>287</v>
      </c>
      <c r="G35" s="3" t="s">
        <v>320</v>
      </c>
      <c r="H35" s="1" t="s">
        <v>271</v>
      </c>
      <c r="I35" s="1">
        <v>62.0</v>
      </c>
      <c r="K35" s="2" t="s">
        <v>272</v>
      </c>
      <c r="L35" s="2" t="s">
        <v>60</v>
      </c>
      <c r="M35" s="1" t="s">
        <v>318</v>
      </c>
      <c r="N35" s="1" t="s">
        <v>62</v>
      </c>
      <c r="O35" s="1" t="s">
        <v>146</v>
      </c>
      <c r="P35" s="1" t="s">
        <v>274</v>
      </c>
      <c r="Q35" s="1">
        <v>8.45</v>
      </c>
      <c r="R35" s="1">
        <v>-80.85</v>
      </c>
      <c r="S35" s="1" t="s">
        <v>148</v>
      </c>
      <c r="T35" s="3" t="s">
        <v>1150</v>
      </c>
      <c r="U35" s="3" t="s">
        <v>81</v>
      </c>
      <c r="V35" s="3" t="s">
        <v>68</v>
      </c>
      <c r="W35" s="1" t="s">
        <v>319</v>
      </c>
      <c r="X35" s="2" t="s">
        <v>70</v>
      </c>
      <c r="Y35" s="6" t="s">
        <v>76</v>
      </c>
      <c r="Z35" s="3" t="s">
        <v>84</v>
      </c>
      <c r="AB35" s="1">
        <v>12.0</v>
      </c>
      <c r="AI35" s="2" t="s">
        <v>72</v>
      </c>
      <c r="AJ35" s="1">
        <v>-12350.0</v>
      </c>
      <c r="AK35" s="1">
        <v>1950.0</v>
      </c>
      <c r="AL35" s="2" t="s">
        <v>153</v>
      </c>
      <c r="AM35" s="2" t="s">
        <v>60</v>
      </c>
      <c r="AN35" s="2" t="s">
        <v>72</v>
      </c>
      <c r="AO35" s="2" t="s">
        <v>72</v>
      </c>
      <c r="AP35" s="1" t="s">
        <v>280</v>
      </c>
      <c r="AQ35" s="2" t="s">
        <v>102</v>
      </c>
      <c r="AR35" s="2" t="s">
        <v>76</v>
      </c>
      <c r="AS35" s="1">
        <v>2747.0</v>
      </c>
      <c r="AT35" s="1">
        <v>2747.0</v>
      </c>
      <c r="AU35" s="1">
        <v>1232.0</v>
      </c>
      <c r="AV35" s="1">
        <v>7.0</v>
      </c>
      <c r="AW35" s="1">
        <v>94.0</v>
      </c>
      <c r="AX35" s="1">
        <v>7025.0</v>
      </c>
      <c r="AY35" s="1">
        <v>695.0</v>
      </c>
      <c r="AZ35" s="1" t="s">
        <v>281</v>
      </c>
      <c r="BA35" s="1" t="s">
        <v>121</v>
      </c>
    </row>
    <row r="36">
      <c r="A36" s="1" t="s">
        <v>1067</v>
      </c>
      <c r="B36" s="1" t="s">
        <v>53</v>
      </c>
      <c r="C36" s="1">
        <v>1992.0</v>
      </c>
      <c r="D36" s="1" t="s">
        <v>1068</v>
      </c>
      <c r="E36" s="1" t="s">
        <v>1069</v>
      </c>
      <c r="F36" s="1" t="s">
        <v>827</v>
      </c>
      <c r="H36" s="1" t="s">
        <v>1070</v>
      </c>
      <c r="I36" s="1">
        <v>7.0</v>
      </c>
      <c r="J36" s="1">
        <v>3.0</v>
      </c>
      <c r="K36" s="2" t="s">
        <v>1071</v>
      </c>
      <c r="L36" s="2" t="s">
        <v>76</v>
      </c>
      <c r="M36" s="1" t="s">
        <v>1067</v>
      </c>
      <c r="N36" s="1" t="s">
        <v>62</v>
      </c>
      <c r="O36" s="1" t="s">
        <v>112</v>
      </c>
      <c r="P36" s="1" t="s">
        <v>1072</v>
      </c>
      <c r="Q36" s="1">
        <v>9.683333</v>
      </c>
      <c r="R36" s="1">
        <v>-83.95</v>
      </c>
      <c r="S36" s="1" t="s">
        <v>114</v>
      </c>
      <c r="T36" s="2" t="s">
        <v>66</v>
      </c>
      <c r="U36" s="2" t="s">
        <v>1073</v>
      </c>
      <c r="V36" s="3" t="s">
        <v>97</v>
      </c>
      <c r="W36" s="1" t="s">
        <v>1074</v>
      </c>
      <c r="X36" s="1" t="s">
        <v>70</v>
      </c>
      <c r="Y36" s="6" t="s">
        <v>76</v>
      </c>
      <c r="Z36" s="3" t="s">
        <v>76</v>
      </c>
      <c r="AA36" s="1">
        <v>1.0</v>
      </c>
      <c r="AB36" s="1">
        <v>2.0</v>
      </c>
      <c r="AI36" s="2" t="s">
        <v>72</v>
      </c>
      <c r="AJ36" s="1">
        <v>-78050.0</v>
      </c>
      <c r="AK36" s="1">
        <v>560.0</v>
      </c>
      <c r="AL36" s="2" t="s">
        <v>100</v>
      </c>
      <c r="AM36" s="2" t="s">
        <v>72</v>
      </c>
      <c r="AN36" s="1" t="s">
        <v>1075</v>
      </c>
      <c r="AO36" s="2" t="s">
        <v>72</v>
      </c>
      <c r="AQ36" s="2" t="s">
        <v>75</v>
      </c>
      <c r="AR36" s="2" t="s">
        <v>76</v>
      </c>
      <c r="AS36" s="1">
        <v>2384.0</v>
      </c>
      <c r="AT36" s="1">
        <v>2384.0</v>
      </c>
      <c r="AU36" s="1">
        <v>1211.0</v>
      </c>
      <c r="AV36" s="1">
        <v>13.0</v>
      </c>
      <c r="AW36" s="1">
        <v>51.0</v>
      </c>
      <c r="AX36" s="1">
        <v>8299.0</v>
      </c>
      <c r="AY36" s="1">
        <v>2279.0</v>
      </c>
      <c r="AZ36" s="1" t="s">
        <v>627</v>
      </c>
      <c r="BA36" s="1" t="s">
        <v>121</v>
      </c>
    </row>
    <row r="37">
      <c r="A37" s="1" t="s">
        <v>300</v>
      </c>
      <c r="B37" s="1" t="s">
        <v>53</v>
      </c>
      <c r="C37" s="1">
        <v>1993.0</v>
      </c>
      <c r="D37" s="1" t="s">
        <v>301</v>
      </c>
      <c r="E37" s="1" t="s">
        <v>302</v>
      </c>
      <c r="F37" s="1" t="s">
        <v>303</v>
      </c>
      <c r="G37" s="1" t="s">
        <v>304</v>
      </c>
      <c r="H37" s="1" t="s">
        <v>305</v>
      </c>
      <c r="I37" s="1">
        <v>40.0</v>
      </c>
      <c r="J37" s="1">
        <v>1.0</v>
      </c>
      <c r="K37" s="2" t="s">
        <v>306</v>
      </c>
      <c r="L37" s="2" t="s">
        <v>60</v>
      </c>
      <c r="M37" s="1" t="s">
        <v>1521</v>
      </c>
      <c r="N37" s="1" t="s">
        <v>62</v>
      </c>
      <c r="O37" s="1" t="s">
        <v>112</v>
      </c>
      <c r="P37" s="1" t="s">
        <v>308</v>
      </c>
      <c r="Q37" s="1">
        <v>9.483333</v>
      </c>
      <c r="R37" s="1">
        <v>-83.483333</v>
      </c>
      <c r="S37" s="1" t="s">
        <v>148</v>
      </c>
      <c r="T37" s="2" t="s">
        <v>80</v>
      </c>
      <c r="U37" s="3" t="s">
        <v>81</v>
      </c>
      <c r="V37" s="3" t="s">
        <v>68</v>
      </c>
      <c r="W37" s="1" t="s">
        <v>319</v>
      </c>
      <c r="X37" s="1" t="s">
        <v>1522</v>
      </c>
      <c r="Y37" s="6" t="s">
        <v>76</v>
      </c>
      <c r="Z37" s="3" t="s">
        <v>84</v>
      </c>
      <c r="AB37" s="1">
        <v>6.0</v>
      </c>
      <c r="AI37" s="2" t="s">
        <v>72</v>
      </c>
      <c r="AJ37" s="1">
        <v>-8190.0</v>
      </c>
      <c r="AK37" s="1">
        <v>1989.0</v>
      </c>
      <c r="AL37" s="2" t="s">
        <v>73</v>
      </c>
      <c r="AM37" s="2" t="s">
        <v>72</v>
      </c>
      <c r="AN37" s="2" t="s">
        <v>72</v>
      </c>
      <c r="AO37" s="2" t="s">
        <v>72</v>
      </c>
      <c r="AP37" s="1" t="s">
        <v>280</v>
      </c>
      <c r="AQ37" s="2" t="s">
        <v>102</v>
      </c>
      <c r="AR37" s="2" t="s">
        <v>76</v>
      </c>
      <c r="AS37" s="1">
        <v>2460.0</v>
      </c>
      <c r="AT37" s="1">
        <v>2460.0</v>
      </c>
      <c r="AU37" s="1">
        <v>1018.0</v>
      </c>
      <c r="AV37" s="1">
        <v>19.0</v>
      </c>
      <c r="AW37" s="1">
        <v>83.0</v>
      </c>
      <c r="AX37" s="1">
        <v>6914.0</v>
      </c>
      <c r="AY37" s="1">
        <v>3512.0</v>
      </c>
      <c r="AZ37" s="1" t="s">
        <v>154</v>
      </c>
      <c r="BA37" s="1" t="s">
        <v>121</v>
      </c>
    </row>
    <row r="38">
      <c r="A38" s="1" t="s">
        <v>300</v>
      </c>
      <c r="B38" s="1" t="s">
        <v>53</v>
      </c>
      <c r="C38" s="1">
        <v>1993.0</v>
      </c>
      <c r="D38" s="1" t="s">
        <v>301</v>
      </c>
      <c r="E38" s="1" t="s">
        <v>302</v>
      </c>
      <c r="F38" s="1" t="s">
        <v>303</v>
      </c>
      <c r="G38" s="1" t="s">
        <v>304</v>
      </c>
      <c r="H38" s="1" t="s">
        <v>305</v>
      </c>
      <c r="I38" s="1">
        <v>40.0</v>
      </c>
      <c r="J38" s="1">
        <v>1.0</v>
      </c>
      <c r="K38" s="2" t="s">
        <v>306</v>
      </c>
      <c r="L38" s="2" t="s">
        <v>60</v>
      </c>
      <c r="M38" s="1" t="s">
        <v>1523</v>
      </c>
      <c r="N38" s="1" t="s">
        <v>62</v>
      </c>
      <c r="O38" s="1" t="s">
        <v>112</v>
      </c>
      <c r="P38" s="1" t="s">
        <v>308</v>
      </c>
      <c r="Q38" s="1">
        <v>9.483333</v>
      </c>
      <c r="R38" s="1">
        <v>-83.483333</v>
      </c>
      <c r="S38" s="1" t="s">
        <v>148</v>
      </c>
      <c r="T38" s="2" t="s">
        <v>66</v>
      </c>
      <c r="U38" s="2" t="s">
        <v>1524</v>
      </c>
      <c r="V38" s="3" t="s">
        <v>788</v>
      </c>
      <c r="W38" s="1" t="s">
        <v>1525</v>
      </c>
      <c r="X38" s="1" t="s">
        <v>70</v>
      </c>
      <c r="Y38" s="5" t="s">
        <v>76</v>
      </c>
      <c r="Z38" s="3" t="s">
        <v>76</v>
      </c>
      <c r="AB38" s="1">
        <v>6.0</v>
      </c>
      <c r="AI38" s="2" t="s">
        <v>72</v>
      </c>
      <c r="AJ38" s="1">
        <v>-8190.0</v>
      </c>
      <c r="AK38" s="1">
        <v>1989.0</v>
      </c>
      <c r="AL38" s="2" t="s">
        <v>73</v>
      </c>
      <c r="AM38" s="2" t="s">
        <v>72</v>
      </c>
      <c r="AN38" s="2" t="s">
        <v>72</v>
      </c>
      <c r="AO38" s="2" t="s">
        <v>72</v>
      </c>
      <c r="AP38" s="1" t="s">
        <v>280</v>
      </c>
      <c r="AQ38" s="2" t="s">
        <v>102</v>
      </c>
      <c r="AR38" s="2" t="s">
        <v>76</v>
      </c>
      <c r="AS38" s="1">
        <v>2460.0</v>
      </c>
      <c r="AT38" s="1">
        <v>2460.0</v>
      </c>
      <c r="AU38" s="1">
        <v>1018.0</v>
      </c>
      <c r="AV38" s="1">
        <v>19.0</v>
      </c>
      <c r="AW38" s="1">
        <v>83.0</v>
      </c>
      <c r="AX38" s="1">
        <v>6914.0</v>
      </c>
      <c r="AY38" s="1">
        <v>3512.0</v>
      </c>
      <c r="AZ38" s="1" t="s">
        <v>154</v>
      </c>
      <c r="BA38" s="1" t="s">
        <v>121</v>
      </c>
    </row>
    <row r="39">
      <c r="A39" s="1" t="s">
        <v>1526</v>
      </c>
      <c r="B39" s="1" t="s">
        <v>53</v>
      </c>
      <c r="C39" s="1">
        <v>1994.0</v>
      </c>
      <c r="D39" s="1" t="s">
        <v>1527</v>
      </c>
      <c r="E39" s="1" t="s">
        <v>1528</v>
      </c>
      <c r="F39" s="1" t="s">
        <v>303</v>
      </c>
      <c r="G39" s="1" t="s">
        <v>1529</v>
      </c>
      <c r="H39" s="1" t="s">
        <v>1530</v>
      </c>
      <c r="I39" s="1">
        <v>41.0</v>
      </c>
      <c r="J39" s="1">
        <v>1.0</v>
      </c>
      <c r="K39" s="2" t="s">
        <v>1531</v>
      </c>
      <c r="L39" s="2" t="s">
        <v>60</v>
      </c>
      <c r="M39" s="1" t="s">
        <v>1532</v>
      </c>
      <c r="N39" s="1" t="s">
        <v>62</v>
      </c>
      <c r="O39" s="1" t="s">
        <v>187</v>
      </c>
      <c r="P39" s="1" t="s">
        <v>188</v>
      </c>
      <c r="Q39" s="1">
        <v>17.937719</v>
      </c>
      <c r="R39" s="1">
        <v>-88.366374</v>
      </c>
      <c r="S39" s="1" t="s">
        <v>114</v>
      </c>
      <c r="T39" s="2" t="s">
        <v>927</v>
      </c>
      <c r="U39" s="1" t="s">
        <v>1533</v>
      </c>
      <c r="V39" s="3" t="s">
        <v>97</v>
      </c>
      <c r="W39" s="1" t="s">
        <v>1534</v>
      </c>
      <c r="X39" s="1" t="s">
        <v>70</v>
      </c>
      <c r="Y39" s="6" t="s">
        <v>76</v>
      </c>
      <c r="Z39" s="3" t="s">
        <v>76</v>
      </c>
      <c r="AB39" s="1">
        <v>5.0</v>
      </c>
      <c r="AI39" s="2" t="s">
        <v>72</v>
      </c>
      <c r="AJ39" s="1">
        <v>-5340.0</v>
      </c>
      <c r="AK39" s="1">
        <v>1950.0</v>
      </c>
      <c r="AL39" s="2" t="s">
        <v>73</v>
      </c>
      <c r="AM39" s="2" t="s">
        <v>72</v>
      </c>
      <c r="AN39" s="2" t="s">
        <v>72</v>
      </c>
      <c r="AO39" s="2" t="s">
        <v>72</v>
      </c>
      <c r="AQ39" s="2" t="s">
        <v>75</v>
      </c>
      <c r="AR39" s="2" t="s">
        <v>76</v>
      </c>
      <c r="AS39" s="1">
        <v>1641.0</v>
      </c>
      <c r="AT39" s="1">
        <v>1641.0</v>
      </c>
      <c r="AU39" s="1">
        <v>627.0</v>
      </c>
      <c r="AV39" s="1">
        <v>42.0</v>
      </c>
      <c r="AW39" s="1">
        <v>136.0</v>
      </c>
      <c r="AX39" s="1">
        <v>5337.0</v>
      </c>
      <c r="AY39" s="1">
        <v>15.0</v>
      </c>
      <c r="AZ39" s="1" t="s">
        <v>133</v>
      </c>
      <c r="BA39" s="1" t="s">
        <v>121</v>
      </c>
    </row>
    <row r="40">
      <c r="A40" s="1" t="s">
        <v>1526</v>
      </c>
      <c r="B40" s="1" t="s">
        <v>53</v>
      </c>
      <c r="C40" s="1">
        <v>1994.0</v>
      </c>
      <c r="D40" s="1" t="s">
        <v>1527</v>
      </c>
      <c r="E40" s="1" t="s">
        <v>1528</v>
      </c>
      <c r="F40" s="1" t="s">
        <v>303</v>
      </c>
      <c r="G40" s="1" t="s">
        <v>1529</v>
      </c>
      <c r="H40" s="1" t="s">
        <v>1530</v>
      </c>
      <c r="I40" s="1">
        <v>41.0</v>
      </c>
      <c r="J40" s="1">
        <v>1.0</v>
      </c>
      <c r="K40" s="2" t="s">
        <v>1531</v>
      </c>
      <c r="L40" s="2" t="s">
        <v>60</v>
      </c>
      <c r="M40" s="1" t="s">
        <v>1535</v>
      </c>
      <c r="N40" s="1" t="s">
        <v>62</v>
      </c>
      <c r="O40" s="1" t="s">
        <v>187</v>
      </c>
      <c r="P40" s="1" t="s">
        <v>188</v>
      </c>
      <c r="Q40" s="1">
        <v>17.937719</v>
      </c>
      <c r="R40" s="1">
        <v>-88.366374</v>
      </c>
      <c r="S40" s="1" t="s">
        <v>114</v>
      </c>
      <c r="T40" s="2" t="s">
        <v>204</v>
      </c>
      <c r="U40" s="1" t="s">
        <v>1533</v>
      </c>
      <c r="V40" s="3" t="s">
        <v>97</v>
      </c>
      <c r="W40" s="1" t="s">
        <v>1534</v>
      </c>
      <c r="X40" s="1" t="s">
        <v>70</v>
      </c>
      <c r="Y40" s="6" t="s">
        <v>76</v>
      </c>
      <c r="Z40" s="3" t="s">
        <v>76</v>
      </c>
      <c r="AB40" s="1">
        <v>5.0</v>
      </c>
      <c r="AI40" s="2" t="s">
        <v>72</v>
      </c>
      <c r="AJ40" s="1">
        <v>-5340.0</v>
      </c>
      <c r="AK40" s="1">
        <v>1950.0</v>
      </c>
      <c r="AL40" s="2" t="s">
        <v>73</v>
      </c>
      <c r="AM40" s="2" t="s">
        <v>72</v>
      </c>
      <c r="AN40" s="2" t="s">
        <v>72</v>
      </c>
      <c r="AO40" s="2" t="s">
        <v>72</v>
      </c>
      <c r="AQ40" s="2" t="s">
        <v>75</v>
      </c>
      <c r="AR40" s="2" t="s">
        <v>76</v>
      </c>
      <c r="AS40" s="1">
        <v>1641.0</v>
      </c>
      <c r="AT40" s="1">
        <v>1641.0</v>
      </c>
      <c r="AU40" s="1">
        <v>627.0</v>
      </c>
      <c r="AV40" s="1">
        <v>42.0</v>
      </c>
      <c r="AW40" s="1">
        <v>136.0</v>
      </c>
      <c r="AX40" s="1">
        <v>5337.0</v>
      </c>
      <c r="AY40" s="1">
        <v>15.0</v>
      </c>
      <c r="AZ40" s="1" t="s">
        <v>133</v>
      </c>
      <c r="BA40" s="1" t="s">
        <v>121</v>
      </c>
    </row>
    <row r="41">
      <c r="A41" s="1" t="s">
        <v>1526</v>
      </c>
      <c r="B41" s="1" t="s">
        <v>53</v>
      </c>
      <c r="C41" s="1">
        <v>1994.0</v>
      </c>
      <c r="D41" s="1" t="s">
        <v>1527</v>
      </c>
      <c r="E41" s="1" t="s">
        <v>1528</v>
      </c>
      <c r="F41" s="1" t="s">
        <v>303</v>
      </c>
      <c r="G41" s="1" t="s">
        <v>1529</v>
      </c>
      <c r="H41" s="1" t="s">
        <v>1530</v>
      </c>
      <c r="I41" s="1">
        <v>41.0</v>
      </c>
      <c r="J41" s="1">
        <v>1.0</v>
      </c>
      <c r="K41" s="2" t="s">
        <v>1531</v>
      </c>
      <c r="L41" s="2" t="s">
        <v>60</v>
      </c>
      <c r="M41" s="1" t="s">
        <v>1536</v>
      </c>
      <c r="N41" s="1" t="s">
        <v>62</v>
      </c>
      <c r="O41" s="1" t="s">
        <v>187</v>
      </c>
      <c r="P41" s="1" t="s">
        <v>188</v>
      </c>
      <c r="Q41" s="1">
        <v>17.937719</v>
      </c>
      <c r="R41" s="1">
        <v>-88.366374</v>
      </c>
      <c r="S41" s="1" t="s">
        <v>114</v>
      </c>
      <c r="T41" s="2" t="s">
        <v>275</v>
      </c>
      <c r="U41" s="1" t="s">
        <v>276</v>
      </c>
      <c r="V41" s="3" t="s">
        <v>97</v>
      </c>
      <c r="W41" s="1" t="s">
        <v>278</v>
      </c>
      <c r="X41" s="1" t="s">
        <v>279</v>
      </c>
      <c r="Y41" s="6" t="s">
        <v>76</v>
      </c>
      <c r="Z41" s="3" t="s">
        <v>76</v>
      </c>
      <c r="AB41" s="1">
        <v>5.0</v>
      </c>
      <c r="AI41" s="2" t="s">
        <v>72</v>
      </c>
      <c r="AJ41" s="1">
        <v>-5340.0</v>
      </c>
      <c r="AK41" s="1">
        <v>1950.0</v>
      </c>
      <c r="AL41" s="2" t="s">
        <v>73</v>
      </c>
      <c r="AM41" s="2" t="s">
        <v>72</v>
      </c>
      <c r="AN41" s="2" t="s">
        <v>72</v>
      </c>
      <c r="AO41" s="2" t="s">
        <v>72</v>
      </c>
      <c r="AQ41" s="2" t="s">
        <v>75</v>
      </c>
      <c r="AR41" s="2" t="s">
        <v>76</v>
      </c>
      <c r="AS41" s="1">
        <v>1641.0</v>
      </c>
      <c r="AT41" s="1">
        <v>1641.0</v>
      </c>
      <c r="AU41" s="1">
        <v>627.0</v>
      </c>
      <c r="AV41" s="1">
        <v>42.0</v>
      </c>
      <c r="AW41" s="1">
        <v>136.0</v>
      </c>
      <c r="AX41" s="1">
        <v>5337.0</v>
      </c>
      <c r="AY41" s="1">
        <v>15.0</v>
      </c>
      <c r="AZ41" s="1" t="s">
        <v>133</v>
      </c>
      <c r="BA41" s="1" t="s">
        <v>121</v>
      </c>
    </row>
    <row r="42">
      <c r="A42" s="1" t="s">
        <v>1526</v>
      </c>
      <c r="B42" s="1" t="s">
        <v>53</v>
      </c>
      <c r="C42" s="1">
        <v>1994.0</v>
      </c>
      <c r="D42" s="1" t="s">
        <v>1527</v>
      </c>
      <c r="E42" s="1" t="s">
        <v>1528</v>
      </c>
      <c r="F42" s="1" t="s">
        <v>303</v>
      </c>
      <c r="G42" s="1" t="s">
        <v>1529</v>
      </c>
      <c r="H42" s="1" t="s">
        <v>1530</v>
      </c>
      <c r="I42" s="1">
        <v>41.0</v>
      </c>
      <c r="J42" s="1">
        <v>1.0</v>
      </c>
      <c r="K42" s="2" t="s">
        <v>1531</v>
      </c>
      <c r="L42" s="2" t="s">
        <v>60</v>
      </c>
      <c r="M42" s="1" t="s">
        <v>1537</v>
      </c>
      <c r="N42" s="1" t="s">
        <v>62</v>
      </c>
      <c r="O42" s="1" t="s">
        <v>187</v>
      </c>
      <c r="P42" s="1" t="s">
        <v>188</v>
      </c>
      <c r="Q42" s="1">
        <v>17.937719</v>
      </c>
      <c r="R42" s="1">
        <v>-88.366374</v>
      </c>
      <c r="S42" s="1" t="s">
        <v>114</v>
      </c>
      <c r="T42" s="2" t="s">
        <v>614</v>
      </c>
      <c r="U42" s="1" t="s">
        <v>1533</v>
      </c>
      <c r="V42" s="3" t="s">
        <v>97</v>
      </c>
      <c r="W42" s="1" t="s">
        <v>1534</v>
      </c>
      <c r="X42" s="1" t="s">
        <v>70</v>
      </c>
      <c r="Y42" s="6" t="s">
        <v>76</v>
      </c>
      <c r="Z42" s="3" t="s">
        <v>76</v>
      </c>
      <c r="AB42" s="1">
        <v>5.0</v>
      </c>
      <c r="AI42" s="2" t="s">
        <v>72</v>
      </c>
      <c r="AJ42" s="1">
        <v>-5340.0</v>
      </c>
      <c r="AK42" s="1">
        <v>1950.0</v>
      </c>
      <c r="AL42" s="2" t="s">
        <v>73</v>
      </c>
      <c r="AM42" s="2" t="s">
        <v>72</v>
      </c>
      <c r="AN42" s="2" t="s">
        <v>72</v>
      </c>
      <c r="AO42" s="2" t="s">
        <v>72</v>
      </c>
      <c r="AQ42" s="2" t="s">
        <v>75</v>
      </c>
      <c r="AR42" s="2" t="s">
        <v>76</v>
      </c>
      <c r="AS42" s="1">
        <v>1641.0</v>
      </c>
      <c r="AT42" s="1">
        <v>1641.0</v>
      </c>
      <c r="AU42" s="1">
        <v>627.0</v>
      </c>
      <c r="AV42" s="1">
        <v>42.0</v>
      </c>
      <c r="AW42" s="1">
        <v>136.0</v>
      </c>
      <c r="AX42" s="1">
        <v>5337.0</v>
      </c>
      <c r="AY42" s="1">
        <v>15.0</v>
      </c>
      <c r="AZ42" s="1" t="s">
        <v>133</v>
      </c>
      <c r="BA42" s="1" t="s">
        <v>121</v>
      </c>
    </row>
    <row r="43">
      <c r="A43" s="1" t="s">
        <v>1920</v>
      </c>
      <c r="B43" s="1" t="s">
        <v>53</v>
      </c>
      <c r="C43" s="1">
        <v>1994.0</v>
      </c>
      <c r="D43" s="1" t="s">
        <v>1921</v>
      </c>
      <c r="E43" s="1" t="s">
        <v>1922</v>
      </c>
      <c r="H43" s="1" t="s">
        <v>1924</v>
      </c>
      <c r="I43" s="1">
        <v>75.0</v>
      </c>
      <c r="K43" s="2" t="s">
        <v>1925</v>
      </c>
      <c r="L43" s="2" t="s">
        <v>60</v>
      </c>
      <c r="M43" s="1" t="s">
        <v>1926</v>
      </c>
      <c r="N43" s="1" t="s">
        <v>62</v>
      </c>
      <c r="O43" s="1" t="s">
        <v>146</v>
      </c>
      <c r="P43" s="1" t="s">
        <v>1927</v>
      </c>
      <c r="Q43" s="1">
        <v>7.75</v>
      </c>
      <c r="R43" s="1">
        <v>-77.583333</v>
      </c>
      <c r="S43" s="1" t="s">
        <v>148</v>
      </c>
      <c r="T43" s="2" t="s">
        <v>149</v>
      </c>
      <c r="U43" s="2" t="s">
        <v>727</v>
      </c>
      <c r="V43" s="3" t="s">
        <v>97</v>
      </c>
      <c r="W43" s="1" t="s">
        <v>1928</v>
      </c>
      <c r="X43" s="1" t="s">
        <v>70</v>
      </c>
      <c r="Y43" s="6" t="s">
        <v>76</v>
      </c>
      <c r="Z43" s="3" t="s">
        <v>76</v>
      </c>
      <c r="AB43" s="1">
        <v>7.0</v>
      </c>
      <c r="AI43" s="2" t="s">
        <v>72</v>
      </c>
      <c r="AJ43" s="1">
        <v>-1960.0</v>
      </c>
      <c r="AK43" s="1">
        <v>1640.0</v>
      </c>
      <c r="AL43" s="3" t="s">
        <v>73</v>
      </c>
      <c r="AM43" s="2" t="s">
        <v>72</v>
      </c>
      <c r="AN43" s="2" t="s">
        <v>72</v>
      </c>
      <c r="AO43" s="2" t="s">
        <v>72</v>
      </c>
      <c r="AQ43" s="2" t="s">
        <v>75</v>
      </c>
      <c r="AR43" s="2" t="s">
        <v>76</v>
      </c>
      <c r="AS43" s="1">
        <v>2886.0</v>
      </c>
      <c r="AT43" s="1">
        <v>2886.0</v>
      </c>
      <c r="AU43" s="1">
        <v>1202.0</v>
      </c>
      <c r="AV43" s="1">
        <v>22.0</v>
      </c>
      <c r="AW43" s="1">
        <v>120.0</v>
      </c>
      <c r="AX43" s="1">
        <v>6329.0</v>
      </c>
      <c r="AY43" s="1">
        <v>415.0</v>
      </c>
      <c r="AZ43" s="1" t="s">
        <v>1929</v>
      </c>
      <c r="BA43" s="1" t="s">
        <v>121</v>
      </c>
    </row>
    <row r="44">
      <c r="A44" s="1" t="s">
        <v>1920</v>
      </c>
      <c r="B44" s="1" t="s">
        <v>53</v>
      </c>
      <c r="C44" s="1">
        <v>1994.0</v>
      </c>
      <c r="D44" s="1" t="s">
        <v>1921</v>
      </c>
      <c r="E44" s="1" t="s">
        <v>1922</v>
      </c>
      <c r="H44" s="1" t="s">
        <v>1924</v>
      </c>
      <c r="I44" s="1">
        <v>75.0</v>
      </c>
      <c r="K44" s="2" t="s">
        <v>1925</v>
      </c>
      <c r="L44" s="2" t="s">
        <v>60</v>
      </c>
      <c r="M44" s="1" t="s">
        <v>1930</v>
      </c>
      <c r="N44" s="1" t="s">
        <v>62</v>
      </c>
      <c r="O44" s="1" t="s">
        <v>146</v>
      </c>
      <c r="P44" s="1" t="s">
        <v>1927</v>
      </c>
      <c r="Q44" s="1">
        <v>7.75</v>
      </c>
      <c r="R44" s="1">
        <v>-77.583333</v>
      </c>
      <c r="S44" s="1" t="s">
        <v>148</v>
      </c>
      <c r="T44" s="2" t="s">
        <v>66</v>
      </c>
      <c r="U44" s="3" t="s">
        <v>67</v>
      </c>
      <c r="V44" s="3" t="s">
        <v>68</v>
      </c>
      <c r="W44" s="1" t="s">
        <v>1931</v>
      </c>
      <c r="X44" s="1" t="s">
        <v>70</v>
      </c>
      <c r="Y44" s="5" t="s">
        <v>60</v>
      </c>
      <c r="Z44" s="3" t="s">
        <v>625</v>
      </c>
      <c r="AB44" s="1">
        <v>7.0</v>
      </c>
      <c r="AI44" s="2" t="s">
        <v>72</v>
      </c>
      <c r="AJ44" s="1">
        <v>-1960.0</v>
      </c>
      <c r="AK44" s="1">
        <v>1640.0</v>
      </c>
      <c r="AL44" s="3" t="s">
        <v>73</v>
      </c>
      <c r="AM44" s="2" t="s">
        <v>72</v>
      </c>
      <c r="AN44" s="2" t="s">
        <v>72</v>
      </c>
      <c r="AO44" s="2" t="s">
        <v>72</v>
      </c>
      <c r="AQ44" s="2" t="s">
        <v>75</v>
      </c>
      <c r="AR44" s="2" t="s">
        <v>76</v>
      </c>
      <c r="AS44" s="1">
        <v>2886.0</v>
      </c>
      <c r="AT44" s="1">
        <v>2886.0</v>
      </c>
      <c r="AU44" s="1">
        <v>1202.0</v>
      </c>
      <c r="AV44" s="1">
        <v>22.0</v>
      </c>
      <c r="AW44" s="1">
        <v>120.0</v>
      </c>
      <c r="AX44" s="1">
        <v>6329.0</v>
      </c>
      <c r="AY44" s="1">
        <v>415.0</v>
      </c>
      <c r="AZ44" s="1" t="s">
        <v>1929</v>
      </c>
      <c r="BA44" s="1" t="s">
        <v>121</v>
      </c>
    </row>
    <row r="45">
      <c r="A45" s="1" t="s">
        <v>1920</v>
      </c>
      <c r="B45" s="1" t="s">
        <v>53</v>
      </c>
      <c r="C45" s="1">
        <v>1994.0</v>
      </c>
      <c r="D45" s="1" t="s">
        <v>1921</v>
      </c>
      <c r="E45" s="1" t="s">
        <v>1922</v>
      </c>
      <c r="H45" s="1" t="s">
        <v>1924</v>
      </c>
      <c r="I45" s="1">
        <v>75.0</v>
      </c>
      <c r="K45" s="2" t="s">
        <v>1925</v>
      </c>
      <c r="L45" s="2" t="s">
        <v>60</v>
      </c>
      <c r="M45" s="1" t="s">
        <v>1932</v>
      </c>
      <c r="N45" s="1" t="s">
        <v>62</v>
      </c>
      <c r="O45" s="1" t="s">
        <v>146</v>
      </c>
      <c r="P45" s="1" t="s">
        <v>1933</v>
      </c>
      <c r="Q45" s="1">
        <v>7.75</v>
      </c>
      <c r="R45" s="1">
        <v>-77.583333</v>
      </c>
      <c r="S45" s="1" t="s">
        <v>114</v>
      </c>
      <c r="T45" s="3" t="s">
        <v>1150</v>
      </c>
      <c r="U45" s="8" t="s">
        <v>67</v>
      </c>
      <c r="V45" s="3" t="s">
        <v>68</v>
      </c>
      <c r="W45" s="3" t="s">
        <v>72</v>
      </c>
      <c r="X45" s="2" t="s">
        <v>83</v>
      </c>
      <c r="Y45" s="5" t="s">
        <v>60</v>
      </c>
      <c r="Z45" s="3" t="s">
        <v>84</v>
      </c>
      <c r="AB45" s="1">
        <v>1.0</v>
      </c>
      <c r="AI45" s="2" t="s">
        <v>72</v>
      </c>
      <c r="AJ45" s="1">
        <v>-1790.0</v>
      </c>
      <c r="AK45" s="2" t="s">
        <v>72</v>
      </c>
      <c r="AL45" s="3" t="s">
        <v>73</v>
      </c>
      <c r="AM45" s="2" t="s">
        <v>72</v>
      </c>
      <c r="AN45" s="2" t="s">
        <v>72</v>
      </c>
      <c r="AO45" s="2" t="s">
        <v>72</v>
      </c>
      <c r="AQ45" s="2" t="s">
        <v>75</v>
      </c>
      <c r="AR45" s="2" t="s">
        <v>76</v>
      </c>
      <c r="AS45" s="1">
        <v>2886.0</v>
      </c>
      <c r="AT45" s="1">
        <v>2886.0</v>
      </c>
      <c r="AU45" s="1">
        <v>1202.0</v>
      </c>
      <c r="AV45" s="1">
        <v>22.0</v>
      </c>
      <c r="AW45" s="1">
        <v>120.0</v>
      </c>
      <c r="AX45" s="1">
        <v>6329.0</v>
      </c>
      <c r="AY45" s="1">
        <v>415.0</v>
      </c>
      <c r="AZ45" s="1" t="s">
        <v>1929</v>
      </c>
      <c r="BA45" s="1" t="s">
        <v>121</v>
      </c>
    </row>
    <row r="46">
      <c r="A46" s="1" t="s">
        <v>1920</v>
      </c>
      <c r="B46" s="1" t="s">
        <v>53</v>
      </c>
      <c r="C46" s="1">
        <v>1994.0</v>
      </c>
      <c r="D46" s="1" t="s">
        <v>1921</v>
      </c>
      <c r="E46" s="1" t="s">
        <v>1922</v>
      </c>
      <c r="H46" s="1" t="s">
        <v>1924</v>
      </c>
      <c r="I46" s="1">
        <v>75.0</v>
      </c>
      <c r="K46" s="2" t="s">
        <v>1925</v>
      </c>
      <c r="L46" s="2" t="s">
        <v>60</v>
      </c>
      <c r="M46" s="1" t="s">
        <v>1930</v>
      </c>
      <c r="N46" s="1" t="s">
        <v>62</v>
      </c>
      <c r="O46" s="1" t="s">
        <v>146</v>
      </c>
      <c r="P46" s="1" t="s">
        <v>1927</v>
      </c>
      <c r="Q46" s="1">
        <v>7.75</v>
      </c>
      <c r="R46" s="1">
        <v>-77.583333</v>
      </c>
      <c r="S46" s="1" t="s">
        <v>148</v>
      </c>
      <c r="T46" s="2" t="s">
        <v>80</v>
      </c>
      <c r="U46" s="8" t="s">
        <v>67</v>
      </c>
      <c r="V46" s="3" t="s">
        <v>68</v>
      </c>
      <c r="W46" s="3" t="s">
        <v>72</v>
      </c>
      <c r="X46" s="2" t="s">
        <v>83</v>
      </c>
      <c r="Y46" s="5" t="s">
        <v>60</v>
      </c>
      <c r="Z46" s="3" t="s">
        <v>84</v>
      </c>
      <c r="AB46" s="1">
        <v>7.0</v>
      </c>
      <c r="AI46" s="2" t="s">
        <v>72</v>
      </c>
      <c r="AJ46" s="1">
        <v>-1960.0</v>
      </c>
      <c r="AK46" s="1">
        <v>1640.0</v>
      </c>
      <c r="AL46" s="3" t="s">
        <v>73</v>
      </c>
      <c r="AM46" s="2" t="s">
        <v>72</v>
      </c>
      <c r="AN46" s="2" t="s">
        <v>72</v>
      </c>
      <c r="AO46" s="2" t="s">
        <v>72</v>
      </c>
      <c r="AQ46" s="2" t="s">
        <v>75</v>
      </c>
      <c r="AR46" s="2" t="s">
        <v>76</v>
      </c>
      <c r="AS46" s="1">
        <v>2886.0</v>
      </c>
      <c r="AT46" s="1">
        <v>2886.0</v>
      </c>
      <c r="AU46" s="1">
        <v>1202.0</v>
      </c>
      <c r="AV46" s="1">
        <v>22.0</v>
      </c>
      <c r="AW46" s="1">
        <v>120.0</v>
      </c>
      <c r="AX46" s="1">
        <v>6329.0</v>
      </c>
      <c r="AY46" s="1">
        <v>415.0</v>
      </c>
      <c r="AZ46" s="1" t="s">
        <v>1929</v>
      </c>
      <c r="BA46" s="1" t="s">
        <v>121</v>
      </c>
    </row>
    <row r="47">
      <c r="A47" s="1" t="s">
        <v>1920</v>
      </c>
      <c r="B47" s="1" t="s">
        <v>53</v>
      </c>
      <c r="C47" s="1">
        <v>1994.0</v>
      </c>
      <c r="D47" s="1" t="s">
        <v>1921</v>
      </c>
      <c r="E47" s="1" t="s">
        <v>1922</v>
      </c>
      <c r="H47" s="1" t="s">
        <v>1924</v>
      </c>
      <c r="I47" s="1">
        <v>75.0</v>
      </c>
      <c r="K47" s="2" t="s">
        <v>1925</v>
      </c>
      <c r="L47" s="2" t="s">
        <v>60</v>
      </c>
      <c r="M47" s="1" t="s">
        <v>1932</v>
      </c>
      <c r="N47" s="1" t="s">
        <v>62</v>
      </c>
      <c r="O47" s="1" t="s">
        <v>146</v>
      </c>
      <c r="P47" s="1" t="s">
        <v>1933</v>
      </c>
      <c r="Q47" s="1">
        <v>7.75</v>
      </c>
      <c r="R47" s="1">
        <v>-77.583333</v>
      </c>
      <c r="S47" s="1" t="s">
        <v>114</v>
      </c>
      <c r="T47" s="3" t="s">
        <v>1150</v>
      </c>
      <c r="U47" s="8" t="s">
        <v>67</v>
      </c>
      <c r="V47" s="3" t="s">
        <v>68</v>
      </c>
      <c r="W47" s="3" t="s">
        <v>72</v>
      </c>
      <c r="X47" s="2" t="s">
        <v>83</v>
      </c>
      <c r="Y47" s="5" t="s">
        <v>60</v>
      </c>
      <c r="Z47" s="3" t="s">
        <v>84</v>
      </c>
      <c r="AB47" s="1">
        <v>1.0</v>
      </c>
      <c r="AI47" s="2" t="s">
        <v>72</v>
      </c>
      <c r="AJ47" s="1">
        <v>-1790.0</v>
      </c>
      <c r="AK47" s="2" t="s">
        <v>72</v>
      </c>
      <c r="AL47" s="3" t="s">
        <v>73</v>
      </c>
      <c r="AM47" s="2" t="s">
        <v>72</v>
      </c>
      <c r="AN47" s="2" t="s">
        <v>72</v>
      </c>
      <c r="AO47" s="2" t="s">
        <v>72</v>
      </c>
      <c r="AQ47" s="2" t="s">
        <v>75</v>
      </c>
      <c r="AR47" s="2" t="s">
        <v>76</v>
      </c>
      <c r="AS47" s="1">
        <v>2886.0</v>
      </c>
      <c r="AT47" s="1">
        <v>2886.0</v>
      </c>
      <c r="AU47" s="1">
        <v>1202.0</v>
      </c>
      <c r="AV47" s="1">
        <v>22.0</v>
      </c>
      <c r="AW47" s="1">
        <v>120.0</v>
      </c>
      <c r="AX47" s="1">
        <v>6329.0</v>
      </c>
      <c r="AY47" s="1">
        <v>415.0</v>
      </c>
      <c r="AZ47" s="1" t="s">
        <v>1929</v>
      </c>
      <c r="BA47" s="1" t="s">
        <v>121</v>
      </c>
    </row>
    <row r="48">
      <c r="A48" s="1" t="s">
        <v>1920</v>
      </c>
      <c r="B48" s="1" t="s">
        <v>53</v>
      </c>
      <c r="C48" s="1">
        <v>1994.0</v>
      </c>
      <c r="D48" s="1" t="s">
        <v>1921</v>
      </c>
      <c r="E48" s="1" t="s">
        <v>1922</v>
      </c>
      <c r="H48" s="1" t="s">
        <v>1924</v>
      </c>
      <c r="I48" s="1">
        <v>75.0</v>
      </c>
      <c r="K48" s="2" t="s">
        <v>1925</v>
      </c>
      <c r="L48" s="2" t="s">
        <v>60</v>
      </c>
      <c r="M48" s="1" t="s">
        <v>1930</v>
      </c>
      <c r="N48" s="1" t="s">
        <v>62</v>
      </c>
      <c r="O48" s="1" t="s">
        <v>146</v>
      </c>
      <c r="P48" s="1" t="s">
        <v>1927</v>
      </c>
      <c r="Q48" s="1">
        <v>7.75</v>
      </c>
      <c r="R48" s="1">
        <v>-77.583333</v>
      </c>
      <c r="S48" s="1" t="s">
        <v>148</v>
      </c>
      <c r="T48" s="2" t="s">
        <v>80</v>
      </c>
      <c r="U48" s="8" t="s">
        <v>67</v>
      </c>
      <c r="V48" s="3" t="s">
        <v>68</v>
      </c>
      <c r="W48" s="3" t="s">
        <v>72</v>
      </c>
      <c r="X48" s="2" t="s">
        <v>83</v>
      </c>
      <c r="Y48" s="5" t="s">
        <v>60</v>
      </c>
      <c r="Z48" s="3" t="s">
        <v>84</v>
      </c>
      <c r="AB48" s="1">
        <v>7.0</v>
      </c>
      <c r="AI48" s="2" t="s">
        <v>72</v>
      </c>
      <c r="AJ48" s="1">
        <v>-1960.0</v>
      </c>
      <c r="AK48" s="1">
        <v>1640.0</v>
      </c>
      <c r="AL48" s="3" t="s">
        <v>73</v>
      </c>
      <c r="AM48" s="2" t="s">
        <v>72</v>
      </c>
      <c r="AN48" s="2" t="s">
        <v>72</v>
      </c>
      <c r="AO48" s="2" t="s">
        <v>72</v>
      </c>
      <c r="AQ48" s="2" t="s">
        <v>75</v>
      </c>
      <c r="AR48" s="2" t="s">
        <v>76</v>
      </c>
      <c r="AS48" s="1">
        <v>2886.0</v>
      </c>
      <c r="AT48" s="1">
        <v>2886.0</v>
      </c>
      <c r="AU48" s="1">
        <v>1202.0</v>
      </c>
      <c r="AV48" s="1">
        <v>22.0</v>
      </c>
      <c r="AW48" s="1">
        <v>120.0</v>
      </c>
      <c r="AX48" s="1">
        <v>6329.0</v>
      </c>
      <c r="AY48" s="1">
        <v>415.0</v>
      </c>
      <c r="AZ48" s="1" t="s">
        <v>1929</v>
      </c>
      <c r="BA48" s="1" t="s">
        <v>121</v>
      </c>
    </row>
    <row r="49">
      <c r="A49" s="1" t="s">
        <v>1354</v>
      </c>
      <c r="B49" s="1" t="s">
        <v>53</v>
      </c>
      <c r="C49" s="1">
        <v>1994.0</v>
      </c>
      <c r="D49" s="1" t="s">
        <v>1355</v>
      </c>
      <c r="E49" s="1" t="s">
        <v>1356</v>
      </c>
      <c r="F49" s="1" t="s">
        <v>1357</v>
      </c>
      <c r="G49" s="1" t="s">
        <v>1358</v>
      </c>
      <c r="H49" s="1" t="s">
        <v>1359</v>
      </c>
      <c r="I49" s="1">
        <v>18.0</v>
      </c>
      <c r="J49" s="1">
        <v>1.0</v>
      </c>
      <c r="K49" s="2" t="s">
        <v>1360</v>
      </c>
      <c r="L49" s="2" t="s">
        <v>76</v>
      </c>
      <c r="M49" s="1" t="s">
        <v>1354</v>
      </c>
      <c r="N49" s="1" t="s">
        <v>62</v>
      </c>
      <c r="O49" s="1" t="s">
        <v>187</v>
      </c>
      <c r="P49" s="1" t="s">
        <v>188</v>
      </c>
      <c r="Q49" s="1">
        <v>17.937719</v>
      </c>
      <c r="R49" s="1">
        <v>-88.366374</v>
      </c>
      <c r="S49" s="1" t="s">
        <v>114</v>
      </c>
      <c r="T49" s="2" t="s">
        <v>66</v>
      </c>
      <c r="U49" s="3" t="s">
        <v>67</v>
      </c>
      <c r="V49" s="3" t="s">
        <v>68</v>
      </c>
      <c r="W49" s="1" t="s">
        <v>364</v>
      </c>
      <c r="X49" s="2" t="s">
        <v>83</v>
      </c>
      <c r="Y49" s="5" t="s">
        <v>60</v>
      </c>
      <c r="Z49" s="3" t="s">
        <v>71</v>
      </c>
      <c r="AA49" s="1">
        <v>1.0</v>
      </c>
      <c r="AB49" s="1">
        <v>2.0</v>
      </c>
      <c r="AI49" s="2" t="s">
        <v>72</v>
      </c>
      <c r="AJ49" s="1">
        <v>-2641.0</v>
      </c>
      <c r="AK49" s="1">
        <v>-606.0</v>
      </c>
      <c r="AL49" s="3" t="s">
        <v>73</v>
      </c>
      <c r="AM49" s="2" t="s">
        <v>76</v>
      </c>
      <c r="AN49" s="2" t="s">
        <v>72</v>
      </c>
      <c r="AO49" s="2" t="s">
        <v>72</v>
      </c>
      <c r="AQ49" s="2" t="s">
        <v>75</v>
      </c>
      <c r="AR49" s="2" t="s">
        <v>76</v>
      </c>
      <c r="AS49" s="1">
        <v>1641.0</v>
      </c>
      <c r="AT49" s="1">
        <v>1641.0</v>
      </c>
      <c r="AU49" s="1">
        <v>627.0</v>
      </c>
      <c r="AV49" s="1">
        <v>42.0</v>
      </c>
      <c r="AW49" s="1">
        <v>136.0</v>
      </c>
      <c r="AX49" s="1">
        <v>5337.0</v>
      </c>
      <c r="AY49" s="1">
        <v>15.0</v>
      </c>
      <c r="AZ49" s="1" t="s">
        <v>133</v>
      </c>
      <c r="BA49" s="1" t="s">
        <v>121</v>
      </c>
    </row>
    <row r="50">
      <c r="A50" s="1" t="s">
        <v>1235</v>
      </c>
      <c r="B50" s="1" t="s">
        <v>53</v>
      </c>
      <c r="C50" s="1">
        <v>1995.0</v>
      </c>
      <c r="D50" s="1" t="s">
        <v>1236</v>
      </c>
      <c r="E50" s="1" t="s">
        <v>1237</v>
      </c>
      <c r="F50" s="1" t="s">
        <v>1224</v>
      </c>
      <c r="H50" s="1" t="s">
        <v>1238</v>
      </c>
      <c r="I50" s="1">
        <v>375.0</v>
      </c>
      <c r="J50" s="1">
        <v>6530.0</v>
      </c>
      <c r="K50" s="2" t="s">
        <v>1239</v>
      </c>
      <c r="L50" s="2" t="s">
        <v>60</v>
      </c>
      <c r="M50" s="1" t="s">
        <v>1240</v>
      </c>
      <c r="N50" s="1" t="s">
        <v>62</v>
      </c>
      <c r="O50" s="1" t="s">
        <v>92</v>
      </c>
      <c r="P50" s="1" t="s">
        <v>466</v>
      </c>
      <c r="Q50" s="1">
        <v>19.833333</v>
      </c>
      <c r="R50" s="1">
        <v>-88.75</v>
      </c>
      <c r="S50" s="1" t="s">
        <v>148</v>
      </c>
      <c r="T50" s="2" t="s">
        <v>189</v>
      </c>
      <c r="U50" s="2" t="s">
        <v>96</v>
      </c>
      <c r="V50" s="3" t="s">
        <v>97</v>
      </c>
      <c r="W50" s="1" t="s">
        <v>191</v>
      </c>
      <c r="X50" s="1" t="s">
        <v>256</v>
      </c>
      <c r="Y50" s="6" t="s">
        <v>76</v>
      </c>
      <c r="Z50" s="3" t="s">
        <v>76</v>
      </c>
      <c r="AA50" s="1">
        <v>1.0</v>
      </c>
      <c r="AB50" s="1">
        <v>14.0</v>
      </c>
      <c r="AI50" s="1" t="s">
        <v>1241</v>
      </c>
      <c r="AJ50" s="1">
        <v>-8050.0</v>
      </c>
      <c r="AK50" s="1">
        <v>1950.0</v>
      </c>
      <c r="AL50" s="3" t="s">
        <v>73</v>
      </c>
      <c r="AM50" s="2" t="s">
        <v>72</v>
      </c>
      <c r="AN50" s="2" t="s">
        <v>72</v>
      </c>
      <c r="AO50" s="2" t="s">
        <v>60</v>
      </c>
      <c r="AQ50" s="2" t="s">
        <v>102</v>
      </c>
      <c r="AR50" s="2" t="s">
        <v>76</v>
      </c>
      <c r="AS50" s="1">
        <v>1264.0</v>
      </c>
      <c r="AT50" s="1">
        <v>1264.0</v>
      </c>
      <c r="AU50" s="1">
        <v>553.0</v>
      </c>
      <c r="AV50" s="1">
        <v>31.0</v>
      </c>
      <c r="AW50" s="1">
        <v>108.0</v>
      </c>
      <c r="AX50" s="1">
        <v>6202.0</v>
      </c>
      <c r="AY50" s="1">
        <v>42.0</v>
      </c>
      <c r="AZ50" s="1" t="s">
        <v>239</v>
      </c>
      <c r="BA50" s="1" t="s">
        <v>121</v>
      </c>
    </row>
    <row r="51">
      <c r="A51" s="1" t="s">
        <v>1235</v>
      </c>
      <c r="B51" s="1" t="s">
        <v>53</v>
      </c>
      <c r="C51" s="1">
        <v>1995.0</v>
      </c>
      <c r="D51" s="1" t="s">
        <v>1236</v>
      </c>
      <c r="E51" s="1" t="s">
        <v>1237</v>
      </c>
      <c r="F51" s="1" t="s">
        <v>1224</v>
      </c>
      <c r="H51" s="1" t="s">
        <v>1238</v>
      </c>
      <c r="I51" s="1">
        <v>375.0</v>
      </c>
      <c r="J51" s="1">
        <v>6530.0</v>
      </c>
      <c r="K51" s="2" t="s">
        <v>1239</v>
      </c>
      <c r="L51" s="2" t="s">
        <v>60</v>
      </c>
      <c r="M51" s="1" t="s">
        <v>1242</v>
      </c>
      <c r="N51" s="1" t="s">
        <v>62</v>
      </c>
      <c r="O51" s="1" t="s">
        <v>92</v>
      </c>
      <c r="P51" s="1" t="s">
        <v>466</v>
      </c>
      <c r="Q51" s="1">
        <v>19.833333</v>
      </c>
      <c r="R51" s="1">
        <v>-88.75</v>
      </c>
      <c r="S51" s="1" t="s">
        <v>148</v>
      </c>
      <c r="T51" s="2" t="s">
        <v>95</v>
      </c>
      <c r="U51" s="2" t="s">
        <v>96</v>
      </c>
      <c r="V51" s="3" t="s">
        <v>97</v>
      </c>
      <c r="W51" s="2" t="s">
        <v>72</v>
      </c>
      <c r="X51" s="1" t="s">
        <v>256</v>
      </c>
      <c r="Y51" s="6" t="s">
        <v>76</v>
      </c>
      <c r="Z51" s="3" t="s">
        <v>76</v>
      </c>
      <c r="AA51" s="1">
        <v>1.0</v>
      </c>
      <c r="AB51" s="1">
        <v>14.0</v>
      </c>
      <c r="AI51" s="1" t="s">
        <v>1241</v>
      </c>
      <c r="AJ51" s="1">
        <v>-8050.0</v>
      </c>
      <c r="AK51" s="1">
        <v>1950.0</v>
      </c>
      <c r="AL51" s="3" t="s">
        <v>73</v>
      </c>
      <c r="AM51" s="2" t="s">
        <v>72</v>
      </c>
      <c r="AN51" s="2" t="s">
        <v>72</v>
      </c>
      <c r="AO51" s="2" t="s">
        <v>60</v>
      </c>
      <c r="AQ51" s="2" t="s">
        <v>102</v>
      </c>
      <c r="AR51" s="2" t="s">
        <v>76</v>
      </c>
      <c r="AS51" s="1">
        <v>1264.0</v>
      </c>
      <c r="AT51" s="1">
        <v>1264.0</v>
      </c>
      <c r="AU51" s="1">
        <v>553.0</v>
      </c>
      <c r="AV51" s="1">
        <v>31.0</v>
      </c>
      <c r="AW51" s="1">
        <v>108.0</v>
      </c>
      <c r="AX51" s="1">
        <v>6202.0</v>
      </c>
      <c r="AY51" s="1">
        <v>42.0</v>
      </c>
      <c r="AZ51" s="1" t="s">
        <v>239</v>
      </c>
      <c r="BA51" s="1" t="s">
        <v>121</v>
      </c>
    </row>
    <row r="52">
      <c r="A52" s="1" t="s">
        <v>1235</v>
      </c>
      <c r="B52" s="1" t="s">
        <v>53</v>
      </c>
      <c r="C52" s="1">
        <v>1995.0</v>
      </c>
      <c r="D52" s="1" t="s">
        <v>1236</v>
      </c>
      <c r="E52" s="1" t="s">
        <v>1237</v>
      </c>
      <c r="F52" s="1" t="s">
        <v>1224</v>
      </c>
      <c r="H52" s="1" t="s">
        <v>1238</v>
      </c>
      <c r="I52" s="1">
        <v>375.0</v>
      </c>
      <c r="J52" s="1">
        <v>6530.0</v>
      </c>
      <c r="K52" s="2" t="s">
        <v>1239</v>
      </c>
      <c r="L52" s="2" t="s">
        <v>60</v>
      </c>
      <c r="M52" s="1" t="s">
        <v>1243</v>
      </c>
      <c r="N52" s="1" t="s">
        <v>62</v>
      </c>
      <c r="O52" s="1" t="s">
        <v>92</v>
      </c>
      <c r="P52" s="1" t="s">
        <v>466</v>
      </c>
      <c r="Q52" s="1">
        <v>19.833333</v>
      </c>
      <c r="R52" s="1">
        <v>-88.75</v>
      </c>
      <c r="S52" s="1" t="s">
        <v>148</v>
      </c>
      <c r="T52" s="2" t="s">
        <v>95</v>
      </c>
      <c r="U52" s="2" t="s">
        <v>96</v>
      </c>
      <c r="V52" s="3" t="s">
        <v>97</v>
      </c>
      <c r="W52" s="2" t="s">
        <v>72</v>
      </c>
      <c r="X52" s="1" t="s">
        <v>256</v>
      </c>
      <c r="Y52" s="6" t="s">
        <v>76</v>
      </c>
      <c r="Z52" s="3" t="s">
        <v>76</v>
      </c>
      <c r="AA52" s="1">
        <v>1.0</v>
      </c>
      <c r="AB52" s="1">
        <v>14.0</v>
      </c>
      <c r="AI52" s="1" t="s">
        <v>1241</v>
      </c>
      <c r="AJ52" s="1">
        <v>-8050.0</v>
      </c>
      <c r="AK52" s="1">
        <v>1950.0</v>
      </c>
      <c r="AL52" s="3" t="s">
        <v>73</v>
      </c>
      <c r="AM52" s="2" t="s">
        <v>72</v>
      </c>
      <c r="AN52" s="2" t="s">
        <v>72</v>
      </c>
      <c r="AO52" s="2" t="s">
        <v>60</v>
      </c>
      <c r="AQ52" s="2" t="s">
        <v>102</v>
      </c>
      <c r="AR52" s="2" t="s">
        <v>76</v>
      </c>
      <c r="AS52" s="1">
        <v>1264.0</v>
      </c>
      <c r="AT52" s="1">
        <v>1264.0</v>
      </c>
      <c r="AU52" s="1">
        <v>553.0</v>
      </c>
      <c r="AV52" s="1">
        <v>31.0</v>
      </c>
      <c r="AW52" s="1">
        <v>108.0</v>
      </c>
      <c r="AX52" s="1">
        <v>6202.0</v>
      </c>
      <c r="AY52" s="1">
        <v>42.0</v>
      </c>
      <c r="AZ52" s="1" t="s">
        <v>239</v>
      </c>
      <c r="BA52" s="1" t="s">
        <v>121</v>
      </c>
    </row>
    <row r="53">
      <c r="A53" s="1" t="s">
        <v>1272</v>
      </c>
      <c r="B53" s="1" t="s">
        <v>53</v>
      </c>
      <c r="C53" s="1">
        <v>1995.0</v>
      </c>
      <c r="D53" s="1" t="s">
        <v>1273</v>
      </c>
      <c r="E53" s="1" t="s">
        <v>1274</v>
      </c>
      <c r="F53" s="1" t="s">
        <v>793</v>
      </c>
      <c r="G53" s="1" t="s">
        <v>1275</v>
      </c>
      <c r="H53" s="1" t="s">
        <v>1276</v>
      </c>
      <c r="I53" s="1">
        <v>117.0</v>
      </c>
      <c r="J53" s="1">
        <v>43862.0</v>
      </c>
      <c r="K53" s="2" t="s">
        <v>1277</v>
      </c>
      <c r="L53" s="2" t="s">
        <v>76</v>
      </c>
      <c r="M53" s="1" t="s">
        <v>1272</v>
      </c>
      <c r="N53" s="1" t="s">
        <v>62</v>
      </c>
      <c r="O53" s="1" t="s">
        <v>112</v>
      </c>
      <c r="P53" s="1" t="s">
        <v>1072</v>
      </c>
      <c r="Q53" s="1">
        <v>9.683333</v>
      </c>
      <c r="R53" s="1">
        <v>-83.95</v>
      </c>
      <c r="S53" s="1" t="s">
        <v>148</v>
      </c>
      <c r="T53" s="2" t="s">
        <v>66</v>
      </c>
      <c r="U53" s="2" t="s">
        <v>137</v>
      </c>
      <c r="V53" s="3" t="s">
        <v>788</v>
      </c>
      <c r="W53" s="2" t="s">
        <v>72</v>
      </c>
      <c r="X53" s="1" t="s">
        <v>70</v>
      </c>
      <c r="Y53" s="5" t="s">
        <v>76</v>
      </c>
      <c r="Z53" s="3" t="s">
        <v>76</v>
      </c>
      <c r="AB53" s="1">
        <v>2.0</v>
      </c>
      <c r="AI53" s="2" t="s">
        <v>72</v>
      </c>
      <c r="AJ53" s="1">
        <v>-9120.0</v>
      </c>
      <c r="AK53" s="1">
        <v>-7850.0</v>
      </c>
      <c r="AL53" s="2" t="s">
        <v>1278</v>
      </c>
      <c r="AM53" s="2" t="s">
        <v>60</v>
      </c>
      <c r="AN53" s="2" t="s">
        <v>72</v>
      </c>
      <c r="AO53" s="2" t="s">
        <v>72</v>
      </c>
      <c r="AP53" s="1" t="s">
        <v>1279</v>
      </c>
      <c r="AQ53" s="2" t="s">
        <v>75</v>
      </c>
      <c r="AR53" s="2" t="s">
        <v>76</v>
      </c>
      <c r="AS53" s="1">
        <v>2384.0</v>
      </c>
      <c r="AT53" s="1">
        <v>2384.0</v>
      </c>
      <c r="AU53" s="1">
        <v>1211.0</v>
      </c>
      <c r="AV53" s="1">
        <v>13.0</v>
      </c>
      <c r="AW53" s="1">
        <v>51.0</v>
      </c>
      <c r="AX53" s="1">
        <v>8299.0</v>
      </c>
      <c r="AY53" s="1">
        <v>2279.0</v>
      </c>
      <c r="AZ53" s="1" t="s">
        <v>627</v>
      </c>
      <c r="BA53" s="1" t="s">
        <v>121</v>
      </c>
    </row>
    <row r="54">
      <c r="A54" s="1" t="s">
        <v>743</v>
      </c>
      <c r="B54" s="1" t="s">
        <v>53</v>
      </c>
      <c r="C54" s="1">
        <v>1995.0</v>
      </c>
      <c r="D54" s="1" t="s">
        <v>744</v>
      </c>
      <c r="E54" s="1" t="s">
        <v>745</v>
      </c>
      <c r="F54" s="1" t="s">
        <v>746</v>
      </c>
      <c r="G54" s="1" t="s">
        <v>747</v>
      </c>
      <c r="H54" s="1" t="s">
        <v>748</v>
      </c>
      <c r="I54" s="1">
        <v>22.0</v>
      </c>
      <c r="J54" s="1">
        <v>2.0</v>
      </c>
      <c r="K54" s="2" t="s">
        <v>749</v>
      </c>
      <c r="L54" s="2" t="s">
        <v>76</v>
      </c>
      <c r="M54" s="1" t="s">
        <v>743</v>
      </c>
      <c r="N54" s="1" t="s">
        <v>62</v>
      </c>
      <c r="O54" s="1" t="s">
        <v>187</v>
      </c>
      <c r="P54" s="1" t="s">
        <v>188</v>
      </c>
      <c r="Q54" s="1">
        <v>17.937719</v>
      </c>
      <c r="R54" s="1">
        <v>-88.366374</v>
      </c>
      <c r="S54" s="1" t="s">
        <v>114</v>
      </c>
      <c r="T54" s="2" t="s">
        <v>275</v>
      </c>
      <c r="U54" s="1" t="s">
        <v>116</v>
      </c>
      <c r="V54" s="3" t="s">
        <v>68</v>
      </c>
      <c r="W54" s="1" t="s">
        <v>278</v>
      </c>
      <c r="X54" s="1" t="s">
        <v>279</v>
      </c>
      <c r="Y54" s="6" t="s">
        <v>76</v>
      </c>
      <c r="Z54" s="3" t="s">
        <v>76</v>
      </c>
      <c r="AA54" s="1">
        <v>1.0</v>
      </c>
      <c r="AB54" s="1">
        <v>6.0</v>
      </c>
      <c r="AI54" s="1" t="s">
        <v>750</v>
      </c>
      <c r="AJ54" s="2" t="s">
        <v>72</v>
      </c>
      <c r="AK54" s="2" t="s">
        <v>72</v>
      </c>
      <c r="AL54" s="2" t="s">
        <v>100</v>
      </c>
      <c r="AM54" s="2" t="s">
        <v>72</v>
      </c>
      <c r="AN54" s="1" t="s">
        <v>192</v>
      </c>
      <c r="AO54" s="2" t="s">
        <v>72</v>
      </c>
      <c r="AQ54" s="2" t="s">
        <v>75</v>
      </c>
      <c r="AR54" s="2" t="s">
        <v>60</v>
      </c>
      <c r="AS54" s="1">
        <v>1641.0</v>
      </c>
      <c r="AT54" s="1">
        <v>1641.0</v>
      </c>
      <c r="AU54" s="1">
        <v>627.0</v>
      </c>
      <c r="AV54" s="1">
        <v>42.0</v>
      </c>
      <c r="AW54" s="1">
        <v>136.0</v>
      </c>
      <c r="AX54" s="1">
        <v>5337.0</v>
      </c>
      <c r="AY54" s="1">
        <v>15.0</v>
      </c>
      <c r="AZ54" s="1" t="s">
        <v>133</v>
      </c>
      <c r="BA54" s="1" t="s">
        <v>121</v>
      </c>
    </row>
    <row r="55">
      <c r="A55" s="1" t="s">
        <v>1538</v>
      </c>
      <c r="B55" s="1" t="s">
        <v>53</v>
      </c>
      <c r="C55" s="1">
        <v>1996.0</v>
      </c>
      <c r="D55" s="1" t="s">
        <v>1539</v>
      </c>
      <c r="E55" s="1" t="s">
        <v>1540</v>
      </c>
      <c r="F55" s="1" t="s">
        <v>303</v>
      </c>
      <c r="G55" s="1" t="s">
        <v>1541</v>
      </c>
      <c r="H55" s="1" t="s">
        <v>1542</v>
      </c>
      <c r="I55" s="1">
        <v>46.0</v>
      </c>
      <c r="J55" s="1">
        <v>1.0</v>
      </c>
      <c r="K55" s="2" t="s">
        <v>1543</v>
      </c>
      <c r="L55" s="2" t="s">
        <v>60</v>
      </c>
      <c r="M55" s="1" t="s">
        <v>1544</v>
      </c>
      <c r="N55" s="1" t="s">
        <v>62</v>
      </c>
      <c r="O55" s="1" t="s">
        <v>92</v>
      </c>
      <c r="P55" s="1" t="s">
        <v>235</v>
      </c>
      <c r="Q55" s="1">
        <v>20.633333</v>
      </c>
      <c r="R55" s="1">
        <v>-87.616667</v>
      </c>
      <c r="S55" s="1" t="s">
        <v>148</v>
      </c>
      <c r="T55" s="2" t="s">
        <v>95</v>
      </c>
      <c r="U55" s="2" t="s">
        <v>96</v>
      </c>
      <c r="V55" s="3" t="s">
        <v>97</v>
      </c>
      <c r="W55" s="1" t="s">
        <v>1545</v>
      </c>
      <c r="X55" s="1" t="s">
        <v>728</v>
      </c>
      <c r="Y55" s="6" t="s">
        <v>76</v>
      </c>
      <c r="Z55" s="3" t="s">
        <v>76</v>
      </c>
      <c r="AB55" s="1">
        <v>9.0</v>
      </c>
      <c r="AI55" s="1" t="s">
        <v>1546</v>
      </c>
      <c r="AJ55" s="1">
        <v>-1550.0</v>
      </c>
      <c r="AK55" s="1">
        <v>1950.0</v>
      </c>
      <c r="AL55" s="2" t="s">
        <v>100</v>
      </c>
      <c r="AM55" s="2" t="s">
        <v>76</v>
      </c>
      <c r="AN55" s="1" t="s">
        <v>74</v>
      </c>
      <c r="AO55" s="2" t="s">
        <v>60</v>
      </c>
      <c r="AQ55" s="2" t="s">
        <v>102</v>
      </c>
      <c r="AR55" s="2" t="s">
        <v>76</v>
      </c>
      <c r="AS55" s="1">
        <v>1188.0</v>
      </c>
      <c r="AT55" s="1">
        <v>1188.0</v>
      </c>
      <c r="AU55" s="1">
        <v>508.0</v>
      </c>
      <c r="AV55" s="1">
        <v>44.0</v>
      </c>
      <c r="AW55" s="1">
        <v>136.0</v>
      </c>
      <c r="AX55" s="1">
        <v>5407.0</v>
      </c>
      <c r="AY55" s="1">
        <v>20.0</v>
      </c>
      <c r="AZ55" s="1" t="s">
        <v>239</v>
      </c>
      <c r="BA55" s="1" t="s">
        <v>121</v>
      </c>
    </row>
    <row r="56">
      <c r="A56" s="1" t="s">
        <v>1538</v>
      </c>
      <c r="B56" s="1" t="s">
        <v>53</v>
      </c>
      <c r="C56" s="1">
        <v>1996.0</v>
      </c>
      <c r="D56" s="1" t="s">
        <v>1539</v>
      </c>
      <c r="E56" s="1" t="s">
        <v>1540</v>
      </c>
      <c r="F56" s="1" t="s">
        <v>303</v>
      </c>
      <c r="G56" s="1" t="s">
        <v>1541</v>
      </c>
      <c r="H56" s="1" t="s">
        <v>1542</v>
      </c>
      <c r="I56" s="1">
        <v>46.0</v>
      </c>
      <c r="J56" s="1">
        <v>1.0</v>
      </c>
      <c r="K56" s="2" t="s">
        <v>1543</v>
      </c>
      <c r="L56" s="2" t="s">
        <v>60</v>
      </c>
      <c r="M56" s="1" t="s">
        <v>1547</v>
      </c>
      <c r="N56" s="1" t="s">
        <v>62</v>
      </c>
      <c r="O56" s="1" t="s">
        <v>92</v>
      </c>
      <c r="P56" s="1" t="s">
        <v>235</v>
      </c>
      <c r="Q56" s="1">
        <v>20.633333</v>
      </c>
      <c r="R56" s="1">
        <v>-87.616667</v>
      </c>
      <c r="S56" s="1" t="s">
        <v>148</v>
      </c>
      <c r="T56" s="2" t="s">
        <v>95</v>
      </c>
      <c r="U56" s="2" t="s">
        <v>96</v>
      </c>
      <c r="V56" s="3" t="s">
        <v>97</v>
      </c>
      <c r="W56" s="1" t="s">
        <v>1545</v>
      </c>
      <c r="X56" s="1" t="s">
        <v>728</v>
      </c>
      <c r="Y56" s="6" t="s">
        <v>76</v>
      </c>
      <c r="Z56" s="3" t="s">
        <v>76</v>
      </c>
      <c r="AB56" s="1">
        <v>9.0</v>
      </c>
      <c r="AI56" s="1" t="s">
        <v>1546</v>
      </c>
      <c r="AJ56" s="1">
        <v>-1550.0</v>
      </c>
      <c r="AK56" s="1">
        <v>1950.0</v>
      </c>
      <c r="AL56" s="2" t="s">
        <v>100</v>
      </c>
      <c r="AM56" s="2" t="s">
        <v>76</v>
      </c>
      <c r="AN56" s="1" t="s">
        <v>74</v>
      </c>
      <c r="AO56" s="2" t="s">
        <v>60</v>
      </c>
      <c r="AQ56" s="2" t="s">
        <v>102</v>
      </c>
      <c r="AR56" s="2" t="s">
        <v>76</v>
      </c>
      <c r="AS56" s="1">
        <v>1188.0</v>
      </c>
      <c r="AT56" s="1">
        <v>1188.0</v>
      </c>
      <c r="AU56" s="1">
        <v>508.0</v>
      </c>
      <c r="AV56" s="1">
        <v>44.0</v>
      </c>
      <c r="AW56" s="1">
        <v>136.0</v>
      </c>
      <c r="AX56" s="1">
        <v>5407.0</v>
      </c>
      <c r="AY56" s="1">
        <v>20.0</v>
      </c>
      <c r="AZ56" s="1" t="s">
        <v>239</v>
      </c>
      <c r="BA56" s="1" t="s">
        <v>121</v>
      </c>
    </row>
    <row r="57">
      <c r="A57" s="1" t="s">
        <v>1538</v>
      </c>
      <c r="B57" s="1" t="s">
        <v>53</v>
      </c>
      <c r="C57" s="1">
        <v>1996.0</v>
      </c>
      <c r="D57" s="1" t="s">
        <v>1539</v>
      </c>
      <c r="E57" s="1" t="s">
        <v>1540</v>
      </c>
      <c r="F57" s="1" t="s">
        <v>303</v>
      </c>
      <c r="G57" s="1" t="s">
        <v>1541</v>
      </c>
      <c r="H57" s="1" t="s">
        <v>1542</v>
      </c>
      <c r="I57" s="1">
        <v>46.0</v>
      </c>
      <c r="J57" s="1">
        <v>1.0</v>
      </c>
      <c r="K57" s="2" t="s">
        <v>1543</v>
      </c>
      <c r="L57" s="2" t="s">
        <v>60</v>
      </c>
      <c r="M57" s="1" t="s">
        <v>1548</v>
      </c>
      <c r="N57" s="1" t="s">
        <v>62</v>
      </c>
      <c r="O57" s="1" t="s">
        <v>92</v>
      </c>
      <c r="P57" s="1" t="s">
        <v>235</v>
      </c>
      <c r="Q57" s="1">
        <v>20.633333</v>
      </c>
      <c r="R57" s="1">
        <v>-87.616667</v>
      </c>
      <c r="S57" s="1" t="s">
        <v>148</v>
      </c>
      <c r="T57" s="2" t="s">
        <v>95</v>
      </c>
      <c r="U57" s="2" t="s">
        <v>96</v>
      </c>
      <c r="V57" s="3" t="s">
        <v>97</v>
      </c>
      <c r="W57" s="1" t="s">
        <v>1545</v>
      </c>
      <c r="X57" s="1" t="s">
        <v>728</v>
      </c>
      <c r="Y57" s="6" t="s">
        <v>76</v>
      </c>
      <c r="Z57" s="3" t="s">
        <v>76</v>
      </c>
      <c r="AB57" s="1">
        <v>9.0</v>
      </c>
      <c r="AI57" s="1" t="s">
        <v>1546</v>
      </c>
      <c r="AJ57" s="1">
        <v>-1550.0</v>
      </c>
      <c r="AK57" s="1">
        <v>1950.0</v>
      </c>
      <c r="AL57" s="2" t="s">
        <v>100</v>
      </c>
      <c r="AM57" s="2" t="s">
        <v>76</v>
      </c>
      <c r="AN57" s="1" t="s">
        <v>74</v>
      </c>
      <c r="AO57" s="2" t="s">
        <v>60</v>
      </c>
      <c r="AQ57" s="2" t="s">
        <v>102</v>
      </c>
      <c r="AR57" s="2" t="s">
        <v>76</v>
      </c>
      <c r="AS57" s="1">
        <v>1188.0</v>
      </c>
      <c r="AT57" s="1">
        <v>1188.0</v>
      </c>
      <c r="AU57" s="1">
        <v>508.0</v>
      </c>
      <c r="AV57" s="1">
        <v>44.0</v>
      </c>
      <c r="AW57" s="1">
        <v>136.0</v>
      </c>
      <c r="AX57" s="1">
        <v>5407.0</v>
      </c>
      <c r="AY57" s="1">
        <v>20.0</v>
      </c>
      <c r="AZ57" s="1" t="s">
        <v>239</v>
      </c>
      <c r="BA57" s="1" t="s">
        <v>121</v>
      </c>
    </row>
    <row r="58">
      <c r="A58" s="1" t="s">
        <v>1944</v>
      </c>
      <c r="B58" s="1" t="s">
        <v>53</v>
      </c>
      <c r="C58" s="1">
        <v>1996.0</v>
      </c>
      <c r="D58" s="1" t="s">
        <v>1945</v>
      </c>
      <c r="E58" s="1" t="s">
        <v>1946</v>
      </c>
      <c r="H58" s="1" t="s">
        <v>1948</v>
      </c>
      <c r="I58" s="1">
        <v>6.0</v>
      </c>
      <c r="K58" s="2" t="s">
        <v>1949</v>
      </c>
      <c r="L58" s="2" t="s">
        <v>60</v>
      </c>
      <c r="M58" s="1" t="s">
        <v>1950</v>
      </c>
      <c r="N58" s="1" t="s">
        <v>62</v>
      </c>
      <c r="O58" s="1" t="s">
        <v>167</v>
      </c>
      <c r="P58" s="1" t="s">
        <v>512</v>
      </c>
      <c r="Q58" s="1">
        <v>16.916667</v>
      </c>
      <c r="R58" s="1">
        <v>-89.833333</v>
      </c>
      <c r="S58" s="1" t="s">
        <v>148</v>
      </c>
      <c r="T58" s="2" t="s">
        <v>189</v>
      </c>
      <c r="U58" s="1" t="s">
        <v>116</v>
      </c>
      <c r="V58" s="3" t="s">
        <v>68</v>
      </c>
      <c r="W58" s="1" t="s">
        <v>1951</v>
      </c>
      <c r="X58" s="1" t="s">
        <v>70</v>
      </c>
      <c r="Y58" s="6" t="s">
        <v>76</v>
      </c>
      <c r="Z58" s="3" t="s">
        <v>76</v>
      </c>
      <c r="AB58" s="1">
        <v>7.0</v>
      </c>
      <c r="AI58" s="2" t="s">
        <v>72</v>
      </c>
      <c r="AJ58" s="1">
        <v>-6890.0</v>
      </c>
      <c r="AK58" s="1">
        <v>1950.0</v>
      </c>
      <c r="AL58" s="2" t="s">
        <v>73</v>
      </c>
      <c r="AM58" s="2" t="s">
        <v>60</v>
      </c>
      <c r="AN58" s="2" t="s">
        <v>72</v>
      </c>
      <c r="AO58" s="2" t="s">
        <v>72</v>
      </c>
      <c r="AQ58" s="2" t="s">
        <v>75</v>
      </c>
      <c r="AR58" s="2" t="s">
        <v>76</v>
      </c>
      <c r="AS58" s="1">
        <v>1738.0</v>
      </c>
      <c r="AT58" s="1">
        <v>1738.0</v>
      </c>
      <c r="AU58" s="1">
        <v>690.0</v>
      </c>
      <c r="AV58" s="1">
        <v>36.0</v>
      </c>
      <c r="AW58" s="1">
        <v>144.0</v>
      </c>
      <c r="AX58" s="1">
        <v>5677.0</v>
      </c>
      <c r="AY58" s="1">
        <v>131.0</v>
      </c>
      <c r="AZ58" s="1" t="s">
        <v>133</v>
      </c>
      <c r="BA58" s="1" t="s">
        <v>121</v>
      </c>
    </row>
    <row r="59">
      <c r="A59" s="1" t="s">
        <v>1944</v>
      </c>
      <c r="B59" s="1" t="s">
        <v>53</v>
      </c>
      <c r="C59" s="1">
        <v>1996.0</v>
      </c>
      <c r="D59" s="1" t="s">
        <v>1945</v>
      </c>
      <c r="E59" s="1" t="s">
        <v>1946</v>
      </c>
      <c r="H59" s="1" t="s">
        <v>1948</v>
      </c>
      <c r="I59" s="1">
        <v>6.0</v>
      </c>
      <c r="K59" s="2" t="s">
        <v>1949</v>
      </c>
      <c r="L59" s="2" t="s">
        <v>60</v>
      </c>
      <c r="M59" s="1" t="s">
        <v>1952</v>
      </c>
      <c r="N59" s="1" t="s">
        <v>62</v>
      </c>
      <c r="O59" s="1" t="s">
        <v>167</v>
      </c>
      <c r="P59" s="1" t="s">
        <v>512</v>
      </c>
      <c r="Q59" s="1">
        <v>16.916667</v>
      </c>
      <c r="R59" s="1">
        <v>-89.833333</v>
      </c>
      <c r="S59" s="1" t="s">
        <v>148</v>
      </c>
      <c r="T59" s="2" t="s">
        <v>66</v>
      </c>
      <c r="U59" s="1" t="s">
        <v>823</v>
      </c>
      <c r="V59" s="3" t="s">
        <v>68</v>
      </c>
      <c r="W59" s="1" t="s">
        <v>1953</v>
      </c>
      <c r="X59" s="1" t="s">
        <v>70</v>
      </c>
      <c r="Y59" s="5" t="s">
        <v>60</v>
      </c>
      <c r="Z59" s="3" t="s">
        <v>345</v>
      </c>
      <c r="AB59" s="1">
        <v>7.0</v>
      </c>
      <c r="AI59" s="2" t="s">
        <v>72</v>
      </c>
      <c r="AJ59" s="1">
        <v>-6890.0</v>
      </c>
      <c r="AK59" s="1">
        <v>1950.0</v>
      </c>
      <c r="AL59" s="2" t="s">
        <v>73</v>
      </c>
      <c r="AM59" s="2" t="s">
        <v>60</v>
      </c>
      <c r="AN59" s="2" t="s">
        <v>72</v>
      </c>
      <c r="AO59" s="2" t="s">
        <v>72</v>
      </c>
      <c r="AQ59" s="2" t="s">
        <v>75</v>
      </c>
      <c r="AR59" s="2" t="s">
        <v>76</v>
      </c>
      <c r="AS59" s="1">
        <v>1738.0</v>
      </c>
      <c r="AT59" s="1">
        <v>1738.0</v>
      </c>
      <c r="AU59" s="1">
        <v>690.0</v>
      </c>
      <c r="AV59" s="1">
        <v>36.0</v>
      </c>
      <c r="AW59" s="1">
        <v>144.0</v>
      </c>
      <c r="AX59" s="1">
        <v>5677.0</v>
      </c>
      <c r="AY59" s="1">
        <v>131.0</v>
      </c>
      <c r="AZ59" s="1" t="s">
        <v>133</v>
      </c>
      <c r="BA59" s="1" t="s">
        <v>121</v>
      </c>
    </row>
    <row r="60">
      <c r="A60" s="1" t="s">
        <v>1944</v>
      </c>
      <c r="B60" s="1" t="s">
        <v>53</v>
      </c>
      <c r="C60" s="1">
        <v>1996.0</v>
      </c>
      <c r="D60" s="1" t="s">
        <v>1945</v>
      </c>
      <c r="E60" s="1" t="s">
        <v>1946</v>
      </c>
      <c r="H60" s="1" t="s">
        <v>1948</v>
      </c>
      <c r="I60" s="1">
        <v>6.0</v>
      </c>
      <c r="K60" s="2" t="s">
        <v>1949</v>
      </c>
      <c r="L60" s="2" t="s">
        <v>60</v>
      </c>
      <c r="M60" s="1" t="s">
        <v>1954</v>
      </c>
      <c r="N60" s="1" t="s">
        <v>62</v>
      </c>
      <c r="O60" s="1" t="s">
        <v>167</v>
      </c>
      <c r="P60" s="1" t="s">
        <v>512</v>
      </c>
      <c r="Q60" s="1">
        <v>16.916667</v>
      </c>
      <c r="R60" s="1">
        <v>-89.833333</v>
      </c>
      <c r="S60" s="1" t="s">
        <v>148</v>
      </c>
      <c r="T60" s="2" t="s">
        <v>194</v>
      </c>
      <c r="U60" s="3" t="s">
        <v>116</v>
      </c>
      <c r="V60" s="3" t="s">
        <v>68</v>
      </c>
      <c r="W60" s="1" t="s">
        <v>286</v>
      </c>
      <c r="X60" s="1" t="s">
        <v>70</v>
      </c>
      <c r="Y60" s="6" t="s">
        <v>76</v>
      </c>
      <c r="Z60" s="3" t="s">
        <v>76</v>
      </c>
      <c r="AB60" s="1">
        <v>7.0</v>
      </c>
      <c r="AI60" s="2" t="s">
        <v>72</v>
      </c>
      <c r="AJ60" s="1">
        <v>-6890.0</v>
      </c>
      <c r="AK60" s="1">
        <v>1950.0</v>
      </c>
      <c r="AL60" s="2" t="s">
        <v>73</v>
      </c>
      <c r="AM60" s="2" t="s">
        <v>60</v>
      </c>
      <c r="AN60" s="2" t="s">
        <v>72</v>
      </c>
      <c r="AO60" s="2" t="s">
        <v>72</v>
      </c>
      <c r="AQ60" s="2" t="s">
        <v>75</v>
      </c>
      <c r="AR60" s="2" t="s">
        <v>76</v>
      </c>
      <c r="AS60" s="1">
        <v>1738.0</v>
      </c>
      <c r="AT60" s="1">
        <v>1738.0</v>
      </c>
      <c r="AU60" s="1">
        <v>690.0</v>
      </c>
      <c r="AV60" s="1">
        <v>36.0</v>
      </c>
      <c r="AW60" s="1">
        <v>144.0</v>
      </c>
      <c r="AX60" s="1">
        <v>5677.0</v>
      </c>
      <c r="AY60" s="1">
        <v>131.0</v>
      </c>
      <c r="AZ60" s="1" t="s">
        <v>133</v>
      </c>
      <c r="BA60" s="1" t="s">
        <v>121</v>
      </c>
    </row>
    <row r="61">
      <c r="A61" s="1" t="s">
        <v>1871</v>
      </c>
      <c r="B61" s="1" t="s">
        <v>53</v>
      </c>
      <c r="C61" s="1">
        <v>1996.0</v>
      </c>
      <c r="D61" s="1" t="s">
        <v>1872</v>
      </c>
      <c r="E61" s="1" t="s">
        <v>1873</v>
      </c>
      <c r="F61" s="1" t="s">
        <v>1874</v>
      </c>
      <c r="G61" s="1" t="s">
        <v>1875</v>
      </c>
      <c r="H61" s="1" t="s">
        <v>1876</v>
      </c>
      <c r="I61" s="1">
        <v>124.0</v>
      </c>
      <c r="K61" s="2" t="s">
        <v>1877</v>
      </c>
      <c r="L61" s="2" t="s">
        <v>60</v>
      </c>
      <c r="M61" s="1" t="s">
        <v>1878</v>
      </c>
      <c r="N61" s="1" t="s">
        <v>62</v>
      </c>
      <c r="O61" s="1" t="s">
        <v>112</v>
      </c>
      <c r="P61" s="1" t="s">
        <v>1644</v>
      </c>
      <c r="Q61" s="1">
        <v>9.833333</v>
      </c>
      <c r="R61" s="1">
        <v>-84.0</v>
      </c>
      <c r="S61" s="1" t="s">
        <v>148</v>
      </c>
      <c r="T61" s="2" t="s">
        <v>66</v>
      </c>
      <c r="U61" s="1" t="s">
        <v>1287</v>
      </c>
      <c r="V61" s="3" t="s">
        <v>788</v>
      </c>
      <c r="W61" s="1" t="s">
        <v>1879</v>
      </c>
      <c r="X61" s="2" t="s">
        <v>83</v>
      </c>
      <c r="Y61" s="5" t="s">
        <v>76</v>
      </c>
      <c r="Z61" s="3" t="s">
        <v>76</v>
      </c>
      <c r="AA61" s="1">
        <v>1.0</v>
      </c>
      <c r="AI61" s="2" t="s">
        <v>72</v>
      </c>
      <c r="AJ61" s="2" t="s">
        <v>72</v>
      </c>
      <c r="AK61" s="2" t="s">
        <v>72</v>
      </c>
      <c r="AL61" s="2" t="s">
        <v>100</v>
      </c>
      <c r="AM61" s="2" t="s">
        <v>72</v>
      </c>
      <c r="AN61" s="2" t="s">
        <v>72</v>
      </c>
      <c r="AO61" s="2" t="s">
        <v>72</v>
      </c>
      <c r="AQ61" s="2" t="s">
        <v>75</v>
      </c>
      <c r="AR61" s="2" t="s">
        <v>76</v>
      </c>
      <c r="AS61" s="1">
        <v>2289.0</v>
      </c>
      <c r="AT61" s="1">
        <v>2289.0</v>
      </c>
      <c r="AU61" s="1">
        <v>927.0</v>
      </c>
      <c r="AV61" s="1">
        <v>22.0</v>
      </c>
      <c r="AW61" s="1">
        <v>134.0</v>
      </c>
      <c r="AX61" s="1">
        <v>6580.0</v>
      </c>
      <c r="AY61" s="1">
        <v>1577.0</v>
      </c>
      <c r="AZ61" s="1" t="s">
        <v>627</v>
      </c>
      <c r="BA61" s="1" t="s">
        <v>121</v>
      </c>
    </row>
    <row r="62">
      <c r="A62" s="1" t="s">
        <v>1871</v>
      </c>
      <c r="B62" s="1" t="s">
        <v>53</v>
      </c>
      <c r="C62" s="1">
        <v>1996.0</v>
      </c>
      <c r="D62" s="1" t="s">
        <v>1872</v>
      </c>
      <c r="E62" s="1" t="s">
        <v>1873</v>
      </c>
      <c r="F62" s="1" t="s">
        <v>1874</v>
      </c>
      <c r="G62" s="1" t="s">
        <v>1875</v>
      </c>
      <c r="H62" s="1" t="s">
        <v>1876</v>
      </c>
      <c r="I62" s="1">
        <v>124.0</v>
      </c>
      <c r="K62" s="2" t="s">
        <v>1877</v>
      </c>
      <c r="L62" s="2" t="s">
        <v>60</v>
      </c>
      <c r="M62" s="1" t="s">
        <v>1880</v>
      </c>
      <c r="N62" s="1" t="s">
        <v>62</v>
      </c>
      <c r="O62" s="1" t="s">
        <v>112</v>
      </c>
      <c r="P62" s="1" t="s">
        <v>1072</v>
      </c>
      <c r="Q62" s="1">
        <v>9.683333</v>
      </c>
      <c r="R62" s="1">
        <v>-83.95</v>
      </c>
      <c r="S62" s="1" t="s">
        <v>148</v>
      </c>
      <c r="T62" s="2" t="s">
        <v>66</v>
      </c>
      <c r="U62" s="1" t="s">
        <v>1287</v>
      </c>
      <c r="V62" s="3" t="s">
        <v>788</v>
      </c>
      <c r="W62" s="1" t="s">
        <v>1879</v>
      </c>
      <c r="X62" s="2" t="s">
        <v>83</v>
      </c>
      <c r="Y62" s="5" t="s">
        <v>76</v>
      </c>
      <c r="Z62" s="3" t="s">
        <v>76</v>
      </c>
      <c r="AB62" s="1">
        <v>5.0</v>
      </c>
      <c r="AI62" s="2" t="s">
        <v>72</v>
      </c>
      <c r="AJ62" s="1">
        <v>-7550.0</v>
      </c>
      <c r="AK62" s="1">
        <v>450.0</v>
      </c>
      <c r="AL62" s="3" t="s">
        <v>153</v>
      </c>
      <c r="AM62" s="2" t="s">
        <v>72</v>
      </c>
      <c r="AN62" s="2" t="s">
        <v>72</v>
      </c>
      <c r="AO62" s="2" t="s">
        <v>72</v>
      </c>
      <c r="AQ62" s="2" t="s">
        <v>75</v>
      </c>
      <c r="AR62" s="2" t="s">
        <v>76</v>
      </c>
      <c r="AS62" s="1">
        <v>2384.0</v>
      </c>
      <c r="AT62" s="1">
        <v>2384.0</v>
      </c>
      <c r="AU62" s="1">
        <v>1211.0</v>
      </c>
      <c r="AV62" s="1">
        <v>13.0</v>
      </c>
      <c r="AW62" s="1">
        <v>51.0</v>
      </c>
      <c r="AX62" s="1">
        <v>8299.0</v>
      </c>
      <c r="AY62" s="1">
        <v>2279.0</v>
      </c>
      <c r="AZ62" s="1" t="s">
        <v>627</v>
      </c>
      <c r="BA62" s="1" t="s">
        <v>121</v>
      </c>
    </row>
    <row r="63">
      <c r="A63" s="1" t="s">
        <v>179</v>
      </c>
      <c r="B63" s="1" t="s">
        <v>53</v>
      </c>
      <c r="C63" s="1">
        <v>1996.0</v>
      </c>
      <c r="D63" s="1" t="s">
        <v>180</v>
      </c>
      <c r="E63" s="1" t="s">
        <v>181</v>
      </c>
      <c r="F63" s="1" t="s">
        <v>182</v>
      </c>
      <c r="G63" s="1" t="s">
        <v>183</v>
      </c>
      <c r="H63" s="1" t="s">
        <v>184</v>
      </c>
      <c r="I63" s="1">
        <v>108.0</v>
      </c>
      <c r="J63" s="1">
        <v>7.0</v>
      </c>
      <c r="K63" s="2" t="s">
        <v>185</v>
      </c>
      <c r="L63" s="2" t="s">
        <v>60</v>
      </c>
      <c r="M63" s="1" t="s">
        <v>186</v>
      </c>
      <c r="N63" s="1" t="s">
        <v>62</v>
      </c>
      <c r="O63" s="1" t="s">
        <v>187</v>
      </c>
      <c r="P63" s="1" t="s">
        <v>188</v>
      </c>
      <c r="Q63" s="1">
        <v>17.937719</v>
      </c>
      <c r="R63" s="1">
        <v>-88.366374</v>
      </c>
      <c r="S63" s="1" t="s">
        <v>114</v>
      </c>
      <c r="T63" s="2" t="s">
        <v>189</v>
      </c>
      <c r="U63" s="2" t="s">
        <v>190</v>
      </c>
      <c r="V63" s="3" t="s">
        <v>68</v>
      </c>
      <c r="W63" s="1" t="s">
        <v>191</v>
      </c>
      <c r="X63" s="1" t="s">
        <v>70</v>
      </c>
      <c r="Y63" s="6" t="s">
        <v>76</v>
      </c>
      <c r="Z63" s="3" t="s">
        <v>173</v>
      </c>
      <c r="AA63" s="1">
        <v>1.0</v>
      </c>
      <c r="AI63" s="2" t="s">
        <v>72</v>
      </c>
      <c r="AJ63" s="2" t="s">
        <v>72</v>
      </c>
      <c r="AK63" s="2" t="s">
        <v>72</v>
      </c>
      <c r="AL63" s="2" t="s">
        <v>100</v>
      </c>
      <c r="AM63" s="2" t="s">
        <v>72</v>
      </c>
      <c r="AN63" s="1" t="s">
        <v>192</v>
      </c>
      <c r="AO63" s="2" t="s">
        <v>72</v>
      </c>
      <c r="AQ63" s="2" t="s">
        <v>75</v>
      </c>
      <c r="AR63" s="2" t="s">
        <v>76</v>
      </c>
      <c r="AS63" s="1">
        <v>1641.0</v>
      </c>
      <c r="AT63" s="1">
        <v>1641.0</v>
      </c>
      <c r="AU63" s="1">
        <v>627.0</v>
      </c>
      <c r="AV63" s="1">
        <v>42.0</v>
      </c>
      <c r="AW63" s="1">
        <v>136.0</v>
      </c>
      <c r="AX63" s="1">
        <v>5337.0</v>
      </c>
      <c r="AY63" s="1">
        <v>15.0</v>
      </c>
      <c r="AZ63" s="1" t="s">
        <v>133</v>
      </c>
      <c r="BA63" s="1" t="s">
        <v>121</v>
      </c>
    </row>
    <row r="64">
      <c r="A64" s="1" t="s">
        <v>179</v>
      </c>
      <c r="B64" s="1" t="s">
        <v>53</v>
      </c>
      <c r="C64" s="1">
        <v>1996.0</v>
      </c>
      <c r="D64" s="1" t="s">
        <v>180</v>
      </c>
      <c r="E64" s="1" t="s">
        <v>181</v>
      </c>
      <c r="F64" s="1" t="s">
        <v>182</v>
      </c>
      <c r="G64" s="1" t="s">
        <v>183</v>
      </c>
      <c r="H64" s="1" t="s">
        <v>184</v>
      </c>
      <c r="I64" s="1">
        <v>108.0</v>
      </c>
      <c r="J64" s="1">
        <v>7.0</v>
      </c>
      <c r="K64" s="2" t="s">
        <v>185</v>
      </c>
      <c r="L64" s="2" t="s">
        <v>60</v>
      </c>
      <c r="M64" s="1" t="s">
        <v>193</v>
      </c>
      <c r="N64" s="1" t="s">
        <v>62</v>
      </c>
      <c r="O64" s="1" t="s">
        <v>187</v>
      </c>
      <c r="P64" s="1" t="s">
        <v>188</v>
      </c>
      <c r="Q64" s="1">
        <v>17.937719</v>
      </c>
      <c r="R64" s="1">
        <v>-88.366374</v>
      </c>
      <c r="S64" s="1" t="s">
        <v>114</v>
      </c>
      <c r="T64" s="2" t="s">
        <v>194</v>
      </c>
      <c r="U64" s="2" t="s">
        <v>190</v>
      </c>
      <c r="V64" s="3" t="s">
        <v>68</v>
      </c>
      <c r="W64" s="1" t="s">
        <v>191</v>
      </c>
      <c r="X64" s="1" t="s">
        <v>70</v>
      </c>
      <c r="Y64" s="6" t="s">
        <v>76</v>
      </c>
      <c r="Z64" s="3" t="s">
        <v>76</v>
      </c>
      <c r="AA64" s="1">
        <v>1.0</v>
      </c>
      <c r="AI64" s="2" t="s">
        <v>72</v>
      </c>
      <c r="AJ64" s="2" t="s">
        <v>72</v>
      </c>
      <c r="AK64" s="2" t="s">
        <v>72</v>
      </c>
      <c r="AL64" s="2" t="s">
        <v>100</v>
      </c>
      <c r="AM64" s="2" t="s">
        <v>72</v>
      </c>
      <c r="AN64" s="1" t="s">
        <v>192</v>
      </c>
      <c r="AO64" s="2" t="s">
        <v>72</v>
      </c>
      <c r="AQ64" s="2" t="s">
        <v>75</v>
      </c>
      <c r="AR64" s="2" t="s">
        <v>76</v>
      </c>
      <c r="AS64" s="1">
        <v>1641.0</v>
      </c>
      <c r="AT64" s="1">
        <v>1641.0</v>
      </c>
      <c r="AU64" s="1">
        <v>627.0</v>
      </c>
      <c r="AV64" s="1">
        <v>42.0</v>
      </c>
      <c r="AW64" s="1">
        <v>136.0</v>
      </c>
      <c r="AX64" s="1">
        <v>5337.0</v>
      </c>
      <c r="AY64" s="1">
        <v>15.0</v>
      </c>
      <c r="AZ64" s="1" t="s">
        <v>133</v>
      </c>
      <c r="BA64" s="1" t="s">
        <v>121</v>
      </c>
    </row>
    <row r="65">
      <c r="A65" s="1" t="s">
        <v>418</v>
      </c>
      <c r="B65" s="1" t="s">
        <v>53</v>
      </c>
      <c r="C65" s="1">
        <v>1996.0</v>
      </c>
      <c r="D65" s="1" t="s">
        <v>419</v>
      </c>
      <c r="E65" s="1" t="s">
        <v>420</v>
      </c>
      <c r="H65" s="1" t="s">
        <v>421</v>
      </c>
      <c r="I65" s="1">
        <v>9.0</v>
      </c>
      <c r="K65" s="2" t="s">
        <v>422</v>
      </c>
      <c r="L65" s="2" t="s">
        <v>60</v>
      </c>
      <c r="M65" s="1" t="s">
        <v>1955</v>
      </c>
      <c r="N65" s="1" t="s">
        <v>62</v>
      </c>
      <c r="O65" s="1" t="s">
        <v>112</v>
      </c>
      <c r="P65" s="1" t="s">
        <v>424</v>
      </c>
      <c r="Q65" s="1">
        <v>9.994167</v>
      </c>
      <c r="R65" s="1">
        <v>-83.613056</v>
      </c>
      <c r="S65" s="1" t="s">
        <v>148</v>
      </c>
      <c r="T65" s="2" t="s">
        <v>80</v>
      </c>
      <c r="U65" s="3" t="s">
        <v>81</v>
      </c>
      <c r="V65" s="3" t="s">
        <v>68</v>
      </c>
      <c r="W65" s="1" t="s">
        <v>82</v>
      </c>
      <c r="X65" s="1" t="s">
        <v>1791</v>
      </c>
      <c r="Y65" s="6" t="s">
        <v>76</v>
      </c>
      <c r="Z65" s="3" t="s">
        <v>84</v>
      </c>
      <c r="AB65" s="1">
        <v>8.0</v>
      </c>
      <c r="AI65" s="1" t="s">
        <v>425</v>
      </c>
      <c r="AJ65" s="1">
        <v>-610.0</v>
      </c>
      <c r="AK65" s="1">
        <v>1950.0</v>
      </c>
      <c r="AL65" s="2" t="s">
        <v>153</v>
      </c>
      <c r="AM65" s="2" t="s">
        <v>72</v>
      </c>
      <c r="AN65" s="2" t="s">
        <v>72</v>
      </c>
      <c r="AO65" s="2" t="s">
        <v>72</v>
      </c>
      <c r="AQ65" s="2" t="s">
        <v>75</v>
      </c>
      <c r="AR65" s="2" t="s">
        <v>76</v>
      </c>
      <c r="AS65" s="1">
        <v>3518.0</v>
      </c>
      <c r="AT65" s="1">
        <v>3518.0</v>
      </c>
      <c r="AU65" s="1">
        <v>1148.0</v>
      </c>
      <c r="AV65" s="1">
        <v>76.0</v>
      </c>
      <c r="AW65" s="1">
        <v>368.0</v>
      </c>
      <c r="AX65" s="1">
        <v>3848.0</v>
      </c>
      <c r="AY65" s="1">
        <v>490.0</v>
      </c>
      <c r="AZ65" s="1" t="s">
        <v>120</v>
      </c>
      <c r="BA65" s="1" t="s">
        <v>121</v>
      </c>
    </row>
    <row r="66">
      <c r="A66" s="1" t="s">
        <v>418</v>
      </c>
      <c r="B66" s="1" t="s">
        <v>53</v>
      </c>
      <c r="C66" s="1">
        <v>1996.0</v>
      </c>
      <c r="D66" s="1" t="s">
        <v>419</v>
      </c>
      <c r="E66" s="1" t="s">
        <v>420</v>
      </c>
      <c r="H66" s="1" t="s">
        <v>421</v>
      </c>
      <c r="I66" s="1">
        <v>9.0</v>
      </c>
      <c r="K66" s="2" t="s">
        <v>422</v>
      </c>
      <c r="L66" s="2" t="s">
        <v>60</v>
      </c>
      <c r="M66" s="1" t="s">
        <v>1956</v>
      </c>
      <c r="N66" s="1" t="s">
        <v>62</v>
      </c>
      <c r="O66" s="1" t="s">
        <v>112</v>
      </c>
      <c r="P66" s="1" t="s">
        <v>427</v>
      </c>
      <c r="Q66" s="1">
        <v>9.994167</v>
      </c>
      <c r="R66" s="1">
        <v>-83.603056</v>
      </c>
      <c r="S66" s="1" t="s">
        <v>148</v>
      </c>
      <c r="T66" s="2" t="s">
        <v>66</v>
      </c>
      <c r="U66" s="3" t="s">
        <v>67</v>
      </c>
      <c r="V66" s="3" t="s">
        <v>68</v>
      </c>
      <c r="W66" s="1" t="s">
        <v>1957</v>
      </c>
      <c r="X66" s="1" t="s">
        <v>70</v>
      </c>
      <c r="Y66" s="5" t="s">
        <v>60</v>
      </c>
      <c r="Z66" s="3" t="s">
        <v>71</v>
      </c>
      <c r="AB66" s="1">
        <v>4.0</v>
      </c>
      <c r="AI66" s="1" t="s">
        <v>1125</v>
      </c>
      <c r="AJ66" s="2" t="s">
        <v>72</v>
      </c>
      <c r="AK66" s="2" t="s">
        <v>72</v>
      </c>
      <c r="AL66" s="2" t="s">
        <v>73</v>
      </c>
      <c r="AM66" s="2" t="s">
        <v>72</v>
      </c>
      <c r="AN66" s="2" t="s">
        <v>72</v>
      </c>
      <c r="AO66" s="2" t="s">
        <v>72</v>
      </c>
      <c r="AQ66" s="2" t="s">
        <v>75</v>
      </c>
      <c r="AR66" s="2" t="s">
        <v>76</v>
      </c>
      <c r="AS66" s="1">
        <v>3589.0</v>
      </c>
      <c r="AT66" s="1">
        <v>3589.0</v>
      </c>
      <c r="AU66" s="1">
        <v>1136.0</v>
      </c>
      <c r="AV66" s="1">
        <v>79.0</v>
      </c>
      <c r="AW66" s="1">
        <v>440.0</v>
      </c>
      <c r="AX66" s="1">
        <v>3547.0</v>
      </c>
      <c r="AY66" s="1">
        <v>383.0</v>
      </c>
      <c r="AZ66" s="1" t="s">
        <v>120</v>
      </c>
      <c r="BA66" s="1" t="s">
        <v>121</v>
      </c>
    </row>
    <row r="67">
      <c r="A67" s="1" t="s">
        <v>418</v>
      </c>
      <c r="B67" s="1" t="s">
        <v>53</v>
      </c>
      <c r="C67" s="1">
        <v>1996.0</v>
      </c>
      <c r="D67" s="1" t="s">
        <v>419</v>
      </c>
      <c r="E67" s="1" t="s">
        <v>420</v>
      </c>
      <c r="H67" s="1" t="s">
        <v>421</v>
      </c>
      <c r="I67" s="1">
        <v>9.0</v>
      </c>
      <c r="K67" s="2" t="s">
        <v>422</v>
      </c>
      <c r="L67" s="2" t="s">
        <v>60</v>
      </c>
      <c r="M67" s="1" t="s">
        <v>1958</v>
      </c>
      <c r="N67" s="1" t="s">
        <v>62</v>
      </c>
      <c r="O67" s="1" t="s">
        <v>112</v>
      </c>
      <c r="P67" s="1" t="s">
        <v>424</v>
      </c>
      <c r="Q67" s="1">
        <v>9.994167</v>
      </c>
      <c r="R67" s="1">
        <v>-83.613056</v>
      </c>
      <c r="S67" s="1" t="s">
        <v>148</v>
      </c>
      <c r="T67" s="2" t="s">
        <v>66</v>
      </c>
      <c r="U67" s="3" t="s">
        <v>67</v>
      </c>
      <c r="V67" s="3" t="s">
        <v>68</v>
      </c>
      <c r="W67" s="1" t="s">
        <v>1959</v>
      </c>
      <c r="X67" s="1" t="s">
        <v>70</v>
      </c>
      <c r="Y67" s="5" t="s">
        <v>60</v>
      </c>
      <c r="Z67" s="3" t="s">
        <v>71</v>
      </c>
      <c r="AB67" s="1">
        <v>8.0</v>
      </c>
      <c r="AI67" s="1" t="s">
        <v>425</v>
      </c>
      <c r="AJ67" s="1">
        <v>-610.0</v>
      </c>
      <c r="AK67" s="1">
        <v>1950.0</v>
      </c>
      <c r="AL67" s="2" t="s">
        <v>153</v>
      </c>
      <c r="AM67" s="2" t="s">
        <v>72</v>
      </c>
      <c r="AN67" s="2" t="s">
        <v>72</v>
      </c>
      <c r="AO67" s="2" t="s">
        <v>72</v>
      </c>
      <c r="AQ67" s="2" t="s">
        <v>75</v>
      </c>
      <c r="AR67" s="2" t="s">
        <v>76</v>
      </c>
      <c r="AS67" s="1">
        <v>3518.0</v>
      </c>
      <c r="AT67" s="1">
        <v>3518.0</v>
      </c>
      <c r="AU67" s="1">
        <v>1148.0</v>
      </c>
      <c r="AV67" s="1">
        <v>76.0</v>
      </c>
      <c r="AW67" s="1">
        <v>368.0</v>
      </c>
      <c r="AX67" s="1">
        <v>3848.0</v>
      </c>
      <c r="AY67" s="1">
        <v>490.0</v>
      </c>
      <c r="AZ67" s="1" t="s">
        <v>120</v>
      </c>
      <c r="BA67" s="1" t="s">
        <v>121</v>
      </c>
    </row>
    <row r="68">
      <c r="A68" s="1" t="s">
        <v>418</v>
      </c>
      <c r="B68" s="1" t="s">
        <v>53</v>
      </c>
      <c r="C68" s="1">
        <v>1996.0</v>
      </c>
      <c r="D68" s="1" t="s">
        <v>419</v>
      </c>
      <c r="E68" s="1" t="s">
        <v>420</v>
      </c>
      <c r="H68" s="1" t="s">
        <v>421</v>
      </c>
      <c r="I68" s="1">
        <v>9.0</v>
      </c>
      <c r="K68" s="2" t="s">
        <v>422</v>
      </c>
      <c r="L68" s="2" t="s">
        <v>60</v>
      </c>
      <c r="M68" s="1" t="s">
        <v>1960</v>
      </c>
      <c r="N68" s="1" t="s">
        <v>62</v>
      </c>
      <c r="O68" s="1" t="s">
        <v>112</v>
      </c>
      <c r="P68" s="1" t="s">
        <v>424</v>
      </c>
      <c r="Q68" s="1">
        <v>9.994167</v>
      </c>
      <c r="R68" s="1">
        <v>-83.613056</v>
      </c>
      <c r="S68" s="1" t="s">
        <v>148</v>
      </c>
      <c r="T68" s="2" t="s">
        <v>194</v>
      </c>
      <c r="U68" s="1" t="s">
        <v>115</v>
      </c>
      <c r="V68" s="3" t="s">
        <v>68</v>
      </c>
      <c r="W68" s="1" t="s">
        <v>286</v>
      </c>
      <c r="X68" s="1" t="s">
        <v>70</v>
      </c>
      <c r="Y68" s="6" t="s">
        <v>76</v>
      </c>
      <c r="Z68" s="3" t="s">
        <v>76</v>
      </c>
      <c r="AB68" s="1">
        <v>8.0</v>
      </c>
      <c r="AI68" s="1" t="s">
        <v>425</v>
      </c>
      <c r="AJ68" s="1">
        <v>-610.0</v>
      </c>
      <c r="AK68" s="1">
        <v>1950.0</v>
      </c>
      <c r="AL68" s="2" t="s">
        <v>153</v>
      </c>
      <c r="AM68" s="2" t="s">
        <v>72</v>
      </c>
      <c r="AN68" s="2" t="s">
        <v>72</v>
      </c>
      <c r="AO68" s="2" t="s">
        <v>72</v>
      </c>
      <c r="AQ68" s="2" t="s">
        <v>75</v>
      </c>
      <c r="AR68" s="2" t="s">
        <v>76</v>
      </c>
      <c r="AS68" s="1">
        <v>3518.0</v>
      </c>
      <c r="AT68" s="1">
        <v>3518.0</v>
      </c>
      <c r="AU68" s="1">
        <v>1148.0</v>
      </c>
      <c r="AV68" s="1">
        <v>76.0</v>
      </c>
      <c r="AW68" s="1">
        <v>368.0</v>
      </c>
      <c r="AX68" s="1">
        <v>3848.0</v>
      </c>
      <c r="AY68" s="1">
        <v>490.0</v>
      </c>
      <c r="AZ68" s="1" t="s">
        <v>120</v>
      </c>
      <c r="BA68" s="1" t="s">
        <v>121</v>
      </c>
    </row>
    <row r="69">
      <c r="A69" s="1" t="s">
        <v>418</v>
      </c>
      <c r="B69" s="1" t="s">
        <v>53</v>
      </c>
      <c r="C69" s="1">
        <v>1996.0</v>
      </c>
      <c r="D69" s="1" t="s">
        <v>419</v>
      </c>
      <c r="E69" s="1" t="s">
        <v>420</v>
      </c>
      <c r="H69" s="1" t="s">
        <v>421</v>
      </c>
      <c r="I69" s="1">
        <v>9.0</v>
      </c>
      <c r="K69" s="2" t="s">
        <v>422</v>
      </c>
      <c r="L69" s="2" t="s">
        <v>60</v>
      </c>
      <c r="M69" s="1" t="s">
        <v>1961</v>
      </c>
      <c r="N69" s="1" t="s">
        <v>62</v>
      </c>
      <c r="O69" s="1" t="s">
        <v>112</v>
      </c>
      <c r="P69" s="1" t="s">
        <v>427</v>
      </c>
      <c r="Q69" s="1">
        <v>9.994167</v>
      </c>
      <c r="R69" s="1">
        <v>-83.603056</v>
      </c>
      <c r="S69" s="1" t="s">
        <v>148</v>
      </c>
      <c r="T69" s="2" t="s">
        <v>189</v>
      </c>
      <c r="U69" s="1" t="s">
        <v>115</v>
      </c>
      <c r="V69" s="3" t="s">
        <v>68</v>
      </c>
      <c r="W69" s="1" t="s">
        <v>284</v>
      </c>
      <c r="X69" s="1" t="s">
        <v>70</v>
      </c>
      <c r="Y69" s="6" t="s">
        <v>76</v>
      </c>
      <c r="Z69" s="3" t="s">
        <v>173</v>
      </c>
      <c r="AB69" s="1">
        <v>6.0</v>
      </c>
      <c r="AI69" s="1" t="s">
        <v>428</v>
      </c>
      <c r="AJ69" s="2" t="s">
        <v>72</v>
      </c>
      <c r="AK69" s="2" t="s">
        <v>72</v>
      </c>
      <c r="AL69" s="2" t="s">
        <v>73</v>
      </c>
      <c r="AM69" s="2" t="s">
        <v>72</v>
      </c>
      <c r="AN69" s="2" t="s">
        <v>72</v>
      </c>
      <c r="AO69" s="2" t="s">
        <v>72</v>
      </c>
      <c r="AQ69" s="2" t="s">
        <v>75</v>
      </c>
      <c r="AR69" s="2" t="s">
        <v>76</v>
      </c>
      <c r="AS69" s="1">
        <v>3589.0</v>
      </c>
      <c r="AT69" s="1">
        <v>3589.0</v>
      </c>
      <c r="AU69" s="1">
        <v>1136.0</v>
      </c>
      <c r="AV69" s="1">
        <v>79.0</v>
      </c>
      <c r="AW69" s="1">
        <v>440.0</v>
      </c>
      <c r="AX69" s="1">
        <v>3547.0</v>
      </c>
      <c r="AY69" s="1">
        <v>383.0</v>
      </c>
      <c r="AZ69" s="1" t="s">
        <v>120</v>
      </c>
      <c r="BA69" s="1" t="s">
        <v>121</v>
      </c>
    </row>
    <row r="70">
      <c r="A70" s="1" t="s">
        <v>418</v>
      </c>
      <c r="B70" s="1" t="s">
        <v>53</v>
      </c>
      <c r="C70" s="1">
        <v>1996.0</v>
      </c>
      <c r="D70" s="1" t="s">
        <v>419</v>
      </c>
      <c r="E70" s="1" t="s">
        <v>420</v>
      </c>
      <c r="H70" s="1" t="s">
        <v>421</v>
      </c>
      <c r="I70" s="1">
        <v>9.0</v>
      </c>
      <c r="K70" s="2" t="s">
        <v>422</v>
      </c>
      <c r="L70" s="2" t="s">
        <v>60</v>
      </c>
      <c r="M70" s="1" t="s">
        <v>1962</v>
      </c>
      <c r="N70" s="1" t="s">
        <v>62</v>
      </c>
      <c r="O70" s="1" t="s">
        <v>112</v>
      </c>
      <c r="P70" s="1" t="s">
        <v>424</v>
      </c>
      <c r="Q70" s="1">
        <v>9.994167</v>
      </c>
      <c r="R70" s="1">
        <v>-83.613056</v>
      </c>
      <c r="S70" s="1" t="s">
        <v>148</v>
      </c>
      <c r="T70" s="2" t="s">
        <v>194</v>
      </c>
      <c r="U70" s="1" t="s">
        <v>115</v>
      </c>
      <c r="V70" s="3" t="s">
        <v>68</v>
      </c>
      <c r="W70" s="1" t="s">
        <v>286</v>
      </c>
      <c r="X70" s="1" t="s">
        <v>70</v>
      </c>
      <c r="Y70" s="6" t="s">
        <v>76</v>
      </c>
      <c r="Z70" s="3" t="s">
        <v>76</v>
      </c>
      <c r="AB70" s="1">
        <v>8.0</v>
      </c>
      <c r="AI70" s="1" t="s">
        <v>425</v>
      </c>
      <c r="AJ70" s="1">
        <v>-610.0</v>
      </c>
      <c r="AK70" s="1">
        <v>1950.0</v>
      </c>
      <c r="AL70" s="2" t="s">
        <v>153</v>
      </c>
      <c r="AM70" s="2" t="s">
        <v>72</v>
      </c>
      <c r="AN70" s="2" t="s">
        <v>72</v>
      </c>
      <c r="AO70" s="2" t="s">
        <v>72</v>
      </c>
      <c r="AQ70" s="2" t="s">
        <v>75</v>
      </c>
      <c r="AR70" s="2" t="s">
        <v>76</v>
      </c>
      <c r="AS70" s="1">
        <v>3518.0</v>
      </c>
      <c r="AT70" s="1">
        <v>3518.0</v>
      </c>
      <c r="AU70" s="1">
        <v>1148.0</v>
      </c>
      <c r="AV70" s="1">
        <v>76.0</v>
      </c>
      <c r="AW70" s="1">
        <v>368.0</v>
      </c>
      <c r="AX70" s="1">
        <v>3848.0</v>
      </c>
      <c r="AY70" s="1">
        <v>490.0</v>
      </c>
      <c r="AZ70" s="1" t="s">
        <v>120</v>
      </c>
      <c r="BA70" s="1" t="s">
        <v>121</v>
      </c>
    </row>
    <row r="71">
      <c r="A71" s="1" t="s">
        <v>418</v>
      </c>
      <c r="B71" s="1" t="s">
        <v>53</v>
      </c>
      <c r="C71" s="1">
        <v>1996.0</v>
      </c>
      <c r="D71" s="1" t="s">
        <v>419</v>
      </c>
      <c r="E71" s="1" t="s">
        <v>420</v>
      </c>
      <c r="H71" s="1" t="s">
        <v>421</v>
      </c>
      <c r="I71" s="1">
        <v>9.0</v>
      </c>
      <c r="K71" s="2" t="s">
        <v>422</v>
      </c>
      <c r="L71" s="2" t="s">
        <v>60</v>
      </c>
      <c r="M71" s="1" t="s">
        <v>1963</v>
      </c>
      <c r="N71" s="1" t="s">
        <v>62</v>
      </c>
      <c r="O71" s="1" t="s">
        <v>112</v>
      </c>
      <c r="P71" s="1" t="s">
        <v>427</v>
      </c>
      <c r="Q71" s="1">
        <v>9.994167</v>
      </c>
      <c r="R71" s="1">
        <v>-83.603056</v>
      </c>
      <c r="S71" s="1" t="s">
        <v>148</v>
      </c>
      <c r="T71" s="2" t="s">
        <v>189</v>
      </c>
      <c r="U71" s="1" t="s">
        <v>115</v>
      </c>
      <c r="V71" s="3" t="s">
        <v>68</v>
      </c>
      <c r="W71" s="1" t="s">
        <v>284</v>
      </c>
      <c r="X71" s="1" t="s">
        <v>70</v>
      </c>
      <c r="Y71" s="6" t="s">
        <v>76</v>
      </c>
      <c r="Z71" s="3" t="s">
        <v>173</v>
      </c>
      <c r="AB71" s="1">
        <v>6.0</v>
      </c>
      <c r="AI71" s="1" t="s">
        <v>428</v>
      </c>
      <c r="AJ71" s="2" t="s">
        <v>72</v>
      </c>
      <c r="AK71" s="2" t="s">
        <v>72</v>
      </c>
      <c r="AL71" s="2" t="s">
        <v>73</v>
      </c>
      <c r="AM71" s="2" t="s">
        <v>72</v>
      </c>
      <c r="AN71" s="2" t="s">
        <v>72</v>
      </c>
      <c r="AO71" s="2" t="s">
        <v>72</v>
      </c>
      <c r="AQ71" s="2" t="s">
        <v>75</v>
      </c>
      <c r="AR71" s="2" t="s">
        <v>76</v>
      </c>
      <c r="AS71" s="1">
        <v>3589.0</v>
      </c>
      <c r="AT71" s="1">
        <v>3589.0</v>
      </c>
      <c r="AU71" s="1">
        <v>1136.0</v>
      </c>
      <c r="AV71" s="1">
        <v>79.0</v>
      </c>
      <c r="AW71" s="1">
        <v>440.0</v>
      </c>
      <c r="AX71" s="1">
        <v>3547.0</v>
      </c>
      <c r="AY71" s="1">
        <v>383.0</v>
      </c>
      <c r="AZ71" s="1" t="s">
        <v>120</v>
      </c>
      <c r="BA71" s="1" t="s">
        <v>121</v>
      </c>
    </row>
    <row r="72">
      <c r="A72" s="1" t="s">
        <v>1134</v>
      </c>
      <c r="B72" s="1" t="s">
        <v>53</v>
      </c>
      <c r="C72" s="1">
        <v>1996.0</v>
      </c>
      <c r="D72" s="1" t="s">
        <v>1135</v>
      </c>
      <c r="E72" s="1" t="s">
        <v>1136</v>
      </c>
      <c r="F72" s="1" t="s">
        <v>631</v>
      </c>
      <c r="I72" s="1">
        <v>7.0</v>
      </c>
      <c r="J72" s="1">
        <v>4.0</v>
      </c>
      <c r="K72" s="2" t="s">
        <v>1137</v>
      </c>
      <c r="L72" s="2" t="s">
        <v>60</v>
      </c>
      <c r="M72" s="1" t="s">
        <v>1138</v>
      </c>
      <c r="N72" s="1" t="s">
        <v>62</v>
      </c>
      <c r="O72" s="1" t="s">
        <v>187</v>
      </c>
      <c r="P72" s="1" t="s">
        <v>188</v>
      </c>
      <c r="Q72" s="1">
        <v>18.419475</v>
      </c>
      <c r="R72" s="1">
        <v>-88.516108</v>
      </c>
      <c r="S72" s="1" t="s">
        <v>114</v>
      </c>
      <c r="T72" s="2" t="s">
        <v>80</v>
      </c>
      <c r="U72" s="3" t="s">
        <v>81</v>
      </c>
      <c r="V72" s="3" t="s">
        <v>116</v>
      </c>
      <c r="W72" s="2" t="s">
        <v>72</v>
      </c>
      <c r="X72" s="2" t="s">
        <v>83</v>
      </c>
      <c r="Y72" s="6" t="s">
        <v>76</v>
      </c>
      <c r="Z72" s="3" t="s">
        <v>84</v>
      </c>
      <c r="AB72" s="1">
        <v>2.0</v>
      </c>
      <c r="AI72" s="2" t="s">
        <v>72</v>
      </c>
      <c r="AJ72" s="1">
        <v>-5300.0</v>
      </c>
      <c r="AK72" s="1">
        <v>-1650.0</v>
      </c>
      <c r="AL72" s="3" t="s">
        <v>73</v>
      </c>
      <c r="AM72" s="2" t="s">
        <v>72</v>
      </c>
      <c r="AN72" s="2" t="s">
        <v>72</v>
      </c>
      <c r="AO72" s="2" t="s">
        <v>72</v>
      </c>
      <c r="AQ72" s="2" t="s">
        <v>75</v>
      </c>
      <c r="AR72" s="2" t="s">
        <v>76</v>
      </c>
      <c r="AS72" s="1">
        <v>1225.0</v>
      </c>
      <c r="AT72" s="1">
        <v>1225.0</v>
      </c>
      <c r="AU72" s="1">
        <v>506.0</v>
      </c>
      <c r="AV72" s="1">
        <v>24.0</v>
      </c>
      <c r="AW72" s="1">
        <v>85.0</v>
      </c>
      <c r="AX72" s="1">
        <v>6237.0</v>
      </c>
      <c r="AY72" s="1">
        <v>11.0</v>
      </c>
      <c r="AZ72" s="1" t="s">
        <v>133</v>
      </c>
      <c r="BA72" s="1" t="s">
        <v>121</v>
      </c>
    </row>
    <row r="73">
      <c r="A73" s="1" t="s">
        <v>1134</v>
      </c>
      <c r="B73" s="1" t="s">
        <v>53</v>
      </c>
      <c r="C73" s="1">
        <v>1996.0</v>
      </c>
      <c r="D73" s="1" t="s">
        <v>1135</v>
      </c>
      <c r="E73" s="1" t="s">
        <v>1136</v>
      </c>
      <c r="F73" s="1" t="s">
        <v>631</v>
      </c>
      <c r="I73" s="1">
        <v>7.0</v>
      </c>
      <c r="J73" s="1">
        <v>4.0</v>
      </c>
      <c r="K73" s="2" t="s">
        <v>1137</v>
      </c>
      <c r="L73" s="2" t="s">
        <v>60</v>
      </c>
      <c r="M73" s="1" t="s">
        <v>1139</v>
      </c>
      <c r="N73" s="1" t="s">
        <v>62</v>
      </c>
      <c r="O73" s="1" t="s">
        <v>187</v>
      </c>
      <c r="P73" s="1" t="s">
        <v>188</v>
      </c>
      <c r="Q73" s="1">
        <v>17.937719</v>
      </c>
      <c r="R73" s="1">
        <v>-88.366374</v>
      </c>
      <c r="S73" s="1" t="s">
        <v>114</v>
      </c>
      <c r="T73" s="2" t="s">
        <v>66</v>
      </c>
      <c r="U73" s="3" t="s">
        <v>67</v>
      </c>
      <c r="V73" s="3" t="s">
        <v>116</v>
      </c>
      <c r="W73" s="2" t="s">
        <v>72</v>
      </c>
      <c r="X73" s="1" t="s">
        <v>70</v>
      </c>
      <c r="Y73" s="5" t="s">
        <v>76</v>
      </c>
      <c r="Z73" s="3" t="s">
        <v>71</v>
      </c>
      <c r="AA73" s="1">
        <v>1.0</v>
      </c>
      <c r="AB73" s="1">
        <v>2.0</v>
      </c>
      <c r="AI73" s="1" t="s">
        <v>1140</v>
      </c>
      <c r="AJ73" s="1">
        <v>-5500.0</v>
      </c>
      <c r="AK73" s="1">
        <v>-1630.0</v>
      </c>
      <c r="AL73" s="3" t="s">
        <v>73</v>
      </c>
      <c r="AM73" s="2" t="s">
        <v>72</v>
      </c>
      <c r="AN73" s="1" t="s">
        <v>1141</v>
      </c>
      <c r="AO73" s="2" t="s">
        <v>72</v>
      </c>
      <c r="AQ73" s="2" t="s">
        <v>75</v>
      </c>
      <c r="AR73" s="2" t="s">
        <v>76</v>
      </c>
      <c r="AS73" s="1">
        <v>1641.0</v>
      </c>
      <c r="AT73" s="1">
        <v>1641.0</v>
      </c>
      <c r="AU73" s="1">
        <v>627.0</v>
      </c>
      <c r="AV73" s="1">
        <v>42.0</v>
      </c>
      <c r="AW73" s="1">
        <v>136.0</v>
      </c>
      <c r="AX73" s="1">
        <v>5337.0</v>
      </c>
      <c r="AY73" s="1">
        <v>15.0</v>
      </c>
      <c r="AZ73" s="1" t="s">
        <v>133</v>
      </c>
      <c r="BA73" s="1" t="s">
        <v>121</v>
      </c>
    </row>
    <row r="74">
      <c r="A74" s="1" t="s">
        <v>447</v>
      </c>
      <c r="B74" s="1" t="s">
        <v>53</v>
      </c>
      <c r="C74" s="1">
        <v>1996.0</v>
      </c>
      <c r="D74" s="1" t="s">
        <v>448</v>
      </c>
      <c r="E74" s="1" t="s">
        <v>449</v>
      </c>
      <c r="H74" s="1" t="s">
        <v>450</v>
      </c>
      <c r="I74" s="1">
        <v>5.0</v>
      </c>
      <c r="K74" s="2" t="s">
        <v>451</v>
      </c>
      <c r="L74" s="2" t="s">
        <v>60</v>
      </c>
      <c r="M74" s="1" t="s">
        <v>1964</v>
      </c>
      <c r="N74" s="1" t="s">
        <v>62</v>
      </c>
      <c r="O74" s="1" t="s">
        <v>92</v>
      </c>
      <c r="P74" s="1" t="s">
        <v>453</v>
      </c>
      <c r="Q74" s="1">
        <v>20.491511</v>
      </c>
      <c r="R74" s="1">
        <v>-87.738733</v>
      </c>
      <c r="S74" s="1" t="s">
        <v>148</v>
      </c>
      <c r="T74" s="2" t="s">
        <v>189</v>
      </c>
      <c r="U74" s="1" t="s">
        <v>173</v>
      </c>
      <c r="V74" s="3" t="s">
        <v>68</v>
      </c>
      <c r="W74" s="1" t="s">
        <v>1965</v>
      </c>
      <c r="X74" s="1" t="s">
        <v>70</v>
      </c>
      <c r="Y74" s="6" t="s">
        <v>76</v>
      </c>
      <c r="Z74" s="3" t="s">
        <v>76</v>
      </c>
      <c r="AI74" s="1" t="s">
        <v>457</v>
      </c>
      <c r="AJ74" s="1">
        <v>-5650.0</v>
      </c>
      <c r="AK74" s="1">
        <v>1950.0</v>
      </c>
      <c r="AL74" s="2" t="s">
        <v>73</v>
      </c>
      <c r="AM74" s="2" t="s">
        <v>72</v>
      </c>
      <c r="AN74" s="2" t="s">
        <v>72</v>
      </c>
      <c r="AO74" s="2" t="s">
        <v>72</v>
      </c>
      <c r="AQ74" s="2" t="s">
        <v>75</v>
      </c>
      <c r="AR74" s="2" t="s">
        <v>76</v>
      </c>
      <c r="AS74" s="1">
        <v>1151.0</v>
      </c>
      <c r="AT74" s="1">
        <v>1151.0</v>
      </c>
      <c r="AU74" s="1">
        <v>500.0</v>
      </c>
      <c r="AV74" s="1">
        <v>42.0</v>
      </c>
      <c r="AW74" s="1">
        <v>129.0</v>
      </c>
      <c r="AX74" s="1">
        <v>5567.0</v>
      </c>
      <c r="AY74" s="1">
        <v>14.0</v>
      </c>
      <c r="AZ74" s="1" t="s">
        <v>239</v>
      </c>
      <c r="BA74" s="1" t="s">
        <v>121</v>
      </c>
    </row>
    <row r="75">
      <c r="A75" s="1" t="s">
        <v>447</v>
      </c>
      <c r="B75" s="1" t="s">
        <v>53</v>
      </c>
      <c r="C75" s="1">
        <v>1996.0</v>
      </c>
      <c r="D75" s="1" t="s">
        <v>448</v>
      </c>
      <c r="E75" s="1" t="s">
        <v>449</v>
      </c>
      <c r="H75" s="1" t="s">
        <v>450</v>
      </c>
      <c r="I75" s="1">
        <v>5.0</v>
      </c>
      <c r="K75" s="2" t="s">
        <v>451</v>
      </c>
      <c r="L75" s="2" t="s">
        <v>60</v>
      </c>
      <c r="M75" s="1" t="s">
        <v>1966</v>
      </c>
      <c r="N75" s="1" t="s">
        <v>62</v>
      </c>
      <c r="O75" s="1" t="s">
        <v>92</v>
      </c>
      <c r="P75" s="1" t="s">
        <v>453</v>
      </c>
      <c r="Q75" s="1">
        <v>20.491511</v>
      </c>
      <c r="R75" s="1">
        <v>-87.738733</v>
      </c>
      <c r="S75" s="1" t="s">
        <v>148</v>
      </c>
      <c r="T75" s="2" t="s">
        <v>95</v>
      </c>
      <c r="U75" s="3" t="s">
        <v>1026</v>
      </c>
      <c r="V75" s="3" t="s">
        <v>97</v>
      </c>
      <c r="W75" s="1" t="s">
        <v>264</v>
      </c>
      <c r="X75" s="1" t="s">
        <v>456</v>
      </c>
      <c r="Y75" s="6" t="s">
        <v>76</v>
      </c>
      <c r="Z75" s="3" t="s">
        <v>76</v>
      </c>
      <c r="AI75" s="1" t="s">
        <v>457</v>
      </c>
      <c r="AJ75" s="1">
        <v>-5650.0</v>
      </c>
      <c r="AK75" s="1">
        <v>1950.0</v>
      </c>
      <c r="AL75" s="2" t="s">
        <v>73</v>
      </c>
      <c r="AM75" s="2" t="s">
        <v>72</v>
      </c>
      <c r="AN75" s="2" t="s">
        <v>72</v>
      </c>
      <c r="AO75" s="2" t="s">
        <v>72</v>
      </c>
      <c r="AQ75" s="2" t="s">
        <v>75</v>
      </c>
      <c r="AR75" s="2" t="s">
        <v>76</v>
      </c>
      <c r="AS75" s="1">
        <v>1151.0</v>
      </c>
      <c r="AT75" s="1">
        <v>1151.0</v>
      </c>
      <c r="AU75" s="1">
        <v>500.0</v>
      </c>
      <c r="AV75" s="1">
        <v>42.0</v>
      </c>
      <c r="AW75" s="1">
        <v>129.0</v>
      </c>
      <c r="AX75" s="1">
        <v>5567.0</v>
      </c>
      <c r="AY75" s="1">
        <v>14.0</v>
      </c>
      <c r="AZ75" s="1" t="s">
        <v>239</v>
      </c>
      <c r="BA75" s="1" t="s">
        <v>121</v>
      </c>
    </row>
    <row r="76">
      <c r="A76" s="1" t="s">
        <v>447</v>
      </c>
      <c r="B76" s="1" t="s">
        <v>53</v>
      </c>
      <c r="C76" s="1">
        <v>1996.0</v>
      </c>
      <c r="D76" s="1" t="s">
        <v>448</v>
      </c>
      <c r="E76" s="1" t="s">
        <v>449</v>
      </c>
      <c r="H76" s="1" t="s">
        <v>450</v>
      </c>
      <c r="I76" s="1">
        <v>5.0</v>
      </c>
      <c r="K76" s="2" t="s">
        <v>451</v>
      </c>
      <c r="L76" s="2" t="s">
        <v>60</v>
      </c>
      <c r="M76" s="1" t="s">
        <v>1968</v>
      </c>
      <c r="N76" s="1" t="s">
        <v>62</v>
      </c>
      <c r="O76" s="1" t="s">
        <v>92</v>
      </c>
      <c r="P76" s="1" t="s">
        <v>453</v>
      </c>
      <c r="Q76" s="1">
        <v>20.491511</v>
      </c>
      <c r="R76" s="1">
        <v>-87.738733</v>
      </c>
      <c r="S76" s="1" t="s">
        <v>148</v>
      </c>
      <c r="T76" s="2" t="s">
        <v>149</v>
      </c>
      <c r="U76" s="1" t="s">
        <v>150</v>
      </c>
      <c r="V76" s="3" t="s">
        <v>97</v>
      </c>
      <c r="W76" s="1" t="s">
        <v>1969</v>
      </c>
      <c r="X76" s="1" t="s">
        <v>70</v>
      </c>
      <c r="Y76" s="6" t="s">
        <v>76</v>
      </c>
      <c r="Z76" s="3" t="s">
        <v>76</v>
      </c>
      <c r="AB76" s="1">
        <v>3.0</v>
      </c>
      <c r="AI76" s="1" t="s">
        <v>457</v>
      </c>
      <c r="AJ76" s="1">
        <v>-5650.0</v>
      </c>
      <c r="AK76" s="1">
        <v>1950.0</v>
      </c>
      <c r="AL76" s="2" t="s">
        <v>73</v>
      </c>
      <c r="AM76" s="2" t="s">
        <v>72</v>
      </c>
      <c r="AN76" s="2" t="s">
        <v>72</v>
      </c>
      <c r="AO76" s="2" t="s">
        <v>72</v>
      </c>
      <c r="AQ76" s="2" t="s">
        <v>75</v>
      </c>
      <c r="AR76" s="2" t="s">
        <v>76</v>
      </c>
      <c r="AS76" s="1">
        <v>1151.0</v>
      </c>
      <c r="AT76" s="1">
        <v>1151.0</v>
      </c>
      <c r="AU76" s="1">
        <v>500.0</v>
      </c>
      <c r="AV76" s="1">
        <v>42.0</v>
      </c>
      <c r="AW76" s="1">
        <v>129.0</v>
      </c>
      <c r="AX76" s="1">
        <v>5567.0</v>
      </c>
      <c r="AY76" s="1">
        <v>14.0</v>
      </c>
      <c r="AZ76" s="1" t="s">
        <v>239</v>
      </c>
      <c r="BA76" s="1" t="s">
        <v>121</v>
      </c>
    </row>
    <row r="77">
      <c r="A77" s="1" t="s">
        <v>447</v>
      </c>
      <c r="B77" s="1" t="s">
        <v>53</v>
      </c>
      <c r="C77" s="1">
        <v>1996.0</v>
      </c>
      <c r="D77" s="1" t="s">
        <v>448</v>
      </c>
      <c r="E77" s="1" t="s">
        <v>449</v>
      </c>
      <c r="H77" s="1" t="s">
        <v>450</v>
      </c>
      <c r="I77" s="1">
        <v>5.0</v>
      </c>
      <c r="K77" s="2" t="s">
        <v>451</v>
      </c>
      <c r="L77" s="2" t="s">
        <v>60</v>
      </c>
      <c r="M77" s="1" t="s">
        <v>1970</v>
      </c>
      <c r="N77" s="1" t="s">
        <v>62</v>
      </c>
      <c r="O77" s="1" t="s">
        <v>92</v>
      </c>
      <c r="P77" s="1" t="s">
        <v>453</v>
      </c>
      <c r="Q77" s="1">
        <v>20.491511</v>
      </c>
      <c r="R77" s="1">
        <v>-87.738733</v>
      </c>
      <c r="S77" s="1" t="s">
        <v>148</v>
      </c>
      <c r="T77" s="2" t="s">
        <v>194</v>
      </c>
      <c r="U77" s="1" t="s">
        <v>173</v>
      </c>
      <c r="V77" s="3" t="s">
        <v>68</v>
      </c>
      <c r="W77" s="1" t="s">
        <v>286</v>
      </c>
      <c r="X77" s="1" t="s">
        <v>70</v>
      </c>
      <c r="Y77" s="6" t="s">
        <v>76</v>
      </c>
      <c r="Z77" s="3" t="s">
        <v>76</v>
      </c>
      <c r="AI77" s="1" t="s">
        <v>457</v>
      </c>
      <c r="AJ77" s="1">
        <v>-5650.0</v>
      </c>
      <c r="AK77" s="1">
        <v>1950.0</v>
      </c>
      <c r="AL77" s="2" t="s">
        <v>73</v>
      </c>
      <c r="AM77" s="2" t="s">
        <v>72</v>
      </c>
      <c r="AN77" s="2" t="s">
        <v>72</v>
      </c>
      <c r="AO77" s="2" t="s">
        <v>72</v>
      </c>
      <c r="AQ77" s="2" t="s">
        <v>75</v>
      </c>
      <c r="AR77" s="2" t="s">
        <v>76</v>
      </c>
      <c r="AS77" s="1">
        <v>1151.0</v>
      </c>
      <c r="AT77" s="1">
        <v>1151.0</v>
      </c>
      <c r="AU77" s="1">
        <v>500.0</v>
      </c>
      <c r="AV77" s="1">
        <v>42.0</v>
      </c>
      <c r="AW77" s="1">
        <v>129.0</v>
      </c>
      <c r="AX77" s="1">
        <v>5567.0</v>
      </c>
      <c r="AY77" s="1">
        <v>14.0</v>
      </c>
      <c r="AZ77" s="1" t="s">
        <v>239</v>
      </c>
      <c r="BA77" s="1" t="s">
        <v>121</v>
      </c>
    </row>
    <row r="78">
      <c r="A78" s="1" t="s">
        <v>1637</v>
      </c>
      <c r="B78" s="1" t="s">
        <v>53</v>
      </c>
      <c r="C78" s="1">
        <v>1997.0</v>
      </c>
      <c r="D78" s="1" t="s">
        <v>1638</v>
      </c>
      <c r="E78" s="1" t="s">
        <v>1639</v>
      </c>
      <c r="F78" s="1" t="s">
        <v>1386</v>
      </c>
      <c r="G78" s="1" t="s">
        <v>1640</v>
      </c>
      <c r="H78" s="1" t="s">
        <v>1641</v>
      </c>
      <c r="I78" s="1">
        <v>16.0</v>
      </c>
      <c r="J78" s="1">
        <v>6.0</v>
      </c>
      <c r="K78" s="2" t="s">
        <v>1642</v>
      </c>
      <c r="L78" s="2" t="s">
        <v>60</v>
      </c>
      <c r="M78" s="1" t="s">
        <v>1643</v>
      </c>
      <c r="N78" s="1" t="s">
        <v>62</v>
      </c>
      <c r="O78" s="1" t="s">
        <v>112</v>
      </c>
      <c r="P78" s="1" t="s">
        <v>1644</v>
      </c>
      <c r="Q78" s="1">
        <v>9.833333</v>
      </c>
      <c r="R78" s="1">
        <v>-84.0</v>
      </c>
      <c r="S78" s="1" t="s">
        <v>148</v>
      </c>
      <c r="T78" s="2" t="s">
        <v>66</v>
      </c>
      <c r="U78" s="1" t="s">
        <v>823</v>
      </c>
      <c r="V78" s="3" t="s">
        <v>788</v>
      </c>
      <c r="W78" s="2" t="s">
        <v>72</v>
      </c>
      <c r="X78" s="2" t="s">
        <v>70</v>
      </c>
      <c r="Y78" s="5" t="s">
        <v>76</v>
      </c>
      <c r="Z78" s="3" t="s">
        <v>76</v>
      </c>
      <c r="AB78" s="1">
        <v>2.0</v>
      </c>
      <c r="AI78" s="1" t="s">
        <v>1125</v>
      </c>
      <c r="AJ78" s="1">
        <v>-10180.0</v>
      </c>
      <c r="AK78" s="1">
        <v>1950.0</v>
      </c>
      <c r="AL78" s="2" t="s">
        <v>100</v>
      </c>
      <c r="AM78" s="2" t="s">
        <v>72</v>
      </c>
      <c r="AN78" s="2" t="s">
        <v>72</v>
      </c>
      <c r="AO78" s="2" t="s">
        <v>72</v>
      </c>
      <c r="AQ78" s="2" t="s">
        <v>75</v>
      </c>
      <c r="AR78" s="2" t="s">
        <v>76</v>
      </c>
      <c r="AS78" s="1">
        <v>2289.0</v>
      </c>
      <c r="AT78" s="1">
        <v>2289.0</v>
      </c>
      <c r="AU78" s="1">
        <v>927.0</v>
      </c>
      <c r="AV78" s="1">
        <v>22.0</v>
      </c>
      <c r="AW78" s="1">
        <v>134.0</v>
      </c>
      <c r="AX78" s="1">
        <v>6580.0</v>
      </c>
      <c r="AY78" s="1">
        <v>1577.0</v>
      </c>
      <c r="AZ78" s="1" t="s">
        <v>627</v>
      </c>
      <c r="BA78" s="1" t="s">
        <v>121</v>
      </c>
    </row>
    <row r="79">
      <c r="A79" s="1" t="s">
        <v>1637</v>
      </c>
      <c r="B79" s="1" t="s">
        <v>53</v>
      </c>
      <c r="C79" s="1">
        <v>1997.0</v>
      </c>
      <c r="D79" s="1" t="s">
        <v>1638</v>
      </c>
      <c r="E79" s="1" t="s">
        <v>1639</v>
      </c>
      <c r="F79" s="1" t="s">
        <v>1386</v>
      </c>
      <c r="G79" s="1" t="s">
        <v>1640</v>
      </c>
      <c r="H79" s="1" t="s">
        <v>1641</v>
      </c>
      <c r="I79" s="1">
        <v>16.0</v>
      </c>
      <c r="J79" s="1">
        <v>6.0</v>
      </c>
      <c r="K79" s="2" t="s">
        <v>1642</v>
      </c>
      <c r="L79" s="2" t="s">
        <v>60</v>
      </c>
      <c r="M79" s="1" t="s">
        <v>1645</v>
      </c>
      <c r="N79" s="1" t="s">
        <v>62</v>
      </c>
      <c r="O79" s="1" t="s">
        <v>112</v>
      </c>
      <c r="P79" s="1" t="s">
        <v>1646</v>
      </c>
      <c r="Q79" s="1">
        <v>9.683333</v>
      </c>
      <c r="R79" s="1">
        <v>-83.95</v>
      </c>
      <c r="S79" s="1" t="s">
        <v>148</v>
      </c>
      <c r="T79" s="2" t="s">
        <v>66</v>
      </c>
      <c r="U79" s="1" t="s">
        <v>823</v>
      </c>
      <c r="V79" s="3" t="s">
        <v>788</v>
      </c>
      <c r="W79" s="2" t="s">
        <v>72</v>
      </c>
      <c r="X79" s="2" t="s">
        <v>70</v>
      </c>
      <c r="Y79" s="5" t="s">
        <v>76</v>
      </c>
      <c r="Z79" s="3" t="s">
        <v>76</v>
      </c>
      <c r="AB79" s="1">
        <v>2.0</v>
      </c>
      <c r="AI79" s="1" t="s">
        <v>1125</v>
      </c>
      <c r="AJ79" s="1">
        <v>650.0</v>
      </c>
      <c r="AK79" s="1">
        <v>1950.0</v>
      </c>
      <c r="AL79" s="3" t="s">
        <v>73</v>
      </c>
      <c r="AM79" s="2" t="s">
        <v>72</v>
      </c>
      <c r="AN79" s="2" t="s">
        <v>72</v>
      </c>
      <c r="AO79" s="2" t="s">
        <v>72</v>
      </c>
      <c r="AQ79" s="2" t="s">
        <v>75</v>
      </c>
      <c r="AR79" s="2" t="s">
        <v>76</v>
      </c>
      <c r="AS79" s="1">
        <v>2384.0</v>
      </c>
      <c r="AT79" s="1">
        <v>2384.0</v>
      </c>
      <c r="AU79" s="1">
        <v>1211.0</v>
      </c>
      <c r="AV79" s="1">
        <v>13.0</v>
      </c>
      <c r="AW79" s="1">
        <v>51.0</v>
      </c>
      <c r="AX79" s="1">
        <v>8299.0</v>
      </c>
      <c r="AY79" s="1">
        <v>2279.0</v>
      </c>
      <c r="AZ79" s="1" t="s">
        <v>627</v>
      </c>
      <c r="BA79" s="1" t="s">
        <v>121</v>
      </c>
    </row>
    <row r="80">
      <c r="A80" s="1" t="s">
        <v>1637</v>
      </c>
      <c r="B80" s="1" t="s">
        <v>53</v>
      </c>
      <c r="C80" s="1">
        <v>1997.0</v>
      </c>
      <c r="D80" s="1" t="s">
        <v>1638</v>
      </c>
      <c r="E80" s="1" t="s">
        <v>1639</v>
      </c>
      <c r="F80" s="1" t="s">
        <v>1386</v>
      </c>
      <c r="G80" s="1" t="s">
        <v>1640</v>
      </c>
      <c r="H80" s="1" t="s">
        <v>1641</v>
      </c>
      <c r="I80" s="1">
        <v>16.0</v>
      </c>
      <c r="J80" s="1">
        <v>6.0</v>
      </c>
      <c r="K80" s="2" t="s">
        <v>1642</v>
      </c>
      <c r="L80" s="2" t="s">
        <v>60</v>
      </c>
      <c r="M80" s="1" t="s">
        <v>1647</v>
      </c>
      <c r="N80" s="1" t="s">
        <v>62</v>
      </c>
      <c r="O80" s="1" t="s">
        <v>112</v>
      </c>
      <c r="P80" s="1" t="s">
        <v>1072</v>
      </c>
      <c r="Q80" s="1">
        <v>9.683333</v>
      </c>
      <c r="R80" s="1">
        <v>-83.95</v>
      </c>
      <c r="S80" s="1" t="s">
        <v>148</v>
      </c>
      <c r="T80" s="2" t="s">
        <v>66</v>
      </c>
      <c r="U80" s="1" t="s">
        <v>823</v>
      </c>
      <c r="V80" s="3" t="s">
        <v>788</v>
      </c>
      <c r="W80" s="2" t="s">
        <v>72</v>
      </c>
      <c r="X80" s="2" t="s">
        <v>70</v>
      </c>
      <c r="Y80" s="5" t="s">
        <v>76</v>
      </c>
      <c r="Z80" s="3" t="s">
        <v>76</v>
      </c>
      <c r="AB80" s="1">
        <v>4.0</v>
      </c>
      <c r="AI80" s="1" t="s">
        <v>1125</v>
      </c>
      <c r="AJ80" s="1">
        <v>-9120.0</v>
      </c>
      <c r="AK80" s="1">
        <v>1950.0</v>
      </c>
      <c r="AL80" s="2" t="s">
        <v>100</v>
      </c>
      <c r="AM80" s="2" t="s">
        <v>72</v>
      </c>
      <c r="AN80" s="2" t="s">
        <v>72</v>
      </c>
      <c r="AO80" s="2" t="s">
        <v>72</v>
      </c>
      <c r="AQ80" s="2" t="s">
        <v>75</v>
      </c>
      <c r="AR80" s="2" t="s">
        <v>76</v>
      </c>
      <c r="AS80" s="1">
        <v>2384.0</v>
      </c>
      <c r="AT80" s="1">
        <v>2384.0</v>
      </c>
      <c r="AU80" s="1">
        <v>1211.0</v>
      </c>
      <c r="AV80" s="1">
        <v>13.0</v>
      </c>
      <c r="AW80" s="1">
        <v>51.0</v>
      </c>
      <c r="AX80" s="1">
        <v>8299.0</v>
      </c>
      <c r="AY80" s="1">
        <v>2279.0</v>
      </c>
      <c r="AZ80" s="1" t="s">
        <v>627</v>
      </c>
      <c r="BA80" s="1" t="s">
        <v>121</v>
      </c>
    </row>
    <row r="81">
      <c r="A81" s="1" t="s">
        <v>1280</v>
      </c>
      <c r="B81" s="1" t="s">
        <v>53</v>
      </c>
      <c r="C81" s="1">
        <v>1997.0</v>
      </c>
      <c r="D81" s="1" t="s">
        <v>1281</v>
      </c>
      <c r="E81" s="1" t="s">
        <v>1282</v>
      </c>
      <c r="F81" s="1" t="s">
        <v>793</v>
      </c>
      <c r="G81" s="1" t="s">
        <v>1283</v>
      </c>
      <c r="H81" s="1" t="s">
        <v>1284</v>
      </c>
      <c r="I81" s="1">
        <v>128.0</v>
      </c>
      <c r="J81" s="1">
        <v>43922.0</v>
      </c>
      <c r="K81" s="2" t="s">
        <v>1285</v>
      </c>
      <c r="L81" s="2" t="s">
        <v>76</v>
      </c>
      <c r="M81" s="1" t="s">
        <v>1280</v>
      </c>
      <c r="N81" s="1" t="s">
        <v>62</v>
      </c>
      <c r="O81" s="1" t="s">
        <v>146</v>
      </c>
      <c r="P81" s="1" t="s">
        <v>1286</v>
      </c>
      <c r="Q81" s="1">
        <v>9.333333</v>
      </c>
      <c r="R81" s="1">
        <v>-82.333333</v>
      </c>
      <c r="S81" s="1" t="s">
        <v>65</v>
      </c>
      <c r="T81" s="2" t="s">
        <v>66</v>
      </c>
      <c r="U81" s="1" t="s">
        <v>1287</v>
      </c>
      <c r="V81" s="3" t="s">
        <v>138</v>
      </c>
      <c r="W81" s="1" t="s">
        <v>1288</v>
      </c>
      <c r="X81" s="1" t="s">
        <v>70</v>
      </c>
      <c r="Y81" s="5" t="s">
        <v>76</v>
      </c>
      <c r="Z81" s="3" t="s">
        <v>76</v>
      </c>
      <c r="AB81" s="1">
        <v>4.0</v>
      </c>
      <c r="AI81" s="1" t="s">
        <v>706</v>
      </c>
      <c r="AJ81" s="1">
        <v>-2060.0</v>
      </c>
      <c r="AK81" s="1">
        <v>1950.0</v>
      </c>
      <c r="AL81" s="2" t="s">
        <v>100</v>
      </c>
      <c r="AM81" s="2" t="s">
        <v>72</v>
      </c>
      <c r="AN81" s="2" t="s">
        <v>72</v>
      </c>
      <c r="AO81" s="2" t="s">
        <v>72</v>
      </c>
      <c r="AQ81" s="2" t="s">
        <v>75</v>
      </c>
      <c r="AR81" s="2" t="s">
        <v>76</v>
      </c>
      <c r="AS81" s="1">
        <v>3067.0</v>
      </c>
      <c r="AT81" s="1">
        <v>3067.0</v>
      </c>
      <c r="AU81" s="1">
        <v>960.0</v>
      </c>
      <c r="AV81" s="1">
        <v>97.0</v>
      </c>
      <c r="AW81" s="1">
        <v>423.0</v>
      </c>
      <c r="AX81" s="1">
        <v>3112.0</v>
      </c>
      <c r="AY81" s="1">
        <v>1.0</v>
      </c>
      <c r="AZ81" s="1" t="s">
        <v>658</v>
      </c>
      <c r="BA81" s="1" t="s">
        <v>659</v>
      </c>
    </row>
    <row r="82">
      <c r="A82" s="1" t="s">
        <v>850</v>
      </c>
      <c r="B82" s="1" t="s">
        <v>53</v>
      </c>
      <c r="C82" s="1">
        <v>1998.0</v>
      </c>
      <c r="D82" s="1" t="s">
        <v>851</v>
      </c>
      <c r="E82" s="1" t="s">
        <v>852</v>
      </c>
      <c r="F82" s="1" t="s">
        <v>732</v>
      </c>
      <c r="G82" s="1" t="s">
        <v>853</v>
      </c>
      <c r="H82" s="1" t="s">
        <v>854</v>
      </c>
      <c r="I82" s="1">
        <v>19.0</v>
      </c>
      <c r="J82" s="1">
        <v>2.0</v>
      </c>
      <c r="K82" s="2" t="s">
        <v>855</v>
      </c>
      <c r="L82" s="2" t="s">
        <v>60</v>
      </c>
      <c r="M82" s="1" t="s">
        <v>856</v>
      </c>
      <c r="N82" s="1" t="s">
        <v>62</v>
      </c>
      <c r="O82" s="1" t="s">
        <v>167</v>
      </c>
      <c r="P82" s="1" t="s">
        <v>512</v>
      </c>
      <c r="Q82" s="1">
        <v>16.916667</v>
      </c>
      <c r="R82" s="1">
        <v>-89.833333</v>
      </c>
      <c r="S82" s="1" t="s">
        <v>148</v>
      </c>
      <c r="T82" s="2" t="s">
        <v>189</v>
      </c>
      <c r="U82" s="1" t="s">
        <v>150</v>
      </c>
      <c r="V82" s="3" t="s">
        <v>97</v>
      </c>
      <c r="W82" s="1" t="s">
        <v>857</v>
      </c>
      <c r="X82" s="1" t="s">
        <v>70</v>
      </c>
      <c r="Y82" s="6" t="s">
        <v>76</v>
      </c>
      <c r="Z82" s="3" t="s">
        <v>76</v>
      </c>
      <c r="AB82" s="1">
        <v>11.0</v>
      </c>
      <c r="AD82" s="1">
        <v>1.0</v>
      </c>
      <c r="AI82" s="1" t="s">
        <v>858</v>
      </c>
      <c r="AJ82" s="1">
        <v>-7170.0</v>
      </c>
      <c r="AK82" s="1">
        <v>1950.0</v>
      </c>
      <c r="AL82" s="2" t="s">
        <v>153</v>
      </c>
      <c r="AM82" s="2" t="s">
        <v>60</v>
      </c>
      <c r="AN82" s="1" t="s">
        <v>859</v>
      </c>
      <c r="AO82" s="2" t="s">
        <v>60</v>
      </c>
      <c r="AQ82" s="2" t="s">
        <v>576</v>
      </c>
      <c r="AR82" s="2" t="s">
        <v>76</v>
      </c>
      <c r="AS82" s="1">
        <v>1738.0</v>
      </c>
      <c r="AT82" s="1">
        <v>1738.0</v>
      </c>
      <c r="AU82" s="1">
        <v>690.0</v>
      </c>
      <c r="AV82" s="1">
        <v>36.0</v>
      </c>
      <c r="AW82" s="1">
        <v>144.0</v>
      </c>
      <c r="AX82" s="1">
        <v>5677.0</v>
      </c>
      <c r="AY82" s="1">
        <v>131.0</v>
      </c>
      <c r="AZ82" s="1" t="s">
        <v>133</v>
      </c>
      <c r="BA82" s="1" t="s">
        <v>121</v>
      </c>
    </row>
    <row r="83">
      <c r="A83" s="1" t="s">
        <v>850</v>
      </c>
      <c r="B83" s="1" t="s">
        <v>53</v>
      </c>
      <c r="C83" s="1">
        <v>1998.0</v>
      </c>
      <c r="D83" s="1" t="s">
        <v>851</v>
      </c>
      <c r="E83" s="1" t="s">
        <v>852</v>
      </c>
      <c r="F83" s="1" t="s">
        <v>732</v>
      </c>
      <c r="G83" s="1" t="s">
        <v>853</v>
      </c>
      <c r="H83" s="1" t="s">
        <v>854</v>
      </c>
      <c r="I83" s="1">
        <v>19.0</v>
      </c>
      <c r="J83" s="1">
        <v>2.0</v>
      </c>
      <c r="K83" s="2" t="s">
        <v>855</v>
      </c>
      <c r="L83" s="2" t="s">
        <v>60</v>
      </c>
      <c r="M83" s="1" t="s">
        <v>860</v>
      </c>
      <c r="N83" s="1" t="s">
        <v>62</v>
      </c>
      <c r="O83" s="1" t="s">
        <v>167</v>
      </c>
      <c r="P83" s="1" t="s">
        <v>512</v>
      </c>
      <c r="Q83" s="1">
        <v>16.916667</v>
      </c>
      <c r="R83" s="1">
        <v>-89.833333</v>
      </c>
      <c r="S83" s="1" t="s">
        <v>148</v>
      </c>
      <c r="T83" s="2" t="s">
        <v>382</v>
      </c>
      <c r="U83" s="1" t="s">
        <v>173</v>
      </c>
      <c r="V83" s="3" t="s">
        <v>68</v>
      </c>
      <c r="W83" s="1" t="s">
        <v>861</v>
      </c>
      <c r="X83" s="1" t="s">
        <v>544</v>
      </c>
      <c r="Y83" s="6" t="s">
        <v>76</v>
      </c>
      <c r="Z83" s="3" t="s">
        <v>76</v>
      </c>
      <c r="AB83" s="1">
        <v>11.0</v>
      </c>
      <c r="AD83" s="1">
        <v>1.0</v>
      </c>
      <c r="AI83" s="1" t="s">
        <v>858</v>
      </c>
      <c r="AJ83" s="1">
        <v>-7170.0</v>
      </c>
      <c r="AK83" s="1">
        <v>1950.0</v>
      </c>
      <c r="AL83" s="2" t="s">
        <v>153</v>
      </c>
      <c r="AM83" s="2" t="s">
        <v>60</v>
      </c>
      <c r="AN83" s="1" t="s">
        <v>859</v>
      </c>
      <c r="AO83" s="2" t="s">
        <v>60</v>
      </c>
      <c r="AQ83" s="2" t="s">
        <v>576</v>
      </c>
      <c r="AR83" s="2" t="s">
        <v>76</v>
      </c>
      <c r="AS83" s="1">
        <v>1738.0</v>
      </c>
      <c r="AT83" s="1">
        <v>1738.0</v>
      </c>
      <c r="AU83" s="1">
        <v>690.0</v>
      </c>
      <c r="AV83" s="1">
        <v>36.0</v>
      </c>
      <c r="AW83" s="1">
        <v>144.0</v>
      </c>
      <c r="AX83" s="1">
        <v>5677.0</v>
      </c>
      <c r="AY83" s="1">
        <v>131.0</v>
      </c>
      <c r="AZ83" s="1" t="s">
        <v>133</v>
      </c>
      <c r="BA83" s="1" t="s">
        <v>121</v>
      </c>
    </row>
    <row r="84">
      <c r="A84" s="1" t="s">
        <v>850</v>
      </c>
      <c r="B84" s="1" t="s">
        <v>53</v>
      </c>
      <c r="C84" s="1">
        <v>1998.0</v>
      </c>
      <c r="D84" s="1" t="s">
        <v>851</v>
      </c>
      <c r="E84" s="1" t="s">
        <v>852</v>
      </c>
      <c r="F84" s="1" t="s">
        <v>732</v>
      </c>
      <c r="G84" s="1" t="s">
        <v>853</v>
      </c>
      <c r="H84" s="1" t="s">
        <v>854</v>
      </c>
      <c r="I84" s="1">
        <v>19.0</v>
      </c>
      <c r="J84" s="1">
        <v>2.0</v>
      </c>
      <c r="K84" s="2" t="s">
        <v>855</v>
      </c>
      <c r="L84" s="2" t="s">
        <v>60</v>
      </c>
      <c r="M84" s="1" t="s">
        <v>862</v>
      </c>
      <c r="N84" s="1" t="s">
        <v>62</v>
      </c>
      <c r="O84" s="1" t="s">
        <v>167</v>
      </c>
      <c r="P84" s="1" t="s">
        <v>512</v>
      </c>
      <c r="Q84" s="1">
        <v>16.916667</v>
      </c>
      <c r="R84" s="1">
        <v>-89.833333</v>
      </c>
      <c r="S84" s="1" t="s">
        <v>148</v>
      </c>
      <c r="T84" s="2" t="s">
        <v>169</v>
      </c>
      <c r="U84" s="1" t="s">
        <v>173</v>
      </c>
      <c r="V84" s="3" t="s">
        <v>68</v>
      </c>
      <c r="W84" s="1" t="s">
        <v>863</v>
      </c>
      <c r="X84" s="2" t="s">
        <v>575</v>
      </c>
      <c r="Y84" s="6" t="s">
        <v>76</v>
      </c>
      <c r="Z84" s="3" t="s">
        <v>76</v>
      </c>
      <c r="AB84" s="1">
        <v>11.0</v>
      </c>
      <c r="AD84" s="1">
        <v>1.0</v>
      </c>
      <c r="AI84" s="1" t="s">
        <v>858</v>
      </c>
      <c r="AJ84" s="1">
        <v>-7170.0</v>
      </c>
      <c r="AK84" s="1">
        <v>1950.0</v>
      </c>
      <c r="AL84" s="2" t="s">
        <v>153</v>
      </c>
      <c r="AM84" s="2" t="s">
        <v>60</v>
      </c>
      <c r="AN84" s="1" t="s">
        <v>859</v>
      </c>
      <c r="AO84" s="2" t="s">
        <v>60</v>
      </c>
      <c r="AQ84" s="2" t="s">
        <v>576</v>
      </c>
      <c r="AR84" s="2" t="s">
        <v>76</v>
      </c>
      <c r="AS84" s="1">
        <v>1738.0</v>
      </c>
      <c r="AT84" s="1">
        <v>1738.0</v>
      </c>
      <c r="AU84" s="1">
        <v>690.0</v>
      </c>
      <c r="AV84" s="1">
        <v>36.0</v>
      </c>
      <c r="AW84" s="1">
        <v>144.0</v>
      </c>
      <c r="AX84" s="1">
        <v>5677.0</v>
      </c>
      <c r="AY84" s="1">
        <v>131.0</v>
      </c>
      <c r="AZ84" s="1" t="s">
        <v>133</v>
      </c>
      <c r="BA84" s="1" t="s">
        <v>121</v>
      </c>
    </row>
    <row r="85">
      <c r="A85" s="1" t="s">
        <v>850</v>
      </c>
      <c r="B85" s="1" t="s">
        <v>53</v>
      </c>
      <c r="C85" s="1">
        <v>1998.0</v>
      </c>
      <c r="D85" s="1" t="s">
        <v>851</v>
      </c>
      <c r="E85" s="1" t="s">
        <v>852</v>
      </c>
      <c r="F85" s="1" t="s">
        <v>732</v>
      </c>
      <c r="G85" s="1" t="s">
        <v>853</v>
      </c>
      <c r="H85" s="1" t="s">
        <v>854</v>
      </c>
      <c r="I85" s="1">
        <v>19.0</v>
      </c>
      <c r="J85" s="1">
        <v>2.0</v>
      </c>
      <c r="K85" s="2" t="s">
        <v>855</v>
      </c>
      <c r="L85" s="2" t="s">
        <v>60</v>
      </c>
      <c r="M85" s="1" t="s">
        <v>864</v>
      </c>
      <c r="N85" s="1" t="s">
        <v>62</v>
      </c>
      <c r="O85" s="1" t="s">
        <v>167</v>
      </c>
      <c r="P85" s="1" t="s">
        <v>512</v>
      </c>
      <c r="Q85" s="1">
        <v>16.916667</v>
      </c>
      <c r="R85" s="1">
        <v>-89.833333</v>
      </c>
      <c r="S85" s="1" t="s">
        <v>148</v>
      </c>
      <c r="T85" s="2" t="s">
        <v>66</v>
      </c>
      <c r="U85" s="1" t="s">
        <v>823</v>
      </c>
      <c r="V85" s="3" t="s">
        <v>138</v>
      </c>
      <c r="W85" s="1" t="s">
        <v>865</v>
      </c>
      <c r="X85" s="1" t="s">
        <v>70</v>
      </c>
      <c r="Y85" s="5" t="s">
        <v>76</v>
      </c>
      <c r="Z85" s="3" t="s">
        <v>76</v>
      </c>
      <c r="AB85" s="1">
        <v>11.0</v>
      </c>
      <c r="AD85" s="1">
        <v>1.0</v>
      </c>
      <c r="AI85" s="1" t="s">
        <v>858</v>
      </c>
      <c r="AJ85" s="1">
        <v>-7170.0</v>
      </c>
      <c r="AK85" s="1">
        <v>1950.0</v>
      </c>
      <c r="AL85" s="2" t="s">
        <v>153</v>
      </c>
      <c r="AM85" s="2" t="s">
        <v>60</v>
      </c>
      <c r="AN85" s="1" t="s">
        <v>859</v>
      </c>
      <c r="AO85" s="2" t="s">
        <v>60</v>
      </c>
      <c r="AQ85" s="2" t="s">
        <v>576</v>
      </c>
      <c r="AR85" s="2" t="s">
        <v>76</v>
      </c>
      <c r="AS85" s="1">
        <v>1738.0</v>
      </c>
      <c r="AT85" s="1">
        <v>1738.0</v>
      </c>
      <c r="AU85" s="1">
        <v>690.0</v>
      </c>
      <c r="AV85" s="1">
        <v>36.0</v>
      </c>
      <c r="AW85" s="1">
        <v>144.0</v>
      </c>
      <c r="AX85" s="1">
        <v>5677.0</v>
      </c>
      <c r="AY85" s="1">
        <v>131.0</v>
      </c>
      <c r="AZ85" s="1" t="s">
        <v>133</v>
      </c>
      <c r="BA85" s="1" t="s">
        <v>121</v>
      </c>
    </row>
    <row r="86">
      <c r="A86" s="1" t="s">
        <v>850</v>
      </c>
      <c r="B86" s="1" t="s">
        <v>53</v>
      </c>
      <c r="C86" s="1">
        <v>1998.0</v>
      </c>
      <c r="D86" s="1" t="s">
        <v>851</v>
      </c>
      <c r="E86" s="1" t="s">
        <v>852</v>
      </c>
      <c r="F86" s="1" t="s">
        <v>732</v>
      </c>
      <c r="G86" s="1" t="s">
        <v>853</v>
      </c>
      <c r="H86" s="1" t="s">
        <v>854</v>
      </c>
      <c r="I86" s="1">
        <v>19.0</v>
      </c>
      <c r="J86" s="1">
        <v>2.0</v>
      </c>
      <c r="K86" s="2" t="s">
        <v>855</v>
      </c>
      <c r="L86" s="2" t="s">
        <v>60</v>
      </c>
      <c r="M86" s="1" t="s">
        <v>866</v>
      </c>
      <c r="N86" s="1" t="s">
        <v>62</v>
      </c>
      <c r="O86" s="1" t="s">
        <v>167</v>
      </c>
      <c r="P86" s="1" t="s">
        <v>512</v>
      </c>
      <c r="Q86" s="1">
        <v>16.916667</v>
      </c>
      <c r="R86" s="1">
        <v>-89.833333</v>
      </c>
      <c r="S86" s="1" t="s">
        <v>148</v>
      </c>
      <c r="T86" s="2" t="s">
        <v>95</v>
      </c>
      <c r="U86" s="2" t="s">
        <v>96</v>
      </c>
      <c r="V86" s="3" t="s">
        <v>97</v>
      </c>
      <c r="W86" s="1" t="s">
        <v>867</v>
      </c>
      <c r="X86" s="2" t="s">
        <v>99</v>
      </c>
      <c r="Y86" s="6" t="s">
        <v>76</v>
      </c>
      <c r="Z86" s="3" t="s">
        <v>76</v>
      </c>
      <c r="AB86" s="1">
        <v>11.0</v>
      </c>
      <c r="AD86" s="1">
        <v>1.0</v>
      </c>
      <c r="AI86" s="1" t="s">
        <v>858</v>
      </c>
      <c r="AJ86" s="1">
        <v>-7170.0</v>
      </c>
      <c r="AK86" s="1">
        <v>1950.0</v>
      </c>
      <c r="AL86" s="2" t="s">
        <v>153</v>
      </c>
      <c r="AM86" s="2" t="s">
        <v>60</v>
      </c>
      <c r="AN86" s="1" t="s">
        <v>859</v>
      </c>
      <c r="AO86" s="2" t="s">
        <v>60</v>
      </c>
      <c r="AQ86" s="2" t="s">
        <v>576</v>
      </c>
      <c r="AR86" s="2" t="s">
        <v>76</v>
      </c>
      <c r="AS86" s="1">
        <v>1738.0</v>
      </c>
      <c r="AT86" s="1">
        <v>1738.0</v>
      </c>
      <c r="AU86" s="1">
        <v>690.0</v>
      </c>
      <c r="AV86" s="1">
        <v>36.0</v>
      </c>
      <c r="AW86" s="1">
        <v>144.0</v>
      </c>
      <c r="AX86" s="1">
        <v>5677.0</v>
      </c>
      <c r="AY86" s="1">
        <v>131.0</v>
      </c>
      <c r="AZ86" s="1" t="s">
        <v>133</v>
      </c>
      <c r="BA86" s="1" t="s">
        <v>121</v>
      </c>
    </row>
    <row r="87">
      <c r="A87" s="1" t="s">
        <v>850</v>
      </c>
      <c r="B87" s="1" t="s">
        <v>53</v>
      </c>
      <c r="C87" s="1">
        <v>1998.0</v>
      </c>
      <c r="D87" s="1" t="s">
        <v>851</v>
      </c>
      <c r="E87" s="1" t="s">
        <v>852</v>
      </c>
      <c r="F87" s="1" t="s">
        <v>732</v>
      </c>
      <c r="G87" s="1" t="s">
        <v>853</v>
      </c>
      <c r="H87" s="1" t="s">
        <v>854</v>
      </c>
      <c r="I87" s="1">
        <v>19.0</v>
      </c>
      <c r="J87" s="1">
        <v>2.0</v>
      </c>
      <c r="K87" s="2" t="s">
        <v>855</v>
      </c>
      <c r="L87" s="2" t="s">
        <v>60</v>
      </c>
      <c r="M87" s="1" t="s">
        <v>868</v>
      </c>
      <c r="N87" s="1" t="s">
        <v>62</v>
      </c>
      <c r="O87" s="1" t="s">
        <v>167</v>
      </c>
      <c r="P87" s="1" t="s">
        <v>512</v>
      </c>
      <c r="Q87" s="1">
        <v>16.916667</v>
      </c>
      <c r="R87" s="1">
        <v>-89.833333</v>
      </c>
      <c r="S87" s="1" t="s">
        <v>148</v>
      </c>
      <c r="T87" s="2" t="s">
        <v>95</v>
      </c>
      <c r="U87" s="2" t="s">
        <v>96</v>
      </c>
      <c r="V87" s="3" t="s">
        <v>97</v>
      </c>
      <c r="W87" s="1" t="s">
        <v>867</v>
      </c>
      <c r="X87" s="2" t="s">
        <v>99</v>
      </c>
      <c r="Y87" s="6" t="s">
        <v>76</v>
      </c>
      <c r="Z87" s="3" t="s">
        <v>76</v>
      </c>
      <c r="AB87" s="1">
        <v>11.0</v>
      </c>
      <c r="AD87" s="1">
        <v>1.0</v>
      </c>
      <c r="AI87" s="1" t="s">
        <v>858</v>
      </c>
      <c r="AJ87" s="1">
        <v>-7170.0</v>
      </c>
      <c r="AK87" s="1">
        <v>1950.0</v>
      </c>
      <c r="AL87" s="2" t="s">
        <v>153</v>
      </c>
      <c r="AM87" s="2" t="s">
        <v>60</v>
      </c>
      <c r="AN87" s="1" t="s">
        <v>859</v>
      </c>
      <c r="AO87" s="2" t="s">
        <v>60</v>
      </c>
      <c r="AQ87" s="2" t="s">
        <v>576</v>
      </c>
      <c r="AR87" s="2" t="s">
        <v>76</v>
      </c>
      <c r="AS87" s="1">
        <v>1738.0</v>
      </c>
      <c r="AT87" s="1">
        <v>1738.0</v>
      </c>
      <c r="AU87" s="1">
        <v>690.0</v>
      </c>
      <c r="AV87" s="1">
        <v>36.0</v>
      </c>
      <c r="AW87" s="1">
        <v>144.0</v>
      </c>
      <c r="AX87" s="1">
        <v>5677.0</v>
      </c>
      <c r="AY87" s="1">
        <v>131.0</v>
      </c>
      <c r="AZ87" s="1" t="s">
        <v>133</v>
      </c>
      <c r="BA87" s="1" t="s">
        <v>121</v>
      </c>
    </row>
    <row r="88">
      <c r="A88" s="1" t="s">
        <v>850</v>
      </c>
      <c r="B88" s="1" t="s">
        <v>53</v>
      </c>
      <c r="C88" s="1">
        <v>1998.0</v>
      </c>
      <c r="D88" s="1" t="s">
        <v>851</v>
      </c>
      <c r="E88" s="1" t="s">
        <v>852</v>
      </c>
      <c r="F88" s="1" t="s">
        <v>732</v>
      </c>
      <c r="G88" s="1" t="s">
        <v>853</v>
      </c>
      <c r="H88" s="1" t="s">
        <v>854</v>
      </c>
      <c r="I88" s="1">
        <v>19.0</v>
      </c>
      <c r="J88" s="1">
        <v>2.0</v>
      </c>
      <c r="K88" s="2" t="s">
        <v>855</v>
      </c>
      <c r="L88" s="2" t="s">
        <v>60</v>
      </c>
      <c r="M88" s="1" t="s">
        <v>869</v>
      </c>
      <c r="N88" s="1" t="s">
        <v>62</v>
      </c>
      <c r="O88" s="1" t="s">
        <v>167</v>
      </c>
      <c r="P88" s="1" t="s">
        <v>512</v>
      </c>
      <c r="Q88" s="1">
        <v>16.916667</v>
      </c>
      <c r="R88" s="1">
        <v>-89.833333</v>
      </c>
      <c r="S88" s="1" t="s">
        <v>148</v>
      </c>
      <c r="T88" s="2" t="s">
        <v>95</v>
      </c>
      <c r="U88" s="2" t="s">
        <v>96</v>
      </c>
      <c r="V88" s="3" t="s">
        <v>97</v>
      </c>
      <c r="W88" s="1" t="s">
        <v>867</v>
      </c>
      <c r="X88" s="2" t="s">
        <v>99</v>
      </c>
      <c r="Y88" s="6" t="s">
        <v>76</v>
      </c>
      <c r="Z88" s="3" t="s">
        <v>76</v>
      </c>
      <c r="AB88" s="1">
        <v>11.0</v>
      </c>
      <c r="AD88" s="1">
        <v>1.0</v>
      </c>
      <c r="AI88" s="1" t="s">
        <v>858</v>
      </c>
      <c r="AJ88" s="1">
        <v>-7170.0</v>
      </c>
      <c r="AK88" s="1">
        <v>1950.0</v>
      </c>
      <c r="AL88" s="2" t="s">
        <v>153</v>
      </c>
      <c r="AM88" s="2" t="s">
        <v>60</v>
      </c>
      <c r="AN88" s="1" t="s">
        <v>859</v>
      </c>
      <c r="AO88" s="2" t="s">
        <v>60</v>
      </c>
      <c r="AQ88" s="2" t="s">
        <v>576</v>
      </c>
      <c r="AR88" s="2" t="s">
        <v>76</v>
      </c>
      <c r="AS88" s="1">
        <v>1738.0</v>
      </c>
      <c r="AT88" s="1">
        <v>1738.0</v>
      </c>
      <c r="AU88" s="1">
        <v>690.0</v>
      </c>
      <c r="AV88" s="1">
        <v>36.0</v>
      </c>
      <c r="AW88" s="1">
        <v>144.0</v>
      </c>
      <c r="AX88" s="1">
        <v>5677.0</v>
      </c>
      <c r="AY88" s="1">
        <v>131.0</v>
      </c>
      <c r="AZ88" s="1" t="s">
        <v>133</v>
      </c>
      <c r="BA88" s="1" t="s">
        <v>121</v>
      </c>
    </row>
    <row r="89">
      <c r="A89" s="1" t="s">
        <v>850</v>
      </c>
      <c r="B89" s="1" t="s">
        <v>53</v>
      </c>
      <c r="C89" s="1">
        <v>1998.0</v>
      </c>
      <c r="D89" s="1" t="s">
        <v>851</v>
      </c>
      <c r="E89" s="1" t="s">
        <v>852</v>
      </c>
      <c r="F89" s="1" t="s">
        <v>732</v>
      </c>
      <c r="G89" s="1" t="s">
        <v>853</v>
      </c>
      <c r="H89" s="1" t="s">
        <v>854</v>
      </c>
      <c r="I89" s="1">
        <v>19.0</v>
      </c>
      <c r="J89" s="1">
        <v>2.0</v>
      </c>
      <c r="K89" s="2" t="s">
        <v>855</v>
      </c>
      <c r="L89" s="2" t="s">
        <v>60</v>
      </c>
      <c r="M89" s="1" t="s">
        <v>870</v>
      </c>
      <c r="N89" s="1" t="s">
        <v>62</v>
      </c>
      <c r="O89" s="1" t="s">
        <v>167</v>
      </c>
      <c r="P89" s="1" t="s">
        <v>512</v>
      </c>
      <c r="Q89" s="1">
        <v>16.916667</v>
      </c>
      <c r="R89" s="1">
        <v>-89.833333</v>
      </c>
      <c r="S89" s="1" t="s">
        <v>148</v>
      </c>
      <c r="T89" s="2" t="s">
        <v>194</v>
      </c>
      <c r="U89" s="1" t="s">
        <v>173</v>
      </c>
      <c r="V89" s="3" t="s">
        <v>68</v>
      </c>
      <c r="W89" s="1" t="s">
        <v>286</v>
      </c>
      <c r="X89" s="1" t="s">
        <v>70</v>
      </c>
      <c r="Y89" s="6" t="s">
        <v>76</v>
      </c>
      <c r="Z89" s="3" t="s">
        <v>76</v>
      </c>
      <c r="AB89" s="1">
        <v>11.0</v>
      </c>
      <c r="AD89" s="1">
        <v>1.0</v>
      </c>
      <c r="AI89" s="1" t="s">
        <v>858</v>
      </c>
      <c r="AJ89" s="1">
        <v>-7170.0</v>
      </c>
      <c r="AK89" s="1">
        <v>1950.0</v>
      </c>
      <c r="AL89" s="2" t="s">
        <v>153</v>
      </c>
      <c r="AM89" s="2" t="s">
        <v>60</v>
      </c>
      <c r="AN89" s="1" t="s">
        <v>859</v>
      </c>
      <c r="AO89" s="2" t="s">
        <v>60</v>
      </c>
      <c r="AQ89" s="2" t="s">
        <v>576</v>
      </c>
      <c r="AR89" s="2" t="s">
        <v>76</v>
      </c>
      <c r="AS89" s="1">
        <v>1738.0</v>
      </c>
      <c r="AT89" s="1">
        <v>1738.0</v>
      </c>
      <c r="AU89" s="1">
        <v>690.0</v>
      </c>
      <c r="AV89" s="1">
        <v>36.0</v>
      </c>
      <c r="AW89" s="1">
        <v>144.0</v>
      </c>
      <c r="AX89" s="1">
        <v>5677.0</v>
      </c>
      <c r="AY89" s="1">
        <v>131.0</v>
      </c>
      <c r="AZ89" s="1" t="s">
        <v>133</v>
      </c>
      <c r="BA89" s="1" t="s">
        <v>121</v>
      </c>
    </row>
    <row r="90">
      <c r="A90" s="1" t="s">
        <v>1361</v>
      </c>
      <c r="B90" s="1" t="s">
        <v>53</v>
      </c>
      <c r="C90" s="1">
        <v>1998.0</v>
      </c>
      <c r="D90" s="1" t="s">
        <v>1362</v>
      </c>
      <c r="E90" s="1" t="s">
        <v>1363</v>
      </c>
      <c r="F90" s="1" t="s">
        <v>1357</v>
      </c>
      <c r="G90" s="1" t="s">
        <v>1364</v>
      </c>
      <c r="H90" s="1" t="s">
        <v>1365</v>
      </c>
      <c r="I90" s="1">
        <v>22.0</v>
      </c>
      <c r="J90" s="1">
        <v>1.0</v>
      </c>
      <c r="K90" s="2" t="s">
        <v>1366</v>
      </c>
      <c r="L90" s="2" t="s">
        <v>60</v>
      </c>
      <c r="M90" s="1" t="s">
        <v>1367</v>
      </c>
      <c r="N90" s="1" t="s">
        <v>62</v>
      </c>
      <c r="O90" s="1" t="s">
        <v>112</v>
      </c>
      <c r="P90" s="1" t="s">
        <v>1368</v>
      </c>
      <c r="Q90" s="1">
        <v>10.433333</v>
      </c>
      <c r="R90" s="1">
        <v>-84.0</v>
      </c>
      <c r="S90" s="1" t="s">
        <v>398</v>
      </c>
      <c r="T90" s="2" t="s">
        <v>66</v>
      </c>
      <c r="U90" s="1" t="s">
        <v>823</v>
      </c>
      <c r="V90" s="3" t="s">
        <v>138</v>
      </c>
      <c r="W90" s="1" t="s">
        <v>1369</v>
      </c>
      <c r="X90" s="1" t="s">
        <v>70</v>
      </c>
      <c r="Y90" s="5" t="s">
        <v>76</v>
      </c>
      <c r="Z90" s="3" t="s">
        <v>76</v>
      </c>
      <c r="AI90" s="2" t="s">
        <v>72</v>
      </c>
      <c r="AJ90" s="2" t="s">
        <v>72</v>
      </c>
      <c r="AK90" s="2" t="s">
        <v>72</v>
      </c>
      <c r="AL90" s="2" t="s">
        <v>100</v>
      </c>
      <c r="AM90" s="2" t="s">
        <v>76</v>
      </c>
      <c r="AN90" s="2" t="s">
        <v>76</v>
      </c>
      <c r="AO90" s="2" t="s">
        <v>76</v>
      </c>
      <c r="AQ90" s="2" t="s">
        <v>75</v>
      </c>
      <c r="AR90" s="2" t="s">
        <v>76</v>
      </c>
      <c r="AS90" s="1">
        <v>3707.0</v>
      </c>
      <c r="AT90" s="1">
        <v>3707.0</v>
      </c>
      <c r="AU90" s="1">
        <v>1276.0</v>
      </c>
      <c r="AV90" s="1">
        <v>133.0</v>
      </c>
      <c r="AW90" s="1">
        <v>433.0</v>
      </c>
      <c r="AX90" s="1">
        <v>4001.0</v>
      </c>
      <c r="AY90" s="1">
        <v>51.0</v>
      </c>
      <c r="AZ90" s="1" t="s">
        <v>120</v>
      </c>
      <c r="BA90" s="1" t="s">
        <v>121</v>
      </c>
    </row>
    <row r="91">
      <c r="A91" s="1" t="s">
        <v>1361</v>
      </c>
      <c r="B91" s="1" t="s">
        <v>53</v>
      </c>
      <c r="C91" s="1">
        <v>1998.0</v>
      </c>
      <c r="D91" s="1" t="s">
        <v>1362</v>
      </c>
      <c r="E91" s="1" t="s">
        <v>1363</v>
      </c>
      <c r="F91" s="1" t="s">
        <v>1357</v>
      </c>
      <c r="G91" s="1" t="s">
        <v>1364</v>
      </c>
      <c r="H91" s="1" t="s">
        <v>1365</v>
      </c>
      <c r="I91" s="1">
        <v>22.0</v>
      </c>
      <c r="J91" s="1">
        <v>1.0</v>
      </c>
      <c r="K91" s="2" t="s">
        <v>1366</v>
      </c>
      <c r="L91" s="2" t="s">
        <v>60</v>
      </c>
      <c r="M91" s="1" t="s">
        <v>1370</v>
      </c>
      <c r="N91" s="1" t="s">
        <v>62</v>
      </c>
      <c r="O91" s="1" t="s">
        <v>112</v>
      </c>
      <c r="P91" s="1" t="s">
        <v>1371</v>
      </c>
      <c r="Q91" s="1">
        <v>10.433333</v>
      </c>
      <c r="R91" s="1">
        <v>-84.0</v>
      </c>
      <c r="S91" s="1" t="s">
        <v>398</v>
      </c>
      <c r="T91" s="2" t="s">
        <v>66</v>
      </c>
      <c r="U91" s="1" t="s">
        <v>823</v>
      </c>
      <c r="V91" s="3" t="s">
        <v>138</v>
      </c>
      <c r="W91" s="1" t="s">
        <v>1369</v>
      </c>
      <c r="X91" s="1" t="s">
        <v>70</v>
      </c>
      <c r="Y91" s="5" t="s">
        <v>76</v>
      </c>
      <c r="Z91" s="3" t="s">
        <v>76</v>
      </c>
      <c r="AI91" s="2" t="s">
        <v>72</v>
      </c>
      <c r="AJ91" s="2" t="s">
        <v>72</v>
      </c>
      <c r="AK91" s="2" t="s">
        <v>72</v>
      </c>
      <c r="AL91" s="2" t="s">
        <v>100</v>
      </c>
      <c r="AM91" s="2" t="s">
        <v>76</v>
      </c>
      <c r="AN91" s="2" t="s">
        <v>76</v>
      </c>
      <c r="AO91" s="2" t="s">
        <v>76</v>
      </c>
      <c r="AQ91" s="2" t="s">
        <v>75</v>
      </c>
      <c r="AR91" s="2" t="s">
        <v>76</v>
      </c>
      <c r="AS91" s="1">
        <v>3707.0</v>
      </c>
      <c r="AT91" s="1">
        <v>3707.0</v>
      </c>
      <c r="AU91" s="1">
        <v>1276.0</v>
      </c>
      <c r="AV91" s="1">
        <v>133.0</v>
      </c>
      <c r="AW91" s="1">
        <v>433.0</v>
      </c>
      <c r="AX91" s="1">
        <v>4001.0</v>
      </c>
      <c r="AY91" s="1">
        <v>51.0</v>
      </c>
      <c r="AZ91" s="1" t="s">
        <v>120</v>
      </c>
      <c r="BA91" s="1" t="s">
        <v>121</v>
      </c>
    </row>
    <row r="92">
      <c r="A92" s="1" t="s">
        <v>1361</v>
      </c>
      <c r="B92" s="1" t="s">
        <v>53</v>
      </c>
      <c r="C92" s="1">
        <v>1998.0</v>
      </c>
      <c r="D92" s="1" t="s">
        <v>1362</v>
      </c>
      <c r="E92" s="1" t="s">
        <v>1363</v>
      </c>
      <c r="F92" s="1" t="s">
        <v>1357</v>
      </c>
      <c r="G92" s="1" t="s">
        <v>1364</v>
      </c>
      <c r="H92" s="1" t="s">
        <v>1365</v>
      </c>
      <c r="I92" s="1">
        <v>22.0</v>
      </c>
      <c r="J92" s="1">
        <v>1.0</v>
      </c>
      <c r="K92" s="2" t="s">
        <v>1366</v>
      </c>
      <c r="L92" s="2" t="s">
        <v>60</v>
      </c>
      <c r="M92" s="1" t="s">
        <v>1372</v>
      </c>
      <c r="N92" s="1" t="s">
        <v>62</v>
      </c>
      <c r="O92" s="1" t="s">
        <v>112</v>
      </c>
      <c r="P92" s="1" t="s">
        <v>1373</v>
      </c>
      <c r="Q92" s="1">
        <v>10.433333</v>
      </c>
      <c r="R92" s="1">
        <v>-84.0</v>
      </c>
      <c r="S92" s="1" t="s">
        <v>398</v>
      </c>
      <c r="T92" s="2" t="s">
        <v>66</v>
      </c>
      <c r="U92" s="1" t="s">
        <v>823</v>
      </c>
      <c r="V92" s="3" t="s">
        <v>138</v>
      </c>
      <c r="W92" s="1" t="s">
        <v>1369</v>
      </c>
      <c r="X92" s="1" t="s">
        <v>70</v>
      </c>
      <c r="Y92" s="5" t="s">
        <v>76</v>
      </c>
      <c r="Z92" s="3" t="s">
        <v>76</v>
      </c>
      <c r="AI92" s="2" t="s">
        <v>72</v>
      </c>
      <c r="AJ92" s="2" t="s">
        <v>72</v>
      </c>
      <c r="AK92" s="2" t="s">
        <v>72</v>
      </c>
      <c r="AL92" s="2" t="s">
        <v>100</v>
      </c>
      <c r="AM92" s="2" t="s">
        <v>76</v>
      </c>
      <c r="AN92" s="2" t="s">
        <v>76</v>
      </c>
      <c r="AO92" s="2" t="s">
        <v>76</v>
      </c>
      <c r="AQ92" s="2" t="s">
        <v>75</v>
      </c>
      <c r="AR92" s="2" t="s">
        <v>76</v>
      </c>
      <c r="AS92" s="1">
        <v>3707.0</v>
      </c>
      <c r="AT92" s="1">
        <v>3707.0</v>
      </c>
      <c r="AU92" s="1">
        <v>1276.0</v>
      </c>
      <c r="AV92" s="1">
        <v>133.0</v>
      </c>
      <c r="AW92" s="1">
        <v>433.0</v>
      </c>
      <c r="AX92" s="1">
        <v>4001.0</v>
      </c>
      <c r="AY92" s="1">
        <v>51.0</v>
      </c>
      <c r="AZ92" s="1" t="s">
        <v>120</v>
      </c>
      <c r="BA92" s="1" t="s">
        <v>121</v>
      </c>
    </row>
    <row r="93">
      <c r="A93" s="1" t="s">
        <v>566</v>
      </c>
      <c r="B93" s="1" t="s">
        <v>53</v>
      </c>
      <c r="C93" s="1">
        <v>1998.0</v>
      </c>
      <c r="D93" s="1" t="s">
        <v>567</v>
      </c>
      <c r="E93" s="1" t="s">
        <v>568</v>
      </c>
      <c r="F93" s="1" t="s">
        <v>303</v>
      </c>
      <c r="G93" s="1" t="s">
        <v>569</v>
      </c>
      <c r="H93" s="1" t="s">
        <v>570</v>
      </c>
      <c r="I93" s="1">
        <v>49.0</v>
      </c>
      <c r="J93" s="1">
        <v>1.0</v>
      </c>
      <c r="K93" s="2" t="s">
        <v>571</v>
      </c>
      <c r="L93" s="2" t="s">
        <v>60</v>
      </c>
      <c r="M93" s="1" t="s">
        <v>1549</v>
      </c>
      <c r="N93" s="1" t="s">
        <v>62</v>
      </c>
      <c r="O93" s="1" t="s">
        <v>92</v>
      </c>
      <c r="P93" s="1" t="s">
        <v>453</v>
      </c>
      <c r="Q93" s="1">
        <v>20.491511</v>
      </c>
      <c r="R93" s="1">
        <v>-87.738733</v>
      </c>
      <c r="S93" s="1" t="s">
        <v>148</v>
      </c>
      <c r="T93" s="2" t="s">
        <v>66</v>
      </c>
      <c r="U93" s="1" t="s">
        <v>823</v>
      </c>
      <c r="V93" s="3" t="s">
        <v>68</v>
      </c>
      <c r="W93" s="1" t="s">
        <v>1369</v>
      </c>
      <c r="X93" s="1" t="s">
        <v>70</v>
      </c>
      <c r="Y93" s="5" t="s">
        <v>60</v>
      </c>
      <c r="Z93" s="3" t="s">
        <v>345</v>
      </c>
      <c r="AB93" s="1">
        <v>8.0</v>
      </c>
      <c r="AI93" s="2" t="s">
        <v>72</v>
      </c>
      <c r="AJ93" s="1">
        <v>-6050.0</v>
      </c>
      <c r="AK93" s="1">
        <v>1950.0</v>
      </c>
      <c r="AL93" s="2" t="s">
        <v>73</v>
      </c>
      <c r="AM93" s="2" t="s">
        <v>72</v>
      </c>
      <c r="AN93" s="1" t="s">
        <v>74</v>
      </c>
      <c r="AO93" s="2" t="s">
        <v>60</v>
      </c>
      <c r="AQ93" s="2" t="s">
        <v>576</v>
      </c>
      <c r="AR93" s="2" t="s">
        <v>76</v>
      </c>
      <c r="AS93" s="1">
        <v>1151.0</v>
      </c>
      <c r="AT93" s="1">
        <v>1151.0</v>
      </c>
      <c r="AU93" s="1">
        <v>500.0</v>
      </c>
      <c r="AV93" s="1">
        <v>42.0</v>
      </c>
      <c r="AW93" s="1">
        <v>129.0</v>
      </c>
      <c r="AX93" s="1">
        <v>5567.0</v>
      </c>
      <c r="AY93" s="1">
        <v>14.0</v>
      </c>
      <c r="AZ93" s="1" t="s">
        <v>239</v>
      </c>
      <c r="BA93" s="1" t="s">
        <v>121</v>
      </c>
    </row>
    <row r="94">
      <c r="A94" s="1" t="s">
        <v>1118</v>
      </c>
      <c r="B94" s="1" t="s">
        <v>53</v>
      </c>
      <c r="C94" s="1">
        <v>2000.0</v>
      </c>
      <c r="D94" s="1" t="s">
        <v>1119</v>
      </c>
      <c r="E94" s="1" t="s">
        <v>1120</v>
      </c>
      <c r="F94" s="1" t="s">
        <v>1121</v>
      </c>
      <c r="H94" s="1" t="s">
        <v>1122</v>
      </c>
      <c r="I94" s="1">
        <v>16.0</v>
      </c>
      <c r="K94" s="2" t="s">
        <v>1123</v>
      </c>
      <c r="L94" s="2" t="s">
        <v>76</v>
      </c>
      <c r="M94" s="1" t="s">
        <v>1118</v>
      </c>
      <c r="N94" s="1" t="s">
        <v>62</v>
      </c>
      <c r="O94" s="1" t="s">
        <v>112</v>
      </c>
      <c r="P94" s="1" t="s">
        <v>308</v>
      </c>
      <c r="Q94" s="1">
        <v>9.494794</v>
      </c>
      <c r="R94" s="1">
        <v>-83.486688</v>
      </c>
      <c r="S94" s="1" t="s">
        <v>148</v>
      </c>
      <c r="T94" s="3" t="s">
        <v>1150</v>
      </c>
      <c r="U94" s="1" t="s">
        <v>156</v>
      </c>
      <c r="V94" s="3" t="s">
        <v>138</v>
      </c>
      <c r="W94" s="1" t="s">
        <v>1124</v>
      </c>
      <c r="X94" s="2" t="s">
        <v>355</v>
      </c>
      <c r="Y94" s="6" t="s">
        <v>76</v>
      </c>
      <c r="Z94" s="3" t="s">
        <v>76</v>
      </c>
      <c r="AB94" s="1">
        <v>6.0</v>
      </c>
      <c r="AI94" s="1" t="s">
        <v>1125</v>
      </c>
      <c r="AJ94" s="1">
        <v>-8050.0</v>
      </c>
      <c r="AK94" s="1">
        <v>1950.0</v>
      </c>
      <c r="AL94" s="2" t="s">
        <v>73</v>
      </c>
      <c r="AM94" s="2" t="s">
        <v>60</v>
      </c>
      <c r="AN94" s="2" t="s">
        <v>72</v>
      </c>
      <c r="AO94" s="2" t="s">
        <v>72</v>
      </c>
      <c r="AP94" s="1" t="s">
        <v>280</v>
      </c>
      <c r="AQ94" s="2" t="s">
        <v>576</v>
      </c>
      <c r="AR94" s="2" t="s">
        <v>76</v>
      </c>
      <c r="AS94" s="1">
        <v>2202.0</v>
      </c>
      <c r="AT94" s="1">
        <v>2202.0</v>
      </c>
      <c r="AU94" s="1">
        <v>957.0</v>
      </c>
      <c r="AV94" s="1">
        <v>11.0</v>
      </c>
      <c r="AW94" s="1">
        <v>65.0</v>
      </c>
      <c r="AX94" s="1">
        <v>7181.0</v>
      </c>
      <c r="AY94" s="1">
        <v>3509.0</v>
      </c>
      <c r="AZ94" s="1" t="s">
        <v>154</v>
      </c>
      <c r="BA94" s="1" t="s">
        <v>121</v>
      </c>
    </row>
    <row r="95">
      <c r="A95" s="1" t="s">
        <v>591</v>
      </c>
      <c r="B95" s="1" t="s">
        <v>268</v>
      </c>
      <c r="C95" s="1">
        <v>2001.0</v>
      </c>
      <c r="D95" s="1" t="s">
        <v>592</v>
      </c>
      <c r="E95" s="1" t="s">
        <v>593</v>
      </c>
      <c r="H95" s="1" t="s">
        <v>594</v>
      </c>
      <c r="I95" s="1">
        <v>11.0</v>
      </c>
      <c r="K95" s="2" t="s">
        <v>595</v>
      </c>
      <c r="L95" s="2" t="s">
        <v>60</v>
      </c>
      <c r="M95" s="1" t="s">
        <v>1971</v>
      </c>
      <c r="N95" s="1" t="s">
        <v>62</v>
      </c>
      <c r="O95" s="1" t="s">
        <v>112</v>
      </c>
      <c r="P95" s="1" t="s">
        <v>597</v>
      </c>
      <c r="Q95" s="1">
        <v>8.813</v>
      </c>
      <c r="R95" s="1">
        <v>-82.963</v>
      </c>
      <c r="S95" s="1" t="s">
        <v>148</v>
      </c>
      <c r="T95" s="2" t="s">
        <v>66</v>
      </c>
      <c r="U95" s="1" t="s">
        <v>823</v>
      </c>
      <c r="V95" s="3" t="s">
        <v>68</v>
      </c>
      <c r="W95" s="2" t="s">
        <v>72</v>
      </c>
      <c r="X95" s="1" t="s">
        <v>70</v>
      </c>
      <c r="Y95" s="5" t="s">
        <v>60</v>
      </c>
      <c r="Z95" s="3" t="s">
        <v>345</v>
      </c>
      <c r="AB95" s="1">
        <v>3.0</v>
      </c>
      <c r="AI95" s="2" t="s">
        <v>72</v>
      </c>
      <c r="AJ95" s="1">
        <v>-1050.0</v>
      </c>
      <c r="AK95" s="1">
        <v>1997.0</v>
      </c>
      <c r="AL95" s="2" t="s">
        <v>100</v>
      </c>
      <c r="AM95" s="2" t="s">
        <v>76</v>
      </c>
      <c r="AN95" s="1" t="s">
        <v>74</v>
      </c>
      <c r="AO95" s="2" t="s">
        <v>72</v>
      </c>
      <c r="AQ95" s="2" t="s">
        <v>75</v>
      </c>
      <c r="AR95" s="2" t="s">
        <v>76</v>
      </c>
      <c r="AS95" s="1">
        <v>2841.0</v>
      </c>
      <c r="AT95" s="1">
        <v>2841.0</v>
      </c>
      <c r="AU95" s="1">
        <v>1165.0</v>
      </c>
      <c r="AV95" s="1">
        <v>40.0</v>
      </c>
      <c r="AW95" s="1">
        <v>166.0</v>
      </c>
      <c r="AX95" s="1">
        <v>6482.0</v>
      </c>
      <c r="AY95" s="1">
        <v>1094.0</v>
      </c>
      <c r="AZ95" s="1" t="s">
        <v>154</v>
      </c>
      <c r="BA95" s="1" t="s">
        <v>121</v>
      </c>
    </row>
    <row r="96">
      <c r="A96" s="1" t="s">
        <v>1126</v>
      </c>
      <c r="B96" s="1" t="s">
        <v>53</v>
      </c>
      <c r="C96" s="1">
        <v>2001.0</v>
      </c>
      <c r="D96" s="1" t="s">
        <v>1127</v>
      </c>
      <c r="E96" s="1" t="s">
        <v>1128</v>
      </c>
      <c r="F96" s="1" t="s">
        <v>1121</v>
      </c>
      <c r="H96" s="1" t="s">
        <v>1129</v>
      </c>
      <c r="I96" s="1">
        <v>17.0</v>
      </c>
      <c r="K96" s="2" t="s">
        <v>1130</v>
      </c>
      <c r="L96" s="2" t="s">
        <v>76</v>
      </c>
      <c r="M96" s="1" t="s">
        <v>1126</v>
      </c>
      <c r="N96" s="1" t="s">
        <v>62</v>
      </c>
      <c r="O96" s="1" t="s">
        <v>112</v>
      </c>
      <c r="P96" s="1" t="s">
        <v>1131</v>
      </c>
      <c r="Q96" s="1">
        <v>10.75</v>
      </c>
      <c r="R96" s="1">
        <v>-85.5</v>
      </c>
      <c r="S96" s="1" t="s">
        <v>225</v>
      </c>
      <c r="T96" s="2" t="s">
        <v>225</v>
      </c>
      <c r="U96" s="2" t="s">
        <v>1132</v>
      </c>
      <c r="V96" s="3" t="s">
        <v>97</v>
      </c>
      <c r="W96" s="1" t="s">
        <v>1133</v>
      </c>
      <c r="X96" s="2" t="s">
        <v>83</v>
      </c>
      <c r="Y96" s="6" t="s">
        <v>76</v>
      </c>
      <c r="Z96" s="3" t="s">
        <v>76</v>
      </c>
      <c r="AG96" s="1">
        <v>1.0</v>
      </c>
      <c r="AJ96" s="1">
        <v>1912.0</v>
      </c>
      <c r="AK96" s="1">
        <v>1997.0</v>
      </c>
      <c r="AL96" s="2" t="s">
        <v>153</v>
      </c>
      <c r="AM96" s="2" t="s">
        <v>60</v>
      </c>
      <c r="AN96" s="2" t="s">
        <v>76</v>
      </c>
      <c r="AO96" s="2" t="s">
        <v>101</v>
      </c>
      <c r="AQ96" s="2" t="s">
        <v>102</v>
      </c>
      <c r="AR96" s="2" t="s">
        <v>76</v>
      </c>
      <c r="AS96" s="1">
        <v>1713.0</v>
      </c>
      <c r="AT96" s="1">
        <v>1713.0</v>
      </c>
      <c r="AU96" s="1">
        <v>864.0</v>
      </c>
      <c r="AV96" s="1">
        <v>2.0</v>
      </c>
      <c r="AW96" s="1">
        <v>9.0</v>
      </c>
      <c r="AX96" s="1">
        <v>9030.0</v>
      </c>
      <c r="AY96" s="1">
        <v>100.0</v>
      </c>
      <c r="AZ96" s="1" t="s">
        <v>525</v>
      </c>
      <c r="BA96" s="1" t="s">
        <v>104</v>
      </c>
    </row>
    <row r="97">
      <c r="A97" s="1" t="s">
        <v>1830</v>
      </c>
      <c r="B97" s="1" t="s">
        <v>53</v>
      </c>
      <c r="C97" s="1">
        <v>2001.0</v>
      </c>
      <c r="D97" s="1" t="s">
        <v>1831</v>
      </c>
      <c r="E97" s="1" t="s">
        <v>1832</v>
      </c>
      <c r="F97" s="1" t="s">
        <v>1818</v>
      </c>
      <c r="G97" s="1" t="s">
        <v>1833</v>
      </c>
      <c r="H97" s="1" t="s">
        <v>1834</v>
      </c>
      <c r="I97" s="1">
        <v>292.0</v>
      </c>
      <c r="J97" s="1">
        <v>5520.0</v>
      </c>
      <c r="K97" s="2" t="s">
        <v>1835</v>
      </c>
      <c r="L97" s="2" t="s">
        <v>60</v>
      </c>
      <c r="M97" s="1" t="s">
        <v>1836</v>
      </c>
      <c r="N97" s="1" t="s">
        <v>62</v>
      </c>
      <c r="O97" s="1" t="s">
        <v>92</v>
      </c>
      <c r="P97" s="1" t="s">
        <v>466</v>
      </c>
      <c r="Q97" s="1">
        <v>19.87</v>
      </c>
      <c r="R97" s="1">
        <v>-88.77</v>
      </c>
      <c r="S97" s="1" t="s">
        <v>148</v>
      </c>
      <c r="T97" s="2" t="s">
        <v>95</v>
      </c>
      <c r="U97" s="2" t="s">
        <v>96</v>
      </c>
      <c r="V97" s="3" t="s">
        <v>97</v>
      </c>
      <c r="W97" s="2" t="s">
        <v>72</v>
      </c>
      <c r="X97" s="1" t="s">
        <v>256</v>
      </c>
      <c r="Y97" s="6" t="s">
        <v>76</v>
      </c>
      <c r="Z97" s="3" t="s">
        <v>76</v>
      </c>
      <c r="AB97" s="1">
        <v>9.0</v>
      </c>
      <c r="AI97" s="2" t="s">
        <v>72</v>
      </c>
      <c r="AJ97" s="1">
        <v>-650.0</v>
      </c>
      <c r="AK97" s="1">
        <v>2000.0</v>
      </c>
      <c r="AL97" s="2" t="s">
        <v>73</v>
      </c>
      <c r="AM97" s="2" t="s">
        <v>72</v>
      </c>
      <c r="AN97" s="2" t="s">
        <v>400</v>
      </c>
      <c r="AO97" s="2" t="s">
        <v>76</v>
      </c>
      <c r="AQ97" s="2" t="s">
        <v>102</v>
      </c>
      <c r="AR97" s="2" t="s">
        <v>76</v>
      </c>
      <c r="AS97" s="1">
        <v>1244.0</v>
      </c>
      <c r="AT97" s="1">
        <v>1244.0</v>
      </c>
      <c r="AU97" s="1">
        <v>548.0</v>
      </c>
      <c r="AV97" s="1">
        <v>31.0</v>
      </c>
      <c r="AW97" s="1">
        <v>105.0</v>
      </c>
      <c r="AX97" s="1">
        <v>6267.0</v>
      </c>
      <c r="AY97" s="1">
        <v>36.0</v>
      </c>
      <c r="AZ97" s="1" t="s">
        <v>239</v>
      </c>
      <c r="BA97" s="1" t="s">
        <v>121</v>
      </c>
    </row>
    <row r="98">
      <c r="A98" s="1" t="s">
        <v>1830</v>
      </c>
      <c r="B98" s="1" t="s">
        <v>53</v>
      </c>
      <c r="C98" s="1">
        <v>2001.0</v>
      </c>
      <c r="D98" s="1" t="s">
        <v>1831</v>
      </c>
      <c r="E98" s="1" t="s">
        <v>1832</v>
      </c>
      <c r="F98" s="1" t="s">
        <v>1818</v>
      </c>
      <c r="G98" s="1" t="s">
        <v>1833</v>
      </c>
      <c r="H98" s="1" t="s">
        <v>1834</v>
      </c>
      <c r="I98" s="1">
        <v>292.0</v>
      </c>
      <c r="J98" s="1">
        <v>5520.0</v>
      </c>
      <c r="K98" s="2" t="s">
        <v>1835</v>
      </c>
      <c r="L98" s="2" t="s">
        <v>60</v>
      </c>
      <c r="M98" s="1" t="s">
        <v>1837</v>
      </c>
      <c r="N98" s="1" t="s">
        <v>62</v>
      </c>
      <c r="O98" s="1" t="s">
        <v>92</v>
      </c>
      <c r="P98" s="1" t="s">
        <v>466</v>
      </c>
      <c r="Q98" s="1">
        <v>19.87</v>
      </c>
      <c r="R98" s="1">
        <v>-88.77</v>
      </c>
      <c r="S98" s="1" t="s">
        <v>148</v>
      </c>
      <c r="T98" s="2" t="s">
        <v>189</v>
      </c>
      <c r="U98" s="2" t="s">
        <v>96</v>
      </c>
      <c r="V98" s="3" t="s">
        <v>97</v>
      </c>
      <c r="W98" s="1" t="s">
        <v>1838</v>
      </c>
      <c r="X98" s="1" t="s">
        <v>256</v>
      </c>
      <c r="Y98" s="6" t="s">
        <v>76</v>
      </c>
      <c r="Z98" s="3" t="s">
        <v>76</v>
      </c>
      <c r="AB98" s="1">
        <v>9.0</v>
      </c>
      <c r="AI98" s="2" t="s">
        <v>72</v>
      </c>
      <c r="AJ98" s="1">
        <v>-650.0</v>
      </c>
      <c r="AK98" s="1">
        <v>2000.0</v>
      </c>
      <c r="AL98" s="2" t="s">
        <v>73</v>
      </c>
      <c r="AM98" s="2" t="s">
        <v>72</v>
      </c>
      <c r="AN98" s="2" t="s">
        <v>400</v>
      </c>
      <c r="AO98" s="2" t="s">
        <v>76</v>
      </c>
      <c r="AQ98" s="2" t="s">
        <v>102</v>
      </c>
      <c r="AR98" s="2" t="s">
        <v>76</v>
      </c>
      <c r="AS98" s="1">
        <v>1244.0</v>
      </c>
      <c r="AT98" s="1">
        <v>1244.0</v>
      </c>
      <c r="AU98" s="1">
        <v>548.0</v>
      </c>
      <c r="AV98" s="1">
        <v>31.0</v>
      </c>
      <c r="AW98" s="1">
        <v>105.0</v>
      </c>
      <c r="AX98" s="1">
        <v>6267.0</v>
      </c>
      <c r="AY98" s="1">
        <v>36.0</v>
      </c>
      <c r="AZ98" s="1" t="s">
        <v>239</v>
      </c>
      <c r="BA98" s="1" t="s">
        <v>121</v>
      </c>
    </row>
    <row r="99">
      <c r="A99" s="1" t="s">
        <v>105</v>
      </c>
      <c r="B99" s="1" t="s">
        <v>53</v>
      </c>
      <c r="C99" s="1">
        <v>2001.0</v>
      </c>
      <c r="D99" s="1" t="s">
        <v>106</v>
      </c>
      <c r="E99" s="1" t="s">
        <v>107</v>
      </c>
      <c r="F99" s="1" t="s">
        <v>108</v>
      </c>
      <c r="G99" s="1" t="s">
        <v>109</v>
      </c>
      <c r="H99" s="1" t="s">
        <v>110</v>
      </c>
      <c r="I99" s="1">
        <v>33.0</v>
      </c>
      <c r="K99" s="2" t="s">
        <v>111</v>
      </c>
      <c r="L99" s="2" t="s">
        <v>76</v>
      </c>
      <c r="M99" s="1" t="s">
        <v>105</v>
      </c>
      <c r="N99" s="1" t="s">
        <v>62</v>
      </c>
      <c r="O99" s="1" t="s">
        <v>112</v>
      </c>
      <c r="P99" s="1" t="s">
        <v>113</v>
      </c>
      <c r="Q99" s="1">
        <v>10.433333</v>
      </c>
      <c r="R99" s="1">
        <v>-83.983333</v>
      </c>
      <c r="S99" s="1" t="s">
        <v>114</v>
      </c>
      <c r="T99" s="2" t="s">
        <v>66</v>
      </c>
      <c r="U99" s="3" t="s">
        <v>115</v>
      </c>
      <c r="V99" s="3" t="s">
        <v>116</v>
      </c>
      <c r="W99" s="1" t="s">
        <v>117</v>
      </c>
      <c r="X99" s="2" t="s">
        <v>83</v>
      </c>
      <c r="Y99" s="5" t="s">
        <v>60</v>
      </c>
      <c r="Z99" s="3" t="s">
        <v>118</v>
      </c>
      <c r="AB99" s="1">
        <v>1.0</v>
      </c>
      <c r="AI99" s="2" t="s">
        <v>72</v>
      </c>
      <c r="AJ99" s="1">
        <v>-770.0</v>
      </c>
      <c r="AK99" s="1">
        <v>1992.0</v>
      </c>
      <c r="AL99" s="2" t="s">
        <v>72</v>
      </c>
      <c r="AM99" s="2" t="s">
        <v>72</v>
      </c>
      <c r="AN99" s="1" t="s">
        <v>119</v>
      </c>
      <c r="AO99" s="2" t="s">
        <v>72</v>
      </c>
      <c r="AQ99" s="2" t="s">
        <v>75</v>
      </c>
      <c r="AR99" s="2" t="s">
        <v>76</v>
      </c>
      <c r="AS99" s="1">
        <v>3724.0</v>
      </c>
      <c r="AT99" s="1">
        <v>3724.0</v>
      </c>
      <c r="AU99" s="1">
        <v>1231.0</v>
      </c>
      <c r="AV99" s="1">
        <v>127.0</v>
      </c>
      <c r="AW99" s="1">
        <v>471.0</v>
      </c>
      <c r="AX99" s="1">
        <v>3850.0</v>
      </c>
      <c r="AY99" s="1">
        <v>50.0</v>
      </c>
      <c r="AZ99" s="1" t="s">
        <v>120</v>
      </c>
      <c r="BA99" s="1" t="s">
        <v>121</v>
      </c>
    </row>
    <row r="100">
      <c r="A100" s="1" t="s">
        <v>628</v>
      </c>
      <c r="B100" s="1" t="s">
        <v>53</v>
      </c>
      <c r="C100" s="1">
        <v>2001.0</v>
      </c>
      <c r="D100" s="1" t="s">
        <v>629</v>
      </c>
      <c r="E100" s="1" t="s">
        <v>630</v>
      </c>
      <c r="F100" s="1" t="s">
        <v>631</v>
      </c>
      <c r="G100" s="1" t="s">
        <v>632</v>
      </c>
      <c r="H100" s="1" t="s">
        <v>633</v>
      </c>
      <c r="I100" s="1">
        <v>12.0</v>
      </c>
      <c r="J100" s="1">
        <v>2.0</v>
      </c>
      <c r="K100" s="2" t="s">
        <v>634</v>
      </c>
      <c r="L100" s="2" t="s">
        <v>60</v>
      </c>
      <c r="M100" s="1" t="s">
        <v>1142</v>
      </c>
      <c r="N100" s="1" t="s">
        <v>62</v>
      </c>
      <c r="O100" s="1" t="s">
        <v>167</v>
      </c>
      <c r="P100" s="1" t="s">
        <v>636</v>
      </c>
      <c r="Q100" s="1">
        <v>16.2</v>
      </c>
      <c r="R100" s="1">
        <v>-90.1</v>
      </c>
      <c r="S100" s="1" t="s">
        <v>148</v>
      </c>
      <c r="T100" s="2" t="s">
        <v>66</v>
      </c>
      <c r="U100" s="3" t="s">
        <v>67</v>
      </c>
      <c r="V100" s="3" t="s">
        <v>68</v>
      </c>
      <c r="W100" s="1" t="s">
        <v>1143</v>
      </c>
      <c r="X100" s="2" t="s">
        <v>70</v>
      </c>
      <c r="Y100" s="5" t="s">
        <v>60</v>
      </c>
      <c r="Z100" s="3" t="s">
        <v>71</v>
      </c>
      <c r="AB100" s="1">
        <v>4.0</v>
      </c>
      <c r="AI100" s="1" t="s">
        <v>638</v>
      </c>
      <c r="AJ100" s="1">
        <v>-2080.0</v>
      </c>
      <c r="AK100" s="1">
        <v>1950.0</v>
      </c>
      <c r="AL100" s="3" t="s">
        <v>73</v>
      </c>
      <c r="AM100" s="2" t="s">
        <v>60</v>
      </c>
      <c r="AN100" s="2" t="s">
        <v>72</v>
      </c>
      <c r="AO100" s="2" t="s">
        <v>60</v>
      </c>
      <c r="AQ100" s="2" t="s">
        <v>75</v>
      </c>
      <c r="AR100" s="2" t="s">
        <v>76</v>
      </c>
      <c r="AS100" s="1">
        <v>3418.0</v>
      </c>
      <c r="AT100" s="1">
        <v>3418.0</v>
      </c>
      <c r="AU100" s="1">
        <v>1440.0</v>
      </c>
      <c r="AV100" s="1">
        <v>86.0</v>
      </c>
      <c r="AW100" s="1">
        <v>311.0</v>
      </c>
      <c r="AX100" s="1">
        <v>5582.0</v>
      </c>
      <c r="AY100" s="1">
        <v>136.0</v>
      </c>
      <c r="AZ100" s="1" t="s">
        <v>133</v>
      </c>
      <c r="BA100" s="1" t="s">
        <v>121</v>
      </c>
    </row>
    <row r="101">
      <c r="A101" s="1" t="s">
        <v>628</v>
      </c>
      <c r="B101" s="1" t="s">
        <v>53</v>
      </c>
      <c r="C101" s="1">
        <v>2001.0</v>
      </c>
      <c r="D101" s="1" t="s">
        <v>629</v>
      </c>
      <c r="E101" s="1" t="s">
        <v>630</v>
      </c>
      <c r="F101" s="1" t="s">
        <v>631</v>
      </c>
      <c r="G101" s="1" t="s">
        <v>632</v>
      </c>
      <c r="H101" s="1" t="s">
        <v>633</v>
      </c>
      <c r="I101" s="1">
        <v>12.0</v>
      </c>
      <c r="J101" s="1">
        <v>2.0</v>
      </c>
      <c r="K101" s="2" t="s">
        <v>634</v>
      </c>
      <c r="L101" s="2" t="s">
        <v>60</v>
      </c>
      <c r="M101" s="1" t="s">
        <v>1144</v>
      </c>
      <c r="N101" s="1" t="s">
        <v>62</v>
      </c>
      <c r="O101" s="1" t="s">
        <v>167</v>
      </c>
      <c r="P101" s="1" t="s">
        <v>636</v>
      </c>
      <c r="Q101" s="1">
        <v>16.2</v>
      </c>
      <c r="R101" s="1">
        <v>-90.1</v>
      </c>
      <c r="S101" s="1" t="s">
        <v>148</v>
      </c>
      <c r="T101" s="2" t="s">
        <v>382</v>
      </c>
      <c r="U101" s="3" t="s">
        <v>976</v>
      </c>
      <c r="V101" s="3" t="s">
        <v>116</v>
      </c>
      <c r="W101" s="1" t="s">
        <v>1145</v>
      </c>
      <c r="X101" s="1" t="s">
        <v>544</v>
      </c>
      <c r="Y101" s="6" t="s">
        <v>76</v>
      </c>
      <c r="Z101" s="3" t="s">
        <v>173</v>
      </c>
      <c r="AB101" s="1">
        <v>4.0</v>
      </c>
      <c r="AI101" s="1" t="s">
        <v>638</v>
      </c>
      <c r="AJ101" s="1">
        <v>-2080.0</v>
      </c>
      <c r="AK101" s="1">
        <v>1950.0</v>
      </c>
      <c r="AL101" s="3" t="s">
        <v>73</v>
      </c>
      <c r="AM101" s="2" t="s">
        <v>60</v>
      </c>
      <c r="AN101" s="2" t="s">
        <v>72</v>
      </c>
      <c r="AO101" s="2" t="s">
        <v>60</v>
      </c>
      <c r="AQ101" s="2" t="s">
        <v>75</v>
      </c>
      <c r="AR101" s="2" t="s">
        <v>76</v>
      </c>
      <c r="AS101" s="1">
        <v>3418.0</v>
      </c>
      <c r="AT101" s="1">
        <v>3418.0</v>
      </c>
      <c r="AU101" s="1">
        <v>1440.0</v>
      </c>
      <c r="AV101" s="1">
        <v>86.0</v>
      </c>
      <c r="AW101" s="1">
        <v>311.0</v>
      </c>
      <c r="AX101" s="1">
        <v>5582.0</v>
      </c>
      <c r="AY101" s="1">
        <v>136.0</v>
      </c>
      <c r="AZ101" s="1" t="s">
        <v>133</v>
      </c>
      <c r="BA101" s="1" t="s">
        <v>121</v>
      </c>
    </row>
    <row r="102">
      <c r="A102" s="1" t="s">
        <v>628</v>
      </c>
      <c r="B102" s="1" t="s">
        <v>53</v>
      </c>
      <c r="C102" s="1">
        <v>2001.0</v>
      </c>
      <c r="D102" s="1" t="s">
        <v>629</v>
      </c>
      <c r="E102" s="1" t="s">
        <v>630</v>
      </c>
      <c r="F102" s="1" t="s">
        <v>631</v>
      </c>
      <c r="G102" s="1" t="s">
        <v>632</v>
      </c>
      <c r="H102" s="1" t="s">
        <v>633</v>
      </c>
      <c r="I102" s="1">
        <v>12.0</v>
      </c>
      <c r="J102" s="1">
        <v>2.0</v>
      </c>
      <c r="K102" s="2" t="s">
        <v>634</v>
      </c>
      <c r="L102" s="2" t="s">
        <v>60</v>
      </c>
      <c r="M102" s="1" t="s">
        <v>1146</v>
      </c>
      <c r="N102" s="1" t="s">
        <v>62</v>
      </c>
      <c r="O102" s="1" t="s">
        <v>167</v>
      </c>
      <c r="P102" s="1" t="s">
        <v>636</v>
      </c>
      <c r="Q102" s="1">
        <v>16.2</v>
      </c>
      <c r="R102" s="1">
        <v>-90.1</v>
      </c>
      <c r="S102" s="1" t="s">
        <v>148</v>
      </c>
      <c r="T102" s="2" t="s">
        <v>169</v>
      </c>
      <c r="U102" s="3" t="s">
        <v>976</v>
      </c>
      <c r="V102" s="3" t="s">
        <v>116</v>
      </c>
      <c r="W102" s="1" t="s">
        <v>1147</v>
      </c>
      <c r="X102" s="2" t="s">
        <v>575</v>
      </c>
      <c r="Y102" s="6" t="s">
        <v>76</v>
      </c>
      <c r="Z102" s="3" t="s">
        <v>173</v>
      </c>
      <c r="AB102" s="1">
        <v>4.0</v>
      </c>
      <c r="AI102" s="1" t="s">
        <v>638</v>
      </c>
      <c r="AJ102" s="1">
        <v>-2080.0</v>
      </c>
      <c r="AK102" s="1">
        <v>1950.0</v>
      </c>
      <c r="AL102" s="3" t="s">
        <v>73</v>
      </c>
      <c r="AM102" s="2" t="s">
        <v>60</v>
      </c>
      <c r="AN102" s="2" t="s">
        <v>72</v>
      </c>
      <c r="AO102" s="2" t="s">
        <v>60</v>
      </c>
      <c r="AQ102" s="2" t="s">
        <v>75</v>
      </c>
      <c r="AR102" s="2" t="s">
        <v>76</v>
      </c>
      <c r="AS102" s="1">
        <v>3418.0</v>
      </c>
      <c r="AT102" s="1">
        <v>3418.0</v>
      </c>
      <c r="AU102" s="1">
        <v>1440.0</v>
      </c>
      <c r="AV102" s="1">
        <v>86.0</v>
      </c>
      <c r="AW102" s="1">
        <v>311.0</v>
      </c>
      <c r="AX102" s="1">
        <v>5582.0</v>
      </c>
      <c r="AY102" s="1">
        <v>136.0</v>
      </c>
      <c r="AZ102" s="1" t="s">
        <v>133</v>
      </c>
      <c r="BA102" s="1" t="s">
        <v>121</v>
      </c>
    </row>
    <row r="103">
      <c r="A103" s="1" t="s">
        <v>628</v>
      </c>
      <c r="B103" s="1" t="s">
        <v>53</v>
      </c>
      <c r="C103" s="1">
        <v>2001.0</v>
      </c>
      <c r="D103" s="1" t="s">
        <v>629</v>
      </c>
      <c r="E103" s="1" t="s">
        <v>630</v>
      </c>
      <c r="F103" s="1" t="s">
        <v>631</v>
      </c>
      <c r="G103" s="1" t="s">
        <v>632</v>
      </c>
      <c r="H103" s="1" t="s">
        <v>633</v>
      </c>
      <c r="I103" s="1">
        <v>12.0</v>
      </c>
      <c r="J103" s="1">
        <v>2.0</v>
      </c>
      <c r="K103" s="2" t="s">
        <v>634</v>
      </c>
      <c r="L103" s="2" t="s">
        <v>60</v>
      </c>
      <c r="M103" s="1" t="s">
        <v>1148</v>
      </c>
      <c r="N103" s="1" t="s">
        <v>62</v>
      </c>
      <c r="O103" s="1" t="s">
        <v>167</v>
      </c>
      <c r="P103" s="1" t="s">
        <v>636</v>
      </c>
      <c r="Q103" s="1">
        <v>16.2</v>
      </c>
      <c r="R103" s="1">
        <v>-90.1</v>
      </c>
      <c r="S103" s="1" t="s">
        <v>148</v>
      </c>
      <c r="T103" s="2" t="s">
        <v>194</v>
      </c>
      <c r="U103" s="1" t="s">
        <v>173</v>
      </c>
      <c r="V103" s="3" t="s">
        <v>116</v>
      </c>
      <c r="W103" s="1" t="s">
        <v>637</v>
      </c>
      <c r="X103" s="1" t="s">
        <v>70</v>
      </c>
      <c r="Y103" s="6" t="s">
        <v>76</v>
      </c>
      <c r="Z103" s="3" t="s">
        <v>173</v>
      </c>
      <c r="AB103" s="1">
        <v>4.0</v>
      </c>
      <c r="AI103" s="1" t="s">
        <v>638</v>
      </c>
      <c r="AJ103" s="1">
        <v>-2080.0</v>
      </c>
      <c r="AK103" s="1">
        <v>1950.0</v>
      </c>
      <c r="AL103" s="3" t="s">
        <v>73</v>
      </c>
      <c r="AM103" s="2" t="s">
        <v>60</v>
      </c>
      <c r="AN103" s="2" t="s">
        <v>72</v>
      </c>
      <c r="AO103" s="2" t="s">
        <v>60</v>
      </c>
      <c r="AQ103" s="2" t="s">
        <v>75</v>
      </c>
      <c r="AR103" s="2" t="s">
        <v>76</v>
      </c>
      <c r="AS103" s="1">
        <v>3418.0</v>
      </c>
      <c r="AT103" s="1">
        <v>3418.0</v>
      </c>
      <c r="AU103" s="1">
        <v>1440.0</v>
      </c>
      <c r="AV103" s="1">
        <v>86.0</v>
      </c>
      <c r="AW103" s="1">
        <v>311.0</v>
      </c>
      <c r="AX103" s="1">
        <v>5582.0</v>
      </c>
      <c r="AY103" s="1">
        <v>136.0</v>
      </c>
      <c r="AZ103" s="1" t="s">
        <v>133</v>
      </c>
      <c r="BA103" s="1" t="s">
        <v>121</v>
      </c>
    </row>
    <row r="104">
      <c r="A104" s="1" t="s">
        <v>628</v>
      </c>
      <c r="B104" s="1" t="s">
        <v>53</v>
      </c>
      <c r="C104" s="1">
        <v>2001.0</v>
      </c>
      <c r="D104" s="1" t="s">
        <v>629</v>
      </c>
      <c r="E104" s="1" t="s">
        <v>630</v>
      </c>
      <c r="F104" s="1" t="s">
        <v>631</v>
      </c>
      <c r="G104" s="1" t="s">
        <v>632</v>
      </c>
      <c r="H104" s="1" t="s">
        <v>633</v>
      </c>
      <c r="I104" s="1">
        <v>12.0</v>
      </c>
      <c r="J104" s="1">
        <v>2.0</v>
      </c>
      <c r="K104" s="2" t="s">
        <v>634</v>
      </c>
      <c r="L104" s="2" t="s">
        <v>60</v>
      </c>
      <c r="M104" s="1" t="s">
        <v>1149</v>
      </c>
      <c r="N104" s="1" t="s">
        <v>62</v>
      </c>
      <c r="O104" s="1" t="s">
        <v>167</v>
      </c>
      <c r="P104" s="1" t="s">
        <v>636</v>
      </c>
      <c r="Q104" s="1">
        <v>16.2</v>
      </c>
      <c r="R104" s="1">
        <v>-90.1</v>
      </c>
      <c r="S104" s="1" t="s">
        <v>148</v>
      </c>
      <c r="T104" s="3" t="s">
        <v>1150</v>
      </c>
      <c r="U104" s="3" t="s">
        <v>81</v>
      </c>
      <c r="V104" s="3" t="s">
        <v>68</v>
      </c>
      <c r="W104" s="2" t="s">
        <v>72</v>
      </c>
      <c r="X104" s="2" t="s">
        <v>1151</v>
      </c>
      <c r="Y104" s="6" t="s">
        <v>76</v>
      </c>
      <c r="Z104" s="3" t="s">
        <v>84</v>
      </c>
      <c r="AB104" s="1">
        <v>4.0</v>
      </c>
      <c r="AI104" s="1" t="s">
        <v>638</v>
      </c>
      <c r="AJ104" s="1">
        <v>-2080.0</v>
      </c>
      <c r="AK104" s="1">
        <v>1950.0</v>
      </c>
      <c r="AL104" s="3" t="s">
        <v>73</v>
      </c>
      <c r="AM104" s="2" t="s">
        <v>60</v>
      </c>
      <c r="AN104" s="2" t="s">
        <v>72</v>
      </c>
      <c r="AO104" s="2" t="s">
        <v>60</v>
      </c>
      <c r="AQ104" s="2" t="s">
        <v>75</v>
      </c>
      <c r="AR104" s="2" t="s">
        <v>76</v>
      </c>
      <c r="AS104" s="1">
        <v>3418.0</v>
      </c>
      <c r="AT104" s="1">
        <v>3418.0</v>
      </c>
      <c r="AU104" s="1">
        <v>1440.0</v>
      </c>
      <c r="AV104" s="1">
        <v>86.0</v>
      </c>
      <c r="AW104" s="1">
        <v>311.0</v>
      </c>
      <c r="AX104" s="1">
        <v>5582.0</v>
      </c>
      <c r="AY104" s="1">
        <v>136.0</v>
      </c>
      <c r="AZ104" s="1" t="s">
        <v>133</v>
      </c>
      <c r="BA104" s="1" t="s">
        <v>121</v>
      </c>
    </row>
    <row r="105">
      <c r="A105" s="1" t="s">
        <v>628</v>
      </c>
      <c r="B105" s="1" t="s">
        <v>53</v>
      </c>
      <c r="C105" s="1">
        <v>2001.0</v>
      </c>
      <c r="D105" s="1" t="s">
        <v>629</v>
      </c>
      <c r="E105" s="1" t="s">
        <v>630</v>
      </c>
      <c r="F105" s="1" t="s">
        <v>631</v>
      </c>
      <c r="G105" s="1" t="s">
        <v>632</v>
      </c>
      <c r="H105" s="1" t="s">
        <v>633</v>
      </c>
      <c r="I105" s="1">
        <v>12.0</v>
      </c>
      <c r="J105" s="1">
        <v>2.0</v>
      </c>
      <c r="K105" s="2" t="s">
        <v>634</v>
      </c>
      <c r="L105" s="2" t="s">
        <v>60</v>
      </c>
      <c r="M105" s="1" t="s">
        <v>1152</v>
      </c>
      <c r="N105" s="1" t="s">
        <v>62</v>
      </c>
      <c r="O105" s="1" t="s">
        <v>167</v>
      </c>
      <c r="P105" s="1" t="s">
        <v>636</v>
      </c>
      <c r="Q105" s="1">
        <v>16.2</v>
      </c>
      <c r="R105" s="1">
        <v>-90.1</v>
      </c>
      <c r="S105" s="1" t="s">
        <v>148</v>
      </c>
      <c r="T105" s="2" t="s">
        <v>80</v>
      </c>
      <c r="U105" s="3" t="s">
        <v>81</v>
      </c>
      <c r="V105" s="3" t="s">
        <v>68</v>
      </c>
      <c r="W105" s="2" t="s">
        <v>72</v>
      </c>
      <c r="X105" s="2" t="s">
        <v>1151</v>
      </c>
      <c r="Y105" s="6" t="s">
        <v>76</v>
      </c>
      <c r="Z105" s="3" t="s">
        <v>84</v>
      </c>
      <c r="AB105" s="1">
        <v>4.0</v>
      </c>
      <c r="AI105" s="1" t="s">
        <v>638</v>
      </c>
      <c r="AJ105" s="1">
        <v>-2080.0</v>
      </c>
      <c r="AK105" s="1">
        <v>1950.0</v>
      </c>
      <c r="AL105" s="3" t="s">
        <v>73</v>
      </c>
      <c r="AM105" s="2" t="s">
        <v>60</v>
      </c>
      <c r="AN105" s="2" t="s">
        <v>72</v>
      </c>
      <c r="AO105" s="2" t="s">
        <v>60</v>
      </c>
      <c r="AQ105" s="2" t="s">
        <v>75</v>
      </c>
      <c r="AR105" s="2" t="s">
        <v>76</v>
      </c>
      <c r="AS105" s="1">
        <v>3418.0</v>
      </c>
      <c r="AT105" s="1">
        <v>3418.0</v>
      </c>
      <c r="AU105" s="1">
        <v>1440.0</v>
      </c>
      <c r="AV105" s="1">
        <v>86.0</v>
      </c>
      <c r="AW105" s="1">
        <v>311.0</v>
      </c>
      <c r="AX105" s="1">
        <v>5582.0</v>
      </c>
      <c r="AY105" s="1">
        <v>136.0</v>
      </c>
      <c r="AZ105" s="1" t="s">
        <v>133</v>
      </c>
      <c r="BA105" s="1" t="s">
        <v>121</v>
      </c>
    </row>
    <row r="106">
      <c r="A106" s="1" t="s">
        <v>1839</v>
      </c>
      <c r="B106" s="1" t="s">
        <v>53</v>
      </c>
      <c r="C106" s="1">
        <v>2001.0</v>
      </c>
      <c r="D106" s="1" t="s">
        <v>1840</v>
      </c>
      <c r="E106" s="1" t="s">
        <v>1841</v>
      </c>
      <c r="F106" s="1" t="s">
        <v>1818</v>
      </c>
      <c r="G106" s="1" t="s">
        <v>1842</v>
      </c>
      <c r="H106" s="1" t="s">
        <v>1843</v>
      </c>
      <c r="I106" s="1">
        <v>292.0</v>
      </c>
      <c r="J106" s="1">
        <v>5520.0</v>
      </c>
      <c r="K106" s="2" t="s">
        <v>1844</v>
      </c>
      <c r="L106" s="2" t="s">
        <v>76</v>
      </c>
      <c r="M106" s="1" t="s">
        <v>1839</v>
      </c>
      <c r="N106" s="1" t="s">
        <v>62</v>
      </c>
      <c r="O106" s="1" t="s">
        <v>92</v>
      </c>
      <c r="P106" s="1" t="s">
        <v>1399</v>
      </c>
      <c r="Q106" s="1">
        <v>18.140625</v>
      </c>
      <c r="R106" s="1">
        <v>-93.988578</v>
      </c>
      <c r="S106" s="1" t="s">
        <v>148</v>
      </c>
      <c r="T106" s="2" t="s">
        <v>66</v>
      </c>
      <c r="U106" s="3" t="s">
        <v>67</v>
      </c>
      <c r="V106" s="3" t="s">
        <v>68</v>
      </c>
      <c r="W106" s="2" t="s">
        <v>72</v>
      </c>
      <c r="X106" s="2" t="s">
        <v>72</v>
      </c>
      <c r="Y106" s="5" t="s">
        <v>60</v>
      </c>
      <c r="Z106" s="3" t="s">
        <v>71</v>
      </c>
      <c r="AA106" s="1">
        <v>1.0</v>
      </c>
      <c r="AB106" s="1">
        <v>25.0</v>
      </c>
      <c r="AI106" s="1" t="s">
        <v>1845</v>
      </c>
      <c r="AJ106" s="1">
        <v>-5100.0</v>
      </c>
      <c r="AK106" s="1">
        <v>-399.0</v>
      </c>
      <c r="AL106" s="3" t="s">
        <v>73</v>
      </c>
      <c r="AM106" s="2" t="s">
        <v>76</v>
      </c>
      <c r="AN106" s="2" t="s">
        <v>72</v>
      </c>
      <c r="AO106" s="2" t="s">
        <v>72</v>
      </c>
      <c r="AQ106" s="2" t="s">
        <v>75</v>
      </c>
      <c r="AR106" s="2" t="s">
        <v>76</v>
      </c>
      <c r="AS106" s="1">
        <v>2413.0</v>
      </c>
      <c r="AT106" s="1">
        <v>2413.0</v>
      </c>
      <c r="AU106" s="1">
        <v>1084.0</v>
      </c>
      <c r="AV106" s="1">
        <v>46.0</v>
      </c>
      <c r="AW106" s="1">
        <v>172.0</v>
      </c>
      <c r="AX106" s="1">
        <v>6130.0</v>
      </c>
      <c r="AY106" s="1">
        <v>3.0</v>
      </c>
      <c r="AZ106" s="1" t="s">
        <v>133</v>
      </c>
      <c r="BA106" s="1" t="s">
        <v>121</v>
      </c>
    </row>
    <row r="107">
      <c r="A107" s="1" t="s">
        <v>1374</v>
      </c>
      <c r="B107" s="1" t="s">
        <v>53</v>
      </c>
      <c r="C107" s="1">
        <v>2002.0</v>
      </c>
      <c r="D107" s="1" t="s">
        <v>1375</v>
      </c>
      <c r="E107" s="1" t="s">
        <v>1376</v>
      </c>
      <c r="F107" s="1" t="s">
        <v>1377</v>
      </c>
      <c r="G107" s="1" t="s">
        <v>1378</v>
      </c>
      <c r="H107" s="1" t="s">
        <v>1379</v>
      </c>
      <c r="I107" s="1">
        <v>160.0</v>
      </c>
      <c r="K107" s="2" t="s">
        <v>1380</v>
      </c>
      <c r="L107" s="2" t="s">
        <v>76</v>
      </c>
      <c r="M107" s="1" t="s">
        <v>1374</v>
      </c>
      <c r="N107" s="1" t="s">
        <v>62</v>
      </c>
      <c r="O107" s="1" t="s">
        <v>92</v>
      </c>
      <c r="P107" s="1" t="s">
        <v>1381</v>
      </c>
      <c r="Q107" s="1">
        <v>20.849071</v>
      </c>
      <c r="R107" s="1">
        <v>-86.878374</v>
      </c>
      <c r="S107" s="1" t="s">
        <v>148</v>
      </c>
      <c r="T107" s="2" t="s">
        <v>66</v>
      </c>
      <c r="U107" s="1" t="s">
        <v>1287</v>
      </c>
      <c r="V107" s="3" t="s">
        <v>788</v>
      </c>
      <c r="W107" s="1" t="s">
        <v>1382</v>
      </c>
      <c r="X107" s="1" t="s">
        <v>70</v>
      </c>
      <c r="Y107" s="5" t="s">
        <v>76</v>
      </c>
      <c r="Z107" s="3" t="s">
        <v>76</v>
      </c>
      <c r="AB107" s="1">
        <v>2.0</v>
      </c>
      <c r="AI107" s="2" t="s">
        <v>72</v>
      </c>
      <c r="AJ107" s="1">
        <v>-550.0</v>
      </c>
      <c r="AK107" s="1">
        <v>1999.0</v>
      </c>
      <c r="AL107" s="2" t="s">
        <v>73</v>
      </c>
      <c r="AM107" s="3" t="s">
        <v>72</v>
      </c>
      <c r="AN107" s="2" t="s">
        <v>72</v>
      </c>
      <c r="AO107" s="2" t="s">
        <v>72</v>
      </c>
      <c r="AQ107" s="2" t="s">
        <v>75</v>
      </c>
      <c r="AR107" s="2" t="s">
        <v>76</v>
      </c>
      <c r="AS107" s="1">
        <v>1267.0</v>
      </c>
      <c r="AT107" s="1">
        <v>1267.0</v>
      </c>
      <c r="AU107" s="1">
        <v>517.0</v>
      </c>
      <c r="AV107" s="1">
        <v>40.0</v>
      </c>
      <c r="AW107" s="1">
        <v>141.0</v>
      </c>
      <c r="AX107" s="1">
        <v>4890.0</v>
      </c>
      <c r="AY107" s="1">
        <v>1.0</v>
      </c>
      <c r="AZ107" s="1" t="s">
        <v>658</v>
      </c>
      <c r="BA107" s="1" t="s">
        <v>659</v>
      </c>
    </row>
    <row r="108">
      <c r="A108" s="1" t="s">
        <v>195</v>
      </c>
      <c r="B108" s="1" t="s">
        <v>53</v>
      </c>
      <c r="C108" s="1">
        <v>2002.0</v>
      </c>
      <c r="D108" s="1" t="s">
        <v>196</v>
      </c>
      <c r="E108" s="1" t="s">
        <v>197</v>
      </c>
      <c r="F108" s="1" t="s">
        <v>198</v>
      </c>
      <c r="G108" s="1" t="s">
        <v>199</v>
      </c>
      <c r="H108" s="1" t="s">
        <v>200</v>
      </c>
      <c r="I108" s="1">
        <v>48.0</v>
      </c>
      <c r="J108" s="1">
        <v>4.0</v>
      </c>
      <c r="K108" s="2" t="s">
        <v>201</v>
      </c>
      <c r="L108" s="2" t="s">
        <v>60</v>
      </c>
      <c r="M108" s="1" t="s">
        <v>202</v>
      </c>
      <c r="N108" s="1" t="s">
        <v>62</v>
      </c>
      <c r="O108" s="1" t="s">
        <v>187</v>
      </c>
      <c r="P108" s="1" t="s">
        <v>203</v>
      </c>
      <c r="Q108" s="1">
        <v>18.441426</v>
      </c>
      <c r="R108" s="1">
        <v>-88.476495</v>
      </c>
      <c r="S108" s="1" t="s">
        <v>114</v>
      </c>
      <c r="T108" s="2" t="s">
        <v>204</v>
      </c>
      <c r="U108" s="2" t="s">
        <v>205</v>
      </c>
      <c r="V108" s="3" t="s">
        <v>97</v>
      </c>
      <c r="W108" s="1" t="s">
        <v>206</v>
      </c>
      <c r="X108" s="2" t="s">
        <v>83</v>
      </c>
      <c r="Y108" s="6" t="s">
        <v>76</v>
      </c>
      <c r="Z108" s="3" t="s">
        <v>76</v>
      </c>
      <c r="AD108" s="1">
        <v>13.0</v>
      </c>
      <c r="AJ108" s="1">
        <v>1889.0</v>
      </c>
      <c r="AK108" s="1">
        <v>1998.0</v>
      </c>
      <c r="AL108" s="2" t="s">
        <v>153</v>
      </c>
      <c r="AM108" s="2" t="s">
        <v>60</v>
      </c>
      <c r="AN108" s="2" t="s">
        <v>72</v>
      </c>
      <c r="AO108" s="2" t="s">
        <v>101</v>
      </c>
      <c r="AQ108" s="2" t="s">
        <v>75</v>
      </c>
      <c r="AR108" s="2" t="s">
        <v>76</v>
      </c>
      <c r="AS108" s="1">
        <v>1213.0</v>
      </c>
      <c r="AT108" s="1">
        <v>1213.0</v>
      </c>
      <c r="AU108" s="1">
        <v>500.0</v>
      </c>
      <c r="AV108" s="1">
        <v>23.0</v>
      </c>
      <c r="AW108" s="1">
        <v>86.0</v>
      </c>
      <c r="AX108" s="1">
        <v>6265.0</v>
      </c>
      <c r="AY108" s="1">
        <v>3.0</v>
      </c>
      <c r="AZ108" s="1" t="s">
        <v>133</v>
      </c>
      <c r="BA108" s="1" t="s">
        <v>121</v>
      </c>
    </row>
    <row r="109">
      <c r="A109" s="1" t="s">
        <v>195</v>
      </c>
      <c r="B109" s="1" t="s">
        <v>53</v>
      </c>
      <c r="C109" s="1">
        <v>2002.0</v>
      </c>
      <c r="D109" s="1" t="s">
        <v>196</v>
      </c>
      <c r="E109" s="1" t="s">
        <v>197</v>
      </c>
      <c r="F109" s="1" t="s">
        <v>198</v>
      </c>
      <c r="G109" s="1" t="s">
        <v>199</v>
      </c>
      <c r="H109" s="1" t="s">
        <v>200</v>
      </c>
      <c r="I109" s="1">
        <v>48.0</v>
      </c>
      <c r="J109" s="1">
        <v>4.0</v>
      </c>
      <c r="K109" s="2" t="s">
        <v>201</v>
      </c>
      <c r="L109" s="2" t="s">
        <v>60</v>
      </c>
      <c r="M109" s="1" t="s">
        <v>207</v>
      </c>
      <c r="N109" s="1" t="s">
        <v>62</v>
      </c>
      <c r="O109" s="1" t="s">
        <v>187</v>
      </c>
      <c r="P109" s="1" t="s">
        <v>208</v>
      </c>
      <c r="Q109" s="1">
        <v>18.385586</v>
      </c>
      <c r="R109" s="1">
        <v>-88.470017</v>
      </c>
      <c r="S109" s="1" t="s">
        <v>114</v>
      </c>
      <c r="T109" s="2" t="s">
        <v>204</v>
      </c>
      <c r="U109" s="2" t="s">
        <v>205</v>
      </c>
      <c r="V109" s="3" t="s">
        <v>97</v>
      </c>
      <c r="W109" s="1" t="s">
        <v>206</v>
      </c>
      <c r="X109" s="2" t="s">
        <v>83</v>
      </c>
      <c r="Y109" s="6" t="s">
        <v>76</v>
      </c>
      <c r="Z109" s="3" t="s">
        <v>76</v>
      </c>
      <c r="AD109" s="1">
        <v>15.0</v>
      </c>
      <c r="AJ109" s="1">
        <v>1880.0</v>
      </c>
      <c r="AK109" s="1">
        <v>1998.0</v>
      </c>
      <c r="AL109" s="2" t="s">
        <v>153</v>
      </c>
      <c r="AM109" s="2" t="s">
        <v>60</v>
      </c>
      <c r="AN109" s="2" t="s">
        <v>72</v>
      </c>
      <c r="AO109" s="2" t="s">
        <v>101</v>
      </c>
      <c r="AQ109" s="2" t="s">
        <v>75</v>
      </c>
      <c r="AR109" s="2" t="s">
        <v>76</v>
      </c>
      <c r="AS109" s="1">
        <v>1249.0</v>
      </c>
      <c r="AT109" s="1">
        <v>1249.0</v>
      </c>
      <c r="AU109" s="1">
        <v>516.0</v>
      </c>
      <c r="AV109" s="1">
        <v>23.0</v>
      </c>
      <c r="AW109" s="1">
        <v>86.0</v>
      </c>
      <c r="AX109" s="1">
        <v>6353.0</v>
      </c>
      <c r="AY109" s="1">
        <v>14.0</v>
      </c>
      <c r="AZ109" s="1" t="s">
        <v>133</v>
      </c>
      <c r="BA109" s="1" t="s">
        <v>121</v>
      </c>
    </row>
    <row r="110">
      <c r="A110" s="1" t="s">
        <v>195</v>
      </c>
      <c r="B110" s="1" t="s">
        <v>53</v>
      </c>
      <c r="C110" s="1">
        <v>2002.0</v>
      </c>
      <c r="D110" s="1" t="s">
        <v>196</v>
      </c>
      <c r="E110" s="1" t="s">
        <v>197</v>
      </c>
      <c r="F110" s="1" t="s">
        <v>198</v>
      </c>
      <c r="G110" s="1" t="s">
        <v>199</v>
      </c>
      <c r="H110" s="1" t="s">
        <v>200</v>
      </c>
      <c r="I110" s="1">
        <v>48.0</v>
      </c>
      <c r="J110" s="1">
        <v>4.0</v>
      </c>
      <c r="K110" s="2" t="s">
        <v>201</v>
      </c>
      <c r="L110" s="2" t="s">
        <v>60</v>
      </c>
      <c r="M110" s="1" t="s">
        <v>209</v>
      </c>
      <c r="N110" s="1" t="s">
        <v>62</v>
      </c>
      <c r="O110" s="1" t="s">
        <v>187</v>
      </c>
      <c r="P110" s="1" t="s">
        <v>210</v>
      </c>
      <c r="Q110" s="1">
        <v>18.0866</v>
      </c>
      <c r="R110" s="1">
        <v>-88.448328</v>
      </c>
      <c r="S110" s="1" t="s">
        <v>114</v>
      </c>
      <c r="T110" s="2" t="s">
        <v>204</v>
      </c>
      <c r="U110" s="2" t="s">
        <v>205</v>
      </c>
      <c r="V110" s="3" t="s">
        <v>97</v>
      </c>
      <c r="W110" s="1" t="s">
        <v>206</v>
      </c>
      <c r="X110" s="2" t="s">
        <v>83</v>
      </c>
      <c r="Y110" s="6" t="s">
        <v>76</v>
      </c>
      <c r="Z110" s="3" t="s">
        <v>76</v>
      </c>
      <c r="AD110" s="1">
        <v>15.0</v>
      </c>
      <c r="AJ110" s="1">
        <v>1898.0</v>
      </c>
      <c r="AK110" s="1">
        <v>1998.0</v>
      </c>
      <c r="AL110" s="2" t="s">
        <v>153</v>
      </c>
      <c r="AM110" s="2" t="s">
        <v>60</v>
      </c>
      <c r="AN110" s="2" t="s">
        <v>72</v>
      </c>
      <c r="AO110" s="2" t="s">
        <v>101</v>
      </c>
      <c r="AQ110" s="2" t="s">
        <v>75</v>
      </c>
      <c r="AR110" s="2" t="s">
        <v>76</v>
      </c>
      <c r="AS110" s="1">
        <v>1484.0</v>
      </c>
      <c r="AT110" s="1">
        <v>1484.0</v>
      </c>
      <c r="AU110" s="1">
        <v>582.0</v>
      </c>
      <c r="AV110" s="1">
        <v>33.0</v>
      </c>
      <c r="AW110" s="1">
        <v>113.0</v>
      </c>
      <c r="AX110" s="1">
        <v>5756.0</v>
      </c>
      <c r="AY110" s="1">
        <v>10.0</v>
      </c>
      <c r="AZ110" s="1" t="s">
        <v>133</v>
      </c>
      <c r="BA110" s="1" t="s">
        <v>121</v>
      </c>
    </row>
    <row r="111">
      <c r="A111" s="1" t="s">
        <v>195</v>
      </c>
      <c r="B111" s="1" t="s">
        <v>53</v>
      </c>
      <c r="C111" s="1">
        <v>2002.0</v>
      </c>
      <c r="D111" s="1" t="s">
        <v>196</v>
      </c>
      <c r="E111" s="1" t="s">
        <v>197</v>
      </c>
      <c r="F111" s="1" t="s">
        <v>198</v>
      </c>
      <c r="G111" s="1" t="s">
        <v>199</v>
      </c>
      <c r="H111" s="1" t="s">
        <v>200</v>
      </c>
      <c r="I111" s="1">
        <v>48.0</v>
      </c>
      <c r="J111" s="1">
        <v>4.0</v>
      </c>
      <c r="K111" s="2" t="s">
        <v>201</v>
      </c>
      <c r="L111" s="2" t="s">
        <v>60</v>
      </c>
      <c r="M111" s="1" t="s">
        <v>211</v>
      </c>
      <c r="N111" s="1" t="s">
        <v>62</v>
      </c>
      <c r="O111" s="1" t="s">
        <v>187</v>
      </c>
      <c r="P111" s="1" t="s">
        <v>212</v>
      </c>
      <c r="Q111" s="1">
        <v>17.98935</v>
      </c>
      <c r="R111" s="1">
        <v>-88.466374</v>
      </c>
      <c r="S111" s="1" t="s">
        <v>114</v>
      </c>
      <c r="T111" s="2" t="s">
        <v>204</v>
      </c>
      <c r="U111" s="2" t="s">
        <v>205</v>
      </c>
      <c r="V111" s="3" t="s">
        <v>97</v>
      </c>
      <c r="W111" s="1" t="s">
        <v>206</v>
      </c>
      <c r="X111" s="2" t="s">
        <v>83</v>
      </c>
      <c r="Y111" s="6" t="s">
        <v>76</v>
      </c>
      <c r="Z111" s="3" t="s">
        <v>76</v>
      </c>
      <c r="AD111" s="1">
        <v>13.0</v>
      </c>
      <c r="AJ111" s="1">
        <v>1857.0</v>
      </c>
      <c r="AK111" s="1">
        <v>1998.0</v>
      </c>
      <c r="AL111" s="2" t="s">
        <v>153</v>
      </c>
      <c r="AM111" s="2" t="s">
        <v>60</v>
      </c>
      <c r="AN111" s="2" t="s">
        <v>72</v>
      </c>
      <c r="AO111" s="2" t="s">
        <v>101</v>
      </c>
      <c r="AQ111" s="2" t="s">
        <v>75</v>
      </c>
      <c r="AR111" s="2" t="s">
        <v>76</v>
      </c>
      <c r="AS111" s="1">
        <v>1563.0</v>
      </c>
      <c r="AT111" s="1">
        <v>1563.0</v>
      </c>
      <c r="AU111" s="1">
        <v>606.0</v>
      </c>
      <c r="AV111" s="1">
        <v>40.0</v>
      </c>
      <c r="AW111" s="1">
        <v>126.0</v>
      </c>
      <c r="AX111" s="1">
        <v>5565.0</v>
      </c>
      <c r="AY111" s="1">
        <v>20.0</v>
      </c>
      <c r="AZ111" s="1" t="s">
        <v>133</v>
      </c>
      <c r="BA111" s="1" t="s">
        <v>121</v>
      </c>
    </row>
    <row r="112">
      <c r="A112" s="1" t="s">
        <v>195</v>
      </c>
      <c r="B112" s="1" t="s">
        <v>53</v>
      </c>
      <c r="C112" s="1">
        <v>2002.0</v>
      </c>
      <c r="D112" s="1" t="s">
        <v>196</v>
      </c>
      <c r="E112" s="1" t="s">
        <v>197</v>
      </c>
      <c r="F112" s="1" t="s">
        <v>198</v>
      </c>
      <c r="G112" s="1" t="s">
        <v>199</v>
      </c>
      <c r="H112" s="1" t="s">
        <v>200</v>
      </c>
      <c r="I112" s="1">
        <v>48.0</v>
      </c>
      <c r="J112" s="1">
        <v>4.0</v>
      </c>
      <c r="K112" s="2" t="s">
        <v>201</v>
      </c>
      <c r="L112" s="2" t="s">
        <v>60</v>
      </c>
      <c r="M112" s="1" t="s">
        <v>213</v>
      </c>
      <c r="N112" s="1" t="s">
        <v>62</v>
      </c>
      <c r="O112" s="1" t="s">
        <v>187</v>
      </c>
      <c r="P112" s="1" t="s">
        <v>214</v>
      </c>
      <c r="Q112" s="1">
        <v>17.988299</v>
      </c>
      <c r="R112" s="1">
        <v>-88.511265</v>
      </c>
      <c r="S112" s="1" t="s">
        <v>114</v>
      </c>
      <c r="T112" s="2" t="s">
        <v>204</v>
      </c>
      <c r="U112" s="2" t="s">
        <v>205</v>
      </c>
      <c r="V112" s="3" t="s">
        <v>97</v>
      </c>
      <c r="W112" s="1" t="s">
        <v>206</v>
      </c>
      <c r="X112" s="2" t="s">
        <v>83</v>
      </c>
      <c r="Y112" s="6" t="s">
        <v>76</v>
      </c>
      <c r="Z112" s="3" t="s">
        <v>76</v>
      </c>
      <c r="AD112" s="1">
        <v>13.0</v>
      </c>
      <c r="AJ112" s="1">
        <v>1868.0</v>
      </c>
      <c r="AK112" s="1">
        <v>1998.0</v>
      </c>
      <c r="AL112" s="2" t="s">
        <v>153</v>
      </c>
      <c r="AM112" s="2" t="s">
        <v>60</v>
      </c>
      <c r="AN112" s="2" t="s">
        <v>72</v>
      </c>
      <c r="AO112" s="2" t="s">
        <v>101</v>
      </c>
      <c r="AQ112" s="2" t="s">
        <v>75</v>
      </c>
      <c r="AR112" s="2" t="s">
        <v>76</v>
      </c>
      <c r="AS112" s="1">
        <v>1550.0</v>
      </c>
      <c r="AT112" s="1">
        <v>1550.0</v>
      </c>
      <c r="AU112" s="1">
        <v>608.0</v>
      </c>
      <c r="AV112" s="1">
        <v>38.0</v>
      </c>
      <c r="AW112" s="1">
        <v>124.0</v>
      </c>
      <c r="AX112" s="1">
        <v>5599.0</v>
      </c>
      <c r="AY112" s="1">
        <v>41.0</v>
      </c>
      <c r="AZ112" s="1" t="s">
        <v>133</v>
      </c>
      <c r="BA112" s="1" t="s">
        <v>121</v>
      </c>
    </row>
    <row r="113">
      <c r="A113" s="1" t="s">
        <v>195</v>
      </c>
      <c r="B113" s="1" t="s">
        <v>53</v>
      </c>
      <c r="C113" s="1">
        <v>2002.0</v>
      </c>
      <c r="D113" s="1" t="s">
        <v>196</v>
      </c>
      <c r="E113" s="1" t="s">
        <v>197</v>
      </c>
      <c r="F113" s="1" t="s">
        <v>198</v>
      </c>
      <c r="G113" s="1" t="s">
        <v>199</v>
      </c>
      <c r="H113" s="1" t="s">
        <v>200</v>
      </c>
      <c r="I113" s="1">
        <v>48.0</v>
      </c>
      <c r="J113" s="1">
        <v>4.0</v>
      </c>
      <c r="K113" s="2" t="s">
        <v>201</v>
      </c>
      <c r="L113" s="2" t="s">
        <v>60</v>
      </c>
      <c r="M113" s="1" t="s">
        <v>215</v>
      </c>
      <c r="N113" s="1" t="s">
        <v>62</v>
      </c>
      <c r="O113" s="1" t="s">
        <v>187</v>
      </c>
      <c r="P113" s="1" t="s">
        <v>216</v>
      </c>
      <c r="Q113" s="1">
        <v>17.986626</v>
      </c>
      <c r="R113" s="1">
        <v>-88.417657</v>
      </c>
      <c r="S113" s="1" t="s">
        <v>114</v>
      </c>
      <c r="T113" s="2" t="s">
        <v>204</v>
      </c>
      <c r="U113" s="2" t="s">
        <v>205</v>
      </c>
      <c r="V113" s="3" t="s">
        <v>97</v>
      </c>
      <c r="W113" s="1" t="s">
        <v>206</v>
      </c>
      <c r="X113" s="2" t="s">
        <v>83</v>
      </c>
      <c r="Y113" s="6" t="s">
        <v>76</v>
      </c>
      <c r="Z113" s="3" t="s">
        <v>76</v>
      </c>
      <c r="AD113" s="1">
        <v>14.0</v>
      </c>
      <c r="AJ113" s="1">
        <v>1855.0</v>
      </c>
      <c r="AK113" s="1">
        <v>1998.0</v>
      </c>
      <c r="AL113" s="2" t="s">
        <v>153</v>
      </c>
      <c r="AM113" s="2" t="s">
        <v>60</v>
      </c>
      <c r="AN113" s="2" t="s">
        <v>72</v>
      </c>
      <c r="AO113" s="2" t="s">
        <v>101</v>
      </c>
      <c r="AQ113" s="2" t="s">
        <v>75</v>
      </c>
      <c r="AR113" s="2" t="s">
        <v>76</v>
      </c>
      <c r="AS113" s="1">
        <v>1575.0</v>
      </c>
      <c r="AT113" s="1">
        <v>1575.0</v>
      </c>
      <c r="AU113" s="1">
        <v>608.0</v>
      </c>
      <c r="AV113" s="1">
        <v>40.0</v>
      </c>
      <c r="AW113" s="1">
        <v>126.0</v>
      </c>
      <c r="AX113" s="1">
        <v>5511.0</v>
      </c>
      <c r="AY113" s="1">
        <v>18.0</v>
      </c>
      <c r="AZ113" s="1" t="s">
        <v>133</v>
      </c>
      <c r="BA113" s="1" t="s">
        <v>121</v>
      </c>
    </row>
    <row r="114">
      <c r="A114" s="1" t="s">
        <v>1550</v>
      </c>
      <c r="B114" s="1" t="s">
        <v>53</v>
      </c>
      <c r="C114" s="1">
        <v>2002.0</v>
      </c>
      <c r="D114" s="1" t="s">
        <v>1551</v>
      </c>
      <c r="E114" s="1" t="s">
        <v>1552</v>
      </c>
      <c r="F114" s="1" t="s">
        <v>303</v>
      </c>
      <c r="G114" s="1" t="s">
        <v>1553</v>
      </c>
      <c r="H114" s="1" t="s">
        <v>1554</v>
      </c>
      <c r="I114" s="1">
        <v>57.0</v>
      </c>
      <c r="K114" s="2" t="s">
        <v>1555</v>
      </c>
      <c r="L114" s="2" t="s">
        <v>60</v>
      </c>
      <c r="M114" s="1" t="s">
        <v>1556</v>
      </c>
      <c r="N114" s="1" t="s">
        <v>62</v>
      </c>
      <c r="O114" s="1" t="s">
        <v>167</v>
      </c>
      <c r="P114" s="1" t="s">
        <v>878</v>
      </c>
      <c r="Q114" s="1">
        <v>16.98567</v>
      </c>
      <c r="R114" s="1">
        <v>-89.674358</v>
      </c>
      <c r="S114" s="1" t="s">
        <v>148</v>
      </c>
      <c r="T114" s="2" t="s">
        <v>95</v>
      </c>
      <c r="U114" s="1" t="s">
        <v>1557</v>
      </c>
      <c r="V114" s="3" t="s">
        <v>97</v>
      </c>
      <c r="W114" s="1" t="s">
        <v>264</v>
      </c>
      <c r="X114" s="1" t="s">
        <v>728</v>
      </c>
      <c r="Y114" s="6" t="s">
        <v>76</v>
      </c>
      <c r="Z114" s="3" t="s">
        <v>76</v>
      </c>
      <c r="AB114" s="1">
        <v>17.0</v>
      </c>
      <c r="AI114" s="1" t="s">
        <v>1558</v>
      </c>
      <c r="AJ114" s="1">
        <v>-1550.0</v>
      </c>
      <c r="AK114" s="1">
        <v>1999.0</v>
      </c>
      <c r="AL114" s="3" t="s">
        <v>153</v>
      </c>
      <c r="AM114" s="2" t="s">
        <v>72</v>
      </c>
      <c r="AN114" s="1" t="s">
        <v>400</v>
      </c>
      <c r="AO114" s="2" t="s">
        <v>76</v>
      </c>
      <c r="AQ114" s="2" t="s">
        <v>102</v>
      </c>
      <c r="AR114" s="2" t="s">
        <v>76</v>
      </c>
      <c r="AS114" s="1">
        <v>1757.0</v>
      </c>
      <c r="AT114" s="1">
        <v>1757.0</v>
      </c>
      <c r="AU114" s="1">
        <v>704.0</v>
      </c>
      <c r="AV114" s="1">
        <v>37.0</v>
      </c>
      <c r="AW114" s="1">
        <v>141.0</v>
      </c>
      <c r="AX114" s="1">
        <v>5662.0</v>
      </c>
      <c r="AY114" s="1">
        <v>118.0</v>
      </c>
      <c r="AZ114" s="1" t="s">
        <v>133</v>
      </c>
      <c r="BA114" s="1" t="s">
        <v>121</v>
      </c>
    </row>
    <row r="115">
      <c r="A115" s="1" t="s">
        <v>1550</v>
      </c>
      <c r="B115" s="1" t="s">
        <v>53</v>
      </c>
      <c r="C115" s="1">
        <v>2002.0</v>
      </c>
      <c r="D115" s="1" t="s">
        <v>1551</v>
      </c>
      <c r="E115" s="1" t="s">
        <v>1552</v>
      </c>
      <c r="F115" s="1" t="s">
        <v>303</v>
      </c>
      <c r="G115" s="1" t="s">
        <v>1559</v>
      </c>
      <c r="H115" s="1" t="s">
        <v>1554</v>
      </c>
      <c r="I115" s="1">
        <v>57.0</v>
      </c>
      <c r="K115" s="2" t="s">
        <v>1555</v>
      </c>
      <c r="L115" s="2" t="s">
        <v>60</v>
      </c>
      <c r="M115" s="1" t="s">
        <v>1560</v>
      </c>
      <c r="N115" s="1" t="s">
        <v>62</v>
      </c>
      <c r="O115" s="1" t="s">
        <v>167</v>
      </c>
      <c r="P115" s="1" t="s">
        <v>878</v>
      </c>
      <c r="Q115" s="1">
        <v>16.98567</v>
      </c>
      <c r="R115" s="1">
        <v>-89.674358</v>
      </c>
      <c r="S115" s="1" t="s">
        <v>148</v>
      </c>
      <c r="T115" s="2" t="s">
        <v>194</v>
      </c>
      <c r="U115" s="1" t="s">
        <v>173</v>
      </c>
      <c r="V115" s="3" t="s">
        <v>68</v>
      </c>
      <c r="W115" s="1" t="s">
        <v>888</v>
      </c>
      <c r="X115" s="1" t="s">
        <v>70</v>
      </c>
      <c r="Y115" s="6" t="s">
        <v>76</v>
      </c>
      <c r="Z115" s="3" t="s">
        <v>173</v>
      </c>
      <c r="AB115" s="1">
        <v>17.0</v>
      </c>
      <c r="AI115" s="1" t="s">
        <v>1558</v>
      </c>
      <c r="AJ115" s="1">
        <v>-1550.0</v>
      </c>
      <c r="AK115" s="1">
        <v>1999.0</v>
      </c>
      <c r="AL115" s="3" t="s">
        <v>153</v>
      </c>
      <c r="AM115" s="2" t="s">
        <v>72</v>
      </c>
      <c r="AN115" s="1" t="s">
        <v>400</v>
      </c>
      <c r="AO115" s="2" t="s">
        <v>76</v>
      </c>
      <c r="AQ115" s="2" t="s">
        <v>102</v>
      </c>
      <c r="AR115" s="2" t="s">
        <v>76</v>
      </c>
      <c r="AS115" s="1">
        <v>1757.0</v>
      </c>
      <c r="AT115" s="1">
        <v>1757.0</v>
      </c>
      <c r="AU115" s="1">
        <v>704.0</v>
      </c>
      <c r="AV115" s="1">
        <v>37.0</v>
      </c>
      <c r="AW115" s="1">
        <v>141.0</v>
      </c>
      <c r="AX115" s="1">
        <v>5662.0</v>
      </c>
      <c r="AY115" s="1">
        <v>118.0</v>
      </c>
      <c r="AZ115" s="1" t="s">
        <v>133</v>
      </c>
      <c r="BA115" s="1" t="s">
        <v>121</v>
      </c>
    </row>
    <row r="116">
      <c r="A116" s="1" t="s">
        <v>1550</v>
      </c>
      <c r="B116" s="1" t="s">
        <v>53</v>
      </c>
      <c r="C116" s="1">
        <v>2002.0</v>
      </c>
      <c r="D116" s="1" t="s">
        <v>1551</v>
      </c>
      <c r="E116" s="1" t="s">
        <v>1552</v>
      </c>
      <c r="F116" s="1" t="s">
        <v>303</v>
      </c>
      <c r="G116" s="1" t="s">
        <v>1559</v>
      </c>
      <c r="H116" s="1" t="s">
        <v>1554</v>
      </c>
      <c r="I116" s="1">
        <v>57.0</v>
      </c>
      <c r="K116" s="2" t="s">
        <v>1555</v>
      </c>
      <c r="L116" s="2" t="s">
        <v>60</v>
      </c>
      <c r="M116" s="1" t="s">
        <v>1561</v>
      </c>
      <c r="N116" s="1" t="s">
        <v>62</v>
      </c>
      <c r="O116" s="1" t="s">
        <v>167</v>
      </c>
      <c r="P116" s="1" t="s">
        <v>878</v>
      </c>
      <c r="Q116" s="1">
        <v>16.98567</v>
      </c>
      <c r="R116" s="1">
        <v>-89.674358</v>
      </c>
      <c r="S116" s="1" t="s">
        <v>148</v>
      </c>
      <c r="T116" s="2" t="s">
        <v>189</v>
      </c>
      <c r="U116" s="1" t="s">
        <v>173</v>
      </c>
      <c r="V116" s="3" t="s">
        <v>68</v>
      </c>
      <c r="W116" s="1" t="s">
        <v>879</v>
      </c>
      <c r="X116" s="1" t="s">
        <v>70</v>
      </c>
      <c r="Y116" s="6" t="s">
        <v>76</v>
      </c>
      <c r="Z116" s="3" t="s">
        <v>173</v>
      </c>
      <c r="AB116" s="1">
        <v>17.0</v>
      </c>
      <c r="AI116" s="1" t="s">
        <v>1558</v>
      </c>
      <c r="AJ116" s="1">
        <v>-1550.0</v>
      </c>
      <c r="AK116" s="1">
        <v>1999.0</v>
      </c>
      <c r="AL116" s="3" t="s">
        <v>153</v>
      </c>
      <c r="AM116" s="2" t="s">
        <v>72</v>
      </c>
      <c r="AN116" s="1" t="s">
        <v>400</v>
      </c>
      <c r="AO116" s="2" t="s">
        <v>76</v>
      </c>
      <c r="AQ116" s="2" t="s">
        <v>102</v>
      </c>
      <c r="AR116" s="2" t="s">
        <v>76</v>
      </c>
      <c r="AS116" s="1">
        <v>1757.0</v>
      </c>
      <c r="AT116" s="1">
        <v>1757.0</v>
      </c>
      <c r="AU116" s="1">
        <v>704.0</v>
      </c>
      <c r="AV116" s="1">
        <v>37.0</v>
      </c>
      <c r="AW116" s="1">
        <v>141.0</v>
      </c>
      <c r="AX116" s="1">
        <v>5662.0</v>
      </c>
      <c r="AY116" s="1">
        <v>118.0</v>
      </c>
      <c r="AZ116" s="1" t="s">
        <v>133</v>
      </c>
      <c r="BA116" s="1" t="s">
        <v>121</v>
      </c>
    </row>
    <row r="117">
      <c r="A117" s="1" t="s">
        <v>871</v>
      </c>
      <c r="B117" s="1" t="s">
        <v>53</v>
      </c>
      <c r="C117" s="1">
        <v>2002.0</v>
      </c>
      <c r="D117" s="1" t="s">
        <v>872</v>
      </c>
      <c r="E117" s="1" t="s">
        <v>873</v>
      </c>
      <c r="F117" s="1" t="s">
        <v>732</v>
      </c>
      <c r="G117" s="1" t="s">
        <v>874</v>
      </c>
      <c r="H117" s="1" t="s">
        <v>875</v>
      </c>
      <c r="I117" s="1">
        <v>27.0</v>
      </c>
      <c r="J117" s="1">
        <v>1.0</v>
      </c>
      <c r="K117" s="2" t="s">
        <v>876</v>
      </c>
      <c r="L117" s="2" t="s">
        <v>60</v>
      </c>
      <c r="M117" s="1" t="s">
        <v>877</v>
      </c>
      <c r="N117" s="1" t="s">
        <v>62</v>
      </c>
      <c r="O117" s="1" t="s">
        <v>167</v>
      </c>
      <c r="P117" s="1" t="s">
        <v>878</v>
      </c>
      <c r="Q117" s="1">
        <v>16.98567</v>
      </c>
      <c r="R117" s="1">
        <v>-89.674358</v>
      </c>
      <c r="S117" s="1" t="s">
        <v>148</v>
      </c>
      <c r="T117" s="2" t="s">
        <v>189</v>
      </c>
      <c r="U117" s="1" t="s">
        <v>116</v>
      </c>
      <c r="V117" s="3" t="s">
        <v>68</v>
      </c>
      <c r="W117" s="1" t="s">
        <v>879</v>
      </c>
      <c r="X117" s="2" t="s">
        <v>70</v>
      </c>
      <c r="Y117" s="6" t="s">
        <v>76</v>
      </c>
      <c r="Z117" s="3" t="s">
        <v>173</v>
      </c>
      <c r="AB117" s="1">
        <v>8.0</v>
      </c>
      <c r="AI117" s="2" t="s">
        <v>72</v>
      </c>
      <c r="AJ117" s="1">
        <v>-6830.0</v>
      </c>
      <c r="AK117" s="1">
        <v>1950.0</v>
      </c>
      <c r="AL117" s="3" t="s">
        <v>73</v>
      </c>
      <c r="AM117" s="2" t="s">
        <v>76</v>
      </c>
      <c r="AN117" s="1" t="s">
        <v>400</v>
      </c>
      <c r="AO117" s="2" t="s">
        <v>72</v>
      </c>
      <c r="AQ117" s="2" t="s">
        <v>576</v>
      </c>
      <c r="AR117" s="2" t="s">
        <v>76</v>
      </c>
      <c r="AS117" s="1">
        <v>1757.0</v>
      </c>
      <c r="AT117" s="1">
        <v>1757.0</v>
      </c>
      <c r="AU117" s="1">
        <v>704.0</v>
      </c>
      <c r="AV117" s="1">
        <v>37.0</v>
      </c>
      <c r="AW117" s="1">
        <v>141.0</v>
      </c>
      <c r="AX117" s="1">
        <v>5662.0</v>
      </c>
      <c r="AY117" s="1">
        <v>118.0</v>
      </c>
      <c r="AZ117" s="1" t="s">
        <v>133</v>
      </c>
      <c r="BA117" s="1" t="s">
        <v>121</v>
      </c>
    </row>
    <row r="118">
      <c r="A118" s="1" t="s">
        <v>871</v>
      </c>
      <c r="B118" s="1" t="s">
        <v>53</v>
      </c>
      <c r="C118" s="1">
        <v>2002.0</v>
      </c>
      <c r="D118" s="1" t="s">
        <v>872</v>
      </c>
      <c r="E118" s="1" t="s">
        <v>873</v>
      </c>
      <c r="F118" s="1" t="s">
        <v>732</v>
      </c>
      <c r="G118" s="1" t="s">
        <v>874</v>
      </c>
      <c r="H118" s="1" t="s">
        <v>875</v>
      </c>
      <c r="I118" s="1">
        <v>27.0</v>
      </c>
      <c r="J118" s="1">
        <v>1.0</v>
      </c>
      <c r="K118" s="2" t="s">
        <v>876</v>
      </c>
      <c r="L118" s="2" t="s">
        <v>60</v>
      </c>
      <c r="M118" s="1" t="s">
        <v>880</v>
      </c>
      <c r="N118" s="1" t="s">
        <v>62</v>
      </c>
      <c r="O118" s="1" t="s">
        <v>167</v>
      </c>
      <c r="P118" s="1" t="s">
        <v>878</v>
      </c>
      <c r="Q118" s="1">
        <v>16.98567</v>
      </c>
      <c r="R118" s="1">
        <v>-89.674358</v>
      </c>
      <c r="S118" s="1" t="s">
        <v>148</v>
      </c>
      <c r="T118" s="2" t="s">
        <v>189</v>
      </c>
      <c r="U118" s="1" t="s">
        <v>116</v>
      </c>
      <c r="V118" s="3" t="s">
        <v>68</v>
      </c>
      <c r="W118" s="1" t="s">
        <v>879</v>
      </c>
      <c r="X118" s="2" t="s">
        <v>70</v>
      </c>
      <c r="Y118" s="6" t="s">
        <v>76</v>
      </c>
      <c r="Z118" s="3" t="s">
        <v>173</v>
      </c>
      <c r="AB118" s="1">
        <v>9.0</v>
      </c>
      <c r="AI118" s="2" t="s">
        <v>72</v>
      </c>
      <c r="AJ118" s="1">
        <v>-6270.0</v>
      </c>
      <c r="AK118" s="1">
        <v>1950.0</v>
      </c>
      <c r="AL118" s="3" t="s">
        <v>73</v>
      </c>
      <c r="AM118" s="2" t="s">
        <v>76</v>
      </c>
      <c r="AN118" s="1" t="s">
        <v>400</v>
      </c>
      <c r="AO118" s="2" t="s">
        <v>72</v>
      </c>
      <c r="AQ118" s="2" t="s">
        <v>576</v>
      </c>
      <c r="AR118" s="2" t="s">
        <v>76</v>
      </c>
      <c r="AS118" s="1">
        <v>1757.0</v>
      </c>
      <c r="AT118" s="1">
        <v>1757.0</v>
      </c>
      <c r="AU118" s="1">
        <v>704.0</v>
      </c>
      <c r="AV118" s="1">
        <v>37.0</v>
      </c>
      <c r="AW118" s="1">
        <v>141.0</v>
      </c>
      <c r="AX118" s="1">
        <v>5662.0</v>
      </c>
      <c r="AY118" s="1">
        <v>118.0</v>
      </c>
      <c r="AZ118" s="1" t="s">
        <v>133</v>
      </c>
      <c r="BA118" s="1" t="s">
        <v>121</v>
      </c>
    </row>
    <row r="119">
      <c r="A119" s="1" t="s">
        <v>871</v>
      </c>
      <c r="B119" s="1" t="s">
        <v>53</v>
      </c>
      <c r="C119" s="1">
        <v>2002.0</v>
      </c>
      <c r="D119" s="1" t="s">
        <v>872</v>
      </c>
      <c r="E119" s="1" t="s">
        <v>873</v>
      </c>
      <c r="F119" s="1" t="s">
        <v>732</v>
      </c>
      <c r="G119" s="1" t="s">
        <v>874</v>
      </c>
      <c r="H119" s="1" t="s">
        <v>875</v>
      </c>
      <c r="I119" s="1">
        <v>27.0</v>
      </c>
      <c r="J119" s="1">
        <v>1.0</v>
      </c>
      <c r="K119" s="2" t="s">
        <v>876</v>
      </c>
      <c r="L119" s="2" t="s">
        <v>60</v>
      </c>
      <c r="M119" s="1" t="s">
        <v>881</v>
      </c>
      <c r="N119" s="1" t="s">
        <v>62</v>
      </c>
      <c r="O119" s="1" t="s">
        <v>167</v>
      </c>
      <c r="P119" s="1" t="s">
        <v>878</v>
      </c>
      <c r="Q119" s="1">
        <v>16.98567</v>
      </c>
      <c r="R119" s="1">
        <v>-89.674358</v>
      </c>
      <c r="S119" s="1" t="s">
        <v>148</v>
      </c>
      <c r="T119" s="2" t="s">
        <v>95</v>
      </c>
      <c r="U119" s="2" t="s">
        <v>96</v>
      </c>
      <c r="V119" s="3" t="s">
        <v>97</v>
      </c>
      <c r="W119" s="1" t="s">
        <v>882</v>
      </c>
      <c r="X119" s="1" t="s">
        <v>256</v>
      </c>
      <c r="Y119" s="6" t="s">
        <v>76</v>
      </c>
      <c r="Z119" s="3" t="s">
        <v>76</v>
      </c>
      <c r="AB119" s="1">
        <v>8.0</v>
      </c>
      <c r="AI119" s="2" t="s">
        <v>72</v>
      </c>
      <c r="AJ119" s="1">
        <v>-6830.0</v>
      </c>
      <c r="AK119" s="1">
        <v>1950.0</v>
      </c>
      <c r="AL119" s="3" t="s">
        <v>73</v>
      </c>
      <c r="AM119" s="2" t="s">
        <v>76</v>
      </c>
      <c r="AN119" s="1" t="s">
        <v>400</v>
      </c>
      <c r="AO119" s="2" t="s">
        <v>72</v>
      </c>
      <c r="AQ119" s="2" t="s">
        <v>576</v>
      </c>
      <c r="AR119" s="2" t="s">
        <v>76</v>
      </c>
      <c r="AS119" s="1">
        <v>1757.0</v>
      </c>
      <c r="AT119" s="1">
        <v>1757.0</v>
      </c>
      <c r="AU119" s="1">
        <v>704.0</v>
      </c>
      <c r="AV119" s="1">
        <v>37.0</v>
      </c>
      <c r="AW119" s="1">
        <v>141.0</v>
      </c>
      <c r="AX119" s="1">
        <v>5662.0</v>
      </c>
      <c r="AY119" s="1">
        <v>118.0</v>
      </c>
      <c r="AZ119" s="1" t="s">
        <v>133</v>
      </c>
      <c r="BA119" s="1" t="s">
        <v>121</v>
      </c>
    </row>
    <row r="120">
      <c r="A120" s="1" t="s">
        <v>871</v>
      </c>
      <c r="B120" s="1" t="s">
        <v>53</v>
      </c>
      <c r="C120" s="1">
        <v>2002.0</v>
      </c>
      <c r="D120" s="1" t="s">
        <v>872</v>
      </c>
      <c r="E120" s="1" t="s">
        <v>873</v>
      </c>
      <c r="F120" s="1" t="s">
        <v>732</v>
      </c>
      <c r="G120" s="1" t="s">
        <v>874</v>
      </c>
      <c r="H120" s="1" t="s">
        <v>875</v>
      </c>
      <c r="I120" s="1">
        <v>27.0</v>
      </c>
      <c r="J120" s="1">
        <v>1.0</v>
      </c>
      <c r="K120" s="2" t="s">
        <v>876</v>
      </c>
      <c r="L120" s="2" t="s">
        <v>60</v>
      </c>
      <c r="M120" s="1" t="s">
        <v>883</v>
      </c>
      <c r="N120" s="1" t="s">
        <v>62</v>
      </c>
      <c r="O120" s="1" t="s">
        <v>167</v>
      </c>
      <c r="P120" s="1" t="s">
        <v>878</v>
      </c>
      <c r="Q120" s="1">
        <v>16.98567</v>
      </c>
      <c r="R120" s="1">
        <v>-89.674358</v>
      </c>
      <c r="S120" s="1" t="s">
        <v>148</v>
      </c>
      <c r="T120" s="2" t="s">
        <v>95</v>
      </c>
      <c r="U120" s="2" t="s">
        <v>96</v>
      </c>
      <c r="V120" s="3" t="s">
        <v>97</v>
      </c>
      <c r="W120" s="1" t="s">
        <v>882</v>
      </c>
      <c r="X120" s="1" t="s">
        <v>256</v>
      </c>
      <c r="Y120" s="6" t="s">
        <v>76</v>
      </c>
      <c r="Z120" s="3" t="s">
        <v>76</v>
      </c>
      <c r="AB120" s="1">
        <v>9.0</v>
      </c>
      <c r="AI120" s="2" t="s">
        <v>72</v>
      </c>
      <c r="AJ120" s="1">
        <v>-6270.0</v>
      </c>
      <c r="AK120" s="1">
        <v>1950.0</v>
      </c>
      <c r="AL120" s="3" t="s">
        <v>73</v>
      </c>
      <c r="AM120" s="2" t="s">
        <v>76</v>
      </c>
      <c r="AN120" s="1" t="s">
        <v>400</v>
      </c>
      <c r="AO120" s="2" t="s">
        <v>72</v>
      </c>
      <c r="AQ120" s="2" t="s">
        <v>576</v>
      </c>
      <c r="AR120" s="2" t="s">
        <v>76</v>
      </c>
      <c r="AS120" s="1">
        <v>1757.0</v>
      </c>
      <c r="AT120" s="1">
        <v>1757.0</v>
      </c>
      <c r="AU120" s="1">
        <v>704.0</v>
      </c>
      <c r="AV120" s="1">
        <v>37.0</v>
      </c>
      <c r="AW120" s="1">
        <v>141.0</v>
      </c>
      <c r="AX120" s="1">
        <v>5662.0</v>
      </c>
      <c r="AY120" s="1">
        <v>118.0</v>
      </c>
      <c r="AZ120" s="1" t="s">
        <v>133</v>
      </c>
      <c r="BA120" s="1" t="s">
        <v>121</v>
      </c>
    </row>
    <row r="121">
      <c r="A121" s="1" t="s">
        <v>871</v>
      </c>
      <c r="B121" s="1" t="s">
        <v>53</v>
      </c>
      <c r="C121" s="1">
        <v>2002.0</v>
      </c>
      <c r="D121" s="1" t="s">
        <v>872</v>
      </c>
      <c r="E121" s="1" t="s">
        <v>873</v>
      </c>
      <c r="F121" s="1" t="s">
        <v>732</v>
      </c>
      <c r="G121" s="1" t="s">
        <v>874</v>
      </c>
      <c r="H121" s="1" t="s">
        <v>875</v>
      </c>
      <c r="I121" s="1">
        <v>27.0</v>
      </c>
      <c r="J121" s="1">
        <v>1.0</v>
      </c>
      <c r="K121" s="2" t="s">
        <v>876</v>
      </c>
      <c r="L121" s="2" t="s">
        <v>60</v>
      </c>
      <c r="M121" s="1" t="s">
        <v>884</v>
      </c>
      <c r="N121" s="1" t="s">
        <v>62</v>
      </c>
      <c r="O121" s="1" t="s">
        <v>167</v>
      </c>
      <c r="P121" s="1" t="s">
        <v>878</v>
      </c>
      <c r="Q121" s="1">
        <v>16.98567</v>
      </c>
      <c r="R121" s="1">
        <v>-89.674358</v>
      </c>
      <c r="S121" s="1" t="s">
        <v>148</v>
      </c>
      <c r="T121" s="2" t="s">
        <v>189</v>
      </c>
      <c r="U121" s="3" t="s">
        <v>885</v>
      </c>
      <c r="V121" s="3" t="s">
        <v>68</v>
      </c>
      <c r="W121" s="1" t="s">
        <v>879</v>
      </c>
      <c r="X121" s="1" t="s">
        <v>70</v>
      </c>
      <c r="Y121" s="6" t="s">
        <v>76</v>
      </c>
      <c r="Z121" s="3" t="s">
        <v>173</v>
      </c>
      <c r="AB121" s="1">
        <v>8.0</v>
      </c>
      <c r="AI121" s="2" t="s">
        <v>72</v>
      </c>
      <c r="AJ121" s="1">
        <v>-6830.0</v>
      </c>
      <c r="AK121" s="1">
        <v>1950.0</v>
      </c>
      <c r="AL121" s="3" t="s">
        <v>73</v>
      </c>
      <c r="AM121" s="2" t="s">
        <v>76</v>
      </c>
      <c r="AN121" s="1" t="s">
        <v>400</v>
      </c>
      <c r="AO121" s="2" t="s">
        <v>72</v>
      </c>
      <c r="AQ121" s="2" t="s">
        <v>576</v>
      </c>
      <c r="AR121" s="2" t="s">
        <v>76</v>
      </c>
      <c r="AS121" s="1">
        <v>1757.0</v>
      </c>
      <c r="AT121" s="1">
        <v>1757.0</v>
      </c>
      <c r="AU121" s="1">
        <v>704.0</v>
      </c>
      <c r="AV121" s="1">
        <v>37.0</v>
      </c>
      <c r="AW121" s="1">
        <v>141.0</v>
      </c>
      <c r="AX121" s="1">
        <v>5662.0</v>
      </c>
      <c r="AY121" s="1">
        <v>118.0</v>
      </c>
      <c r="AZ121" s="1" t="s">
        <v>133</v>
      </c>
      <c r="BA121" s="1" t="s">
        <v>121</v>
      </c>
    </row>
    <row r="122">
      <c r="A122" s="1" t="s">
        <v>871</v>
      </c>
      <c r="B122" s="1" t="s">
        <v>53</v>
      </c>
      <c r="C122" s="1">
        <v>2002.0</v>
      </c>
      <c r="D122" s="1" t="s">
        <v>872</v>
      </c>
      <c r="E122" s="1" t="s">
        <v>873</v>
      </c>
      <c r="F122" s="1" t="s">
        <v>732</v>
      </c>
      <c r="G122" s="1" t="s">
        <v>874</v>
      </c>
      <c r="H122" s="1" t="s">
        <v>875</v>
      </c>
      <c r="I122" s="1">
        <v>27.0</v>
      </c>
      <c r="J122" s="1">
        <v>1.0</v>
      </c>
      <c r="K122" s="2" t="s">
        <v>876</v>
      </c>
      <c r="L122" s="2" t="s">
        <v>60</v>
      </c>
      <c r="M122" s="1" t="s">
        <v>886</v>
      </c>
      <c r="N122" s="1" t="s">
        <v>62</v>
      </c>
      <c r="O122" s="1" t="s">
        <v>167</v>
      </c>
      <c r="P122" s="1" t="s">
        <v>878</v>
      </c>
      <c r="Q122" s="1">
        <v>16.98567</v>
      </c>
      <c r="R122" s="1">
        <v>-89.674358</v>
      </c>
      <c r="S122" s="1" t="s">
        <v>148</v>
      </c>
      <c r="T122" s="2" t="s">
        <v>189</v>
      </c>
      <c r="U122" s="3" t="s">
        <v>885</v>
      </c>
      <c r="V122" s="3" t="s">
        <v>68</v>
      </c>
      <c r="W122" s="1" t="s">
        <v>879</v>
      </c>
      <c r="X122" s="1" t="s">
        <v>70</v>
      </c>
      <c r="Y122" s="6" t="s">
        <v>76</v>
      </c>
      <c r="Z122" s="3" t="s">
        <v>173</v>
      </c>
      <c r="AB122" s="1">
        <v>9.0</v>
      </c>
      <c r="AI122" s="2" t="s">
        <v>72</v>
      </c>
      <c r="AJ122" s="1">
        <v>-6270.0</v>
      </c>
      <c r="AK122" s="1">
        <v>1950.0</v>
      </c>
      <c r="AL122" s="3" t="s">
        <v>73</v>
      </c>
      <c r="AM122" s="2" t="s">
        <v>76</v>
      </c>
      <c r="AN122" s="1" t="s">
        <v>400</v>
      </c>
      <c r="AO122" s="2" t="s">
        <v>72</v>
      </c>
      <c r="AQ122" s="2" t="s">
        <v>576</v>
      </c>
      <c r="AR122" s="2" t="s">
        <v>76</v>
      </c>
      <c r="AS122" s="1">
        <v>1757.0</v>
      </c>
      <c r="AT122" s="1">
        <v>1757.0</v>
      </c>
      <c r="AU122" s="1">
        <v>704.0</v>
      </c>
      <c r="AV122" s="1">
        <v>37.0</v>
      </c>
      <c r="AW122" s="1">
        <v>141.0</v>
      </c>
      <c r="AX122" s="1">
        <v>5662.0</v>
      </c>
      <c r="AY122" s="1">
        <v>118.0</v>
      </c>
      <c r="AZ122" s="1" t="s">
        <v>133</v>
      </c>
      <c r="BA122" s="1" t="s">
        <v>121</v>
      </c>
    </row>
    <row r="123">
      <c r="A123" s="1" t="s">
        <v>871</v>
      </c>
      <c r="B123" s="1" t="s">
        <v>53</v>
      </c>
      <c r="C123" s="1">
        <v>2002.0</v>
      </c>
      <c r="D123" s="1" t="s">
        <v>872</v>
      </c>
      <c r="E123" s="1" t="s">
        <v>873</v>
      </c>
      <c r="F123" s="1" t="s">
        <v>732</v>
      </c>
      <c r="G123" s="1" t="s">
        <v>874</v>
      </c>
      <c r="H123" s="1" t="s">
        <v>875</v>
      </c>
      <c r="I123" s="1">
        <v>27.0</v>
      </c>
      <c r="J123" s="1">
        <v>1.0</v>
      </c>
      <c r="K123" s="2" t="s">
        <v>876</v>
      </c>
      <c r="L123" s="2" t="s">
        <v>60</v>
      </c>
      <c r="M123" s="1" t="s">
        <v>887</v>
      </c>
      <c r="N123" s="1" t="s">
        <v>62</v>
      </c>
      <c r="O123" s="1" t="s">
        <v>167</v>
      </c>
      <c r="P123" s="1" t="s">
        <v>878</v>
      </c>
      <c r="Q123" s="1">
        <v>16.98567</v>
      </c>
      <c r="R123" s="1">
        <v>-89.674358</v>
      </c>
      <c r="S123" s="1" t="s">
        <v>148</v>
      </c>
      <c r="T123" s="2" t="s">
        <v>194</v>
      </c>
      <c r="U123" s="3" t="s">
        <v>885</v>
      </c>
      <c r="V123" s="3" t="s">
        <v>68</v>
      </c>
      <c r="W123" s="1" t="s">
        <v>888</v>
      </c>
      <c r="X123" s="1" t="s">
        <v>70</v>
      </c>
      <c r="Y123" s="6" t="s">
        <v>76</v>
      </c>
      <c r="Z123" s="3" t="s">
        <v>173</v>
      </c>
      <c r="AB123" s="1">
        <v>8.0</v>
      </c>
      <c r="AI123" s="2" t="s">
        <v>72</v>
      </c>
      <c r="AJ123" s="1">
        <v>-6830.0</v>
      </c>
      <c r="AK123" s="1">
        <v>1950.0</v>
      </c>
      <c r="AL123" s="3" t="s">
        <v>73</v>
      </c>
      <c r="AM123" s="2" t="s">
        <v>76</v>
      </c>
      <c r="AN123" s="1" t="s">
        <v>400</v>
      </c>
      <c r="AO123" s="2" t="s">
        <v>72</v>
      </c>
      <c r="AQ123" s="2" t="s">
        <v>576</v>
      </c>
      <c r="AR123" s="2" t="s">
        <v>76</v>
      </c>
      <c r="AS123" s="1">
        <v>1757.0</v>
      </c>
      <c r="AT123" s="1">
        <v>1757.0</v>
      </c>
      <c r="AU123" s="1">
        <v>704.0</v>
      </c>
      <c r="AV123" s="1">
        <v>37.0</v>
      </c>
      <c r="AW123" s="1">
        <v>141.0</v>
      </c>
      <c r="AX123" s="1">
        <v>5662.0</v>
      </c>
      <c r="AY123" s="1">
        <v>118.0</v>
      </c>
      <c r="AZ123" s="1" t="s">
        <v>133</v>
      </c>
      <c r="BA123" s="1" t="s">
        <v>121</v>
      </c>
    </row>
    <row r="124">
      <c r="A124" s="1" t="s">
        <v>871</v>
      </c>
      <c r="B124" s="1" t="s">
        <v>53</v>
      </c>
      <c r="C124" s="1">
        <v>2002.0</v>
      </c>
      <c r="D124" s="1" t="s">
        <v>872</v>
      </c>
      <c r="E124" s="1" t="s">
        <v>873</v>
      </c>
      <c r="F124" s="1" t="s">
        <v>732</v>
      </c>
      <c r="G124" s="1" t="s">
        <v>874</v>
      </c>
      <c r="H124" s="1" t="s">
        <v>875</v>
      </c>
      <c r="I124" s="1">
        <v>27.0</v>
      </c>
      <c r="J124" s="1">
        <v>1.0</v>
      </c>
      <c r="K124" s="2" t="s">
        <v>876</v>
      </c>
      <c r="L124" s="2" t="s">
        <v>60</v>
      </c>
      <c r="M124" s="1" t="s">
        <v>889</v>
      </c>
      <c r="N124" s="1" t="s">
        <v>62</v>
      </c>
      <c r="O124" s="1" t="s">
        <v>167</v>
      </c>
      <c r="P124" s="1" t="s">
        <v>878</v>
      </c>
      <c r="Q124" s="1">
        <v>16.98567</v>
      </c>
      <c r="R124" s="1">
        <v>-89.674358</v>
      </c>
      <c r="S124" s="1" t="s">
        <v>148</v>
      </c>
      <c r="T124" s="2" t="s">
        <v>194</v>
      </c>
      <c r="U124" s="3" t="s">
        <v>885</v>
      </c>
      <c r="V124" s="3" t="s">
        <v>68</v>
      </c>
      <c r="W124" s="1" t="s">
        <v>888</v>
      </c>
      <c r="X124" s="1" t="s">
        <v>70</v>
      </c>
      <c r="Y124" s="6" t="s">
        <v>76</v>
      </c>
      <c r="Z124" s="3" t="s">
        <v>173</v>
      </c>
      <c r="AB124" s="1">
        <v>9.0</v>
      </c>
      <c r="AI124" s="2" t="s">
        <v>72</v>
      </c>
      <c r="AJ124" s="1">
        <v>-6270.0</v>
      </c>
      <c r="AK124" s="1">
        <v>1950.0</v>
      </c>
      <c r="AL124" s="3" t="s">
        <v>73</v>
      </c>
      <c r="AM124" s="2" t="s">
        <v>76</v>
      </c>
      <c r="AN124" s="1" t="s">
        <v>400</v>
      </c>
      <c r="AO124" s="2" t="s">
        <v>72</v>
      </c>
      <c r="AQ124" s="2" t="s">
        <v>576</v>
      </c>
      <c r="AR124" s="2" t="s">
        <v>76</v>
      </c>
      <c r="AS124" s="1">
        <v>1757.0</v>
      </c>
      <c r="AT124" s="1">
        <v>1757.0</v>
      </c>
      <c r="AU124" s="1">
        <v>704.0</v>
      </c>
      <c r="AV124" s="1">
        <v>37.0</v>
      </c>
      <c r="AW124" s="1">
        <v>141.0</v>
      </c>
      <c r="AX124" s="1">
        <v>5662.0</v>
      </c>
      <c r="AY124" s="1">
        <v>118.0</v>
      </c>
      <c r="AZ124" s="1" t="s">
        <v>133</v>
      </c>
      <c r="BA124" s="1" t="s">
        <v>121</v>
      </c>
    </row>
    <row r="125">
      <c r="A125" s="1" t="s">
        <v>52</v>
      </c>
      <c r="B125" s="1" t="s">
        <v>53</v>
      </c>
      <c r="C125" s="1">
        <v>2002.0</v>
      </c>
      <c r="D125" s="1" t="s">
        <v>54</v>
      </c>
      <c r="E125" s="1" t="s">
        <v>55</v>
      </c>
      <c r="F125" s="1" t="s">
        <v>56</v>
      </c>
      <c r="G125" s="1" t="s">
        <v>57</v>
      </c>
      <c r="H125" s="1" t="s">
        <v>58</v>
      </c>
      <c r="I125" s="1">
        <v>13.0</v>
      </c>
      <c r="J125" s="1">
        <v>2.0</v>
      </c>
      <c r="K125" s="2" t="s">
        <v>59</v>
      </c>
      <c r="L125" s="2" t="s">
        <v>60</v>
      </c>
      <c r="M125" s="1" t="s">
        <v>61</v>
      </c>
      <c r="N125" s="1" t="s">
        <v>62</v>
      </c>
      <c r="O125" s="1" t="s">
        <v>63</v>
      </c>
      <c r="P125" s="1" t="s">
        <v>64</v>
      </c>
      <c r="Q125" s="1">
        <v>14.867</v>
      </c>
      <c r="R125" s="1">
        <v>-89.125</v>
      </c>
      <c r="S125" s="1" t="s">
        <v>65</v>
      </c>
      <c r="T125" s="2" t="s">
        <v>66</v>
      </c>
      <c r="U125" s="3" t="s">
        <v>67</v>
      </c>
      <c r="V125" s="3" t="s">
        <v>68</v>
      </c>
      <c r="W125" s="1" t="s">
        <v>69</v>
      </c>
      <c r="X125" s="1" t="s">
        <v>70</v>
      </c>
      <c r="Y125" s="5" t="s">
        <v>60</v>
      </c>
      <c r="Z125" s="3" t="s">
        <v>71</v>
      </c>
      <c r="AB125" s="1">
        <v>8.0</v>
      </c>
      <c r="AI125" s="2" t="s">
        <v>72</v>
      </c>
      <c r="AJ125" s="1">
        <v>-3637.0</v>
      </c>
      <c r="AK125" s="1">
        <v>1989.0</v>
      </c>
      <c r="AL125" s="3" t="s">
        <v>73</v>
      </c>
      <c r="AM125" s="2" t="s">
        <v>72</v>
      </c>
      <c r="AN125" s="1" t="s">
        <v>74</v>
      </c>
      <c r="AO125" s="2" t="s">
        <v>72</v>
      </c>
      <c r="AQ125" s="2" t="s">
        <v>75</v>
      </c>
      <c r="AR125" s="2" t="s">
        <v>76</v>
      </c>
      <c r="AS125" s="1">
        <v>1510.0</v>
      </c>
      <c r="AT125" s="1">
        <v>1510.0</v>
      </c>
      <c r="AU125" s="1">
        <v>719.0</v>
      </c>
      <c r="AV125" s="1">
        <v>20.0</v>
      </c>
      <c r="AW125" s="1">
        <v>74.0</v>
      </c>
      <c r="AX125" s="1">
        <v>7799.0</v>
      </c>
      <c r="AY125" s="1">
        <v>784.0</v>
      </c>
      <c r="AZ125" s="1" t="s">
        <v>77</v>
      </c>
      <c r="BA125" s="1" t="s">
        <v>78</v>
      </c>
    </row>
    <row r="126">
      <c r="A126" s="1" t="s">
        <v>52</v>
      </c>
      <c r="B126" s="1" t="s">
        <v>53</v>
      </c>
      <c r="C126" s="1">
        <v>2002.0</v>
      </c>
      <c r="D126" s="1" t="s">
        <v>54</v>
      </c>
      <c r="E126" s="1" t="s">
        <v>55</v>
      </c>
      <c r="F126" s="1" t="s">
        <v>56</v>
      </c>
      <c r="G126" s="1" t="s">
        <v>57</v>
      </c>
      <c r="H126" s="1" t="s">
        <v>58</v>
      </c>
      <c r="I126" s="1">
        <v>13.0</v>
      </c>
      <c r="J126" s="1">
        <v>2.0</v>
      </c>
      <c r="K126" s="2" t="s">
        <v>59</v>
      </c>
      <c r="L126" s="2" t="s">
        <v>60</v>
      </c>
      <c r="M126" s="1" t="s">
        <v>79</v>
      </c>
      <c r="N126" s="1" t="s">
        <v>62</v>
      </c>
      <c r="O126" s="1" t="s">
        <v>63</v>
      </c>
      <c r="P126" s="1" t="s">
        <v>64</v>
      </c>
      <c r="Q126" s="1">
        <v>14.867</v>
      </c>
      <c r="R126" s="1">
        <v>-89.125</v>
      </c>
      <c r="S126" s="1" t="s">
        <v>65</v>
      </c>
      <c r="T126" s="2" t="s">
        <v>80</v>
      </c>
      <c r="U126" s="3" t="s">
        <v>81</v>
      </c>
      <c r="V126" s="3" t="s">
        <v>68</v>
      </c>
      <c r="W126" s="1" t="s">
        <v>82</v>
      </c>
      <c r="X126" s="2" t="s">
        <v>83</v>
      </c>
      <c r="Y126" s="6" t="s">
        <v>76</v>
      </c>
      <c r="Z126" s="3" t="s">
        <v>84</v>
      </c>
      <c r="AB126" s="1">
        <v>8.0</v>
      </c>
      <c r="AI126" s="2" t="s">
        <v>72</v>
      </c>
      <c r="AJ126" s="1">
        <v>-3637.0</v>
      </c>
      <c r="AK126" s="1">
        <v>1989.0</v>
      </c>
      <c r="AL126" s="3" t="s">
        <v>73</v>
      </c>
      <c r="AM126" s="2" t="s">
        <v>72</v>
      </c>
      <c r="AN126" s="1" t="s">
        <v>74</v>
      </c>
      <c r="AO126" s="2" t="s">
        <v>72</v>
      </c>
      <c r="AQ126" s="2" t="s">
        <v>75</v>
      </c>
      <c r="AR126" s="2" t="s">
        <v>76</v>
      </c>
      <c r="AS126" s="1">
        <v>1510.0</v>
      </c>
      <c r="AT126" s="1">
        <v>1510.0</v>
      </c>
      <c r="AU126" s="1">
        <v>719.0</v>
      </c>
      <c r="AV126" s="1">
        <v>20.0</v>
      </c>
      <c r="AW126" s="1">
        <v>74.0</v>
      </c>
      <c r="AX126" s="1">
        <v>7799.0</v>
      </c>
      <c r="AY126" s="1">
        <v>784.0</v>
      </c>
      <c r="AZ126" s="1" t="s">
        <v>77</v>
      </c>
      <c r="BA126" s="1" t="s">
        <v>78</v>
      </c>
    </row>
    <row r="127">
      <c r="A127" s="1" t="s">
        <v>1562</v>
      </c>
      <c r="B127" s="1" t="s">
        <v>53</v>
      </c>
      <c r="C127" s="1">
        <v>2003.0</v>
      </c>
      <c r="D127" s="1" t="s">
        <v>1563</v>
      </c>
      <c r="E127" s="1" t="s">
        <v>1564</v>
      </c>
      <c r="F127" s="1" t="s">
        <v>303</v>
      </c>
      <c r="G127" s="1" t="s">
        <v>1565</v>
      </c>
      <c r="H127" s="1" t="s">
        <v>1566</v>
      </c>
      <c r="I127" s="1">
        <v>59.0</v>
      </c>
      <c r="J127" s="1">
        <v>1.0</v>
      </c>
      <c r="K127" s="2" t="s">
        <v>1567</v>
      </c>
      <c r="L127" s="2" t="s">
        <v>60</v>
      </c>
      <c r="M127" s="1" t="s">
        <v>1568</v>
      </c>
      <c r="N127" s="1" t="s">
        <v>62</v>
      </c>
      <c r="O127" s="1" t="s">
        <v>146</v>
      </c>
      <c r="P127" s="1" t="s">
        <v>1569</v>
      </c>
      <c r="Q127" s="1">
        <v>8.705533</v>
      </c>
      <c r="R127" s="1">
        <v>-79.762489</v>
      </c>
      <c r="S127" s="1" t="s">
        <v>148</v>
      </c>
      <c r="T127" s="2" t="s">
        <v>66</v>
      </c>
      <c r="U127" s="3" t="s">
        <v>67</v>
      </c>
      <c r="V127" s="3" t="s">
        <v>68</v>
      </c>
      <c r="W127" s="2" t="s">
        <v>72</v>
      </c>
      <c r="X127" s="1" t="s">
        <v>70</v>
      </c>
      <c r="Y127" s="5" t="s">
        <v>76</v>
      </c>
      <c r="Z127" s="3" t="s">
        <v>1570</v>
      </c>
      <c r="AB127" s="1">
        <v>6.0</v>
      </c>
      <c r="AI127" s="2" t="s">
        <v>72</v>
      </c>
      <c r="AJ127" s="1">
        <v>-5550.0</v>
      </c>
      <c r="AK127" s="1">
        <v>1950.0</v>
      </c>
      <c r="AL127" s="2" t="s">
        <v>73</v>
      </c>
      <c r="AM127" s="2" t="s">
        <v>72</v>
      </c>
      <c r="AN127" s="2" t="s">
        <v>72</v>
      </c>
      <c r="AO127" s="2" t="s">
        <v>72</v>
      </c>
      <c r="AQ127" s="2" t="s">
        <v>75</v>
      </c>
      <c r="AR127" s="2" t="s">
        <v>76</v>
      </c>
      <c r="AS127" s="1">
        <v>1983.0</v>
      </c>
      <c r="AT127" s="1">
        <v>1983.0</v>
      </c>
      <c r="AU127" s="1">
        <v>781.0</v>
      </c>
      <c r="AV127" s="1">
        <v>9.0</v>
      </c>
      <c r="AW127" s="1">
        <v>50.0</v>
      </c>
      <c r="AX127" s="1">
        <v>6225.0</v>
      </c>
      <c r="AY127" s="1">
        <v>23.0</v>
      </c>
      <c r="AZ127" s="1" t="s">
        <v>120</v>
      </c>
      <c r="BA127" s="1" t="s">
        <v>121</v>
      </c>
    </row>
    <row r="128">
      <c r="A128" s="1" t="s">
        <v>1562</v>
      </c>
      <c r="B128" s="1" t="s">
        <v>53</v>
      </c>
      <c r="C128" s="1">
        <v>2003.0</v>
      </c>
      <c r="D128" s="1" t="s">
        <v>1563</v>
      </c>
      <c r="E128" s="1" t="s">
        <v>1564</v>
      </c>
      <c r="F128" s="1" t="s">
        <v>303</v>
      </c>
      <c r="G128" s="1" t="s">
        <v>1565</v>
      </c>
      <c r="H128" s="1" t="s">
        <v>1566</v>
      </c>
      <c r="I128" s="1">
        <v>59.0</v>
      </c>
      <c r="J128" s="1">
        <v>1.0</v>
      </c>
      <c r="K128" s="2" t="s">
        <v>1567</v>
      </c>
      <c r="L128" s="2" t="s">
        <v>60</v>
      </c>
      <c r="M128" s="1" t="s">
        <v>1571</v>
      </c>
      <c r="N128" s="1" t="s">
        <v>62</v>
      </c>
      <c r="O128" s="1" t="s">
        <v>146</v>
      </c>
      <c r="P128" s="1" t="s">
        <v>1569</v>
      </c>
      <c r="Q128" s="1">
        <v>8.705533</v>
      </c>
      <c r="R128" s="1">
        <v>-79.762489</v>
      </c>
      <c r="S128" s="1" t="s">
        <v>148</v>
      </c>
      <c r="T128" s="2" t="s">
        <v>293</v>
      </c>
      <c r="U128" s="3" t="s">
        <v>67</v>
      </c>
      <c r="V128" s="3" t="s">
        <v>68</v>
      </c>
      <c r="W128" s="2" t="s">
        <v>72</v>
      </c>
      <c r="X128" s="1" t="s">
        <v>70</v>
      </c>
      <c r="Y128" s="5" t="s">
        <v>76</v>
      </c>
      <c r="Z128" s="3" t="s">
        <v>1570</v>
      </c>
      <c r="AI128" s="2" t="s">
        <v>72</v>
      </c>
      <c r="AJ128" s="2" t="s">
        <v>72</v>
      </c>
      <c r="AK128" s="2" t="s">
        <v>72</v>
      </c>
      <c r="AL128" s="2" t="s">
        <v>73</v>
      </c>
      <c r="AM128" s="2" t="s">
        <v>72</v>
      </c>
      <c r="AN128" s="2" t="s">
        <v>72</v>
      </c>
      <c r="AO128" s="2" t="s">
        <v>72</v>
      </c>
      <c r="AQ128" s="2" t="s">
        <v>75</v>
      </c>
      <c r="AR128" s="2" t="s">
        <v>76</v>
      </c>
      <c r="AS128" s="1">
        <v>1983.0</v>
      </c>
      <c r="AT128" s="1">
        <v>1983.0</v>
      </c>
      <c r="AU128" s="1">
        <v>781.0</v>
      </c>
      <c r="AV128" s="1">
        <v>9.0</v>
      </c>
      <c r="AW128" s="1">
        <v>50.0</v>
      </c>
      <c r="AX128" s="1">
        <v>6225.0</v>
      </c>
      <c r="AY128" s="1">
        <v>23.0</v>
      </c>
      <c r="AZ128" s="1" t="s">
        <v>120</v>
      </c>
      <c r="BA128" s="1" t="s">
        <v>121</v>
      </c>
    </row>
    <row r="129">
      <c r="A129" s="1" t="s">
        <v>1562</v>
      </c>
      <c r="B129" s="1" t="s">
        <v>53</v>
      </c>
      <c r="C129" s="1">
        <v>2003.0</v>
      </c>
      <c r="D129" s="1" t="s">
        <v>1563</v>
      </c>
      <c r="E129" s="1" t="s">
        <v>1564</v>
      </c>
      <c r="F129" s="1" t="s">
        <v>303</v>
      </c>
      <c r="G129" s="1" t="s">
        <v>1565</v>
      </c>
      <c r="H129" s="1" t="s">
        <v>1566</v>
      </c>
      <c r="I129" s="1">
        <v>59.0</v>
      </c>
      <c r="J129" s="1">
        <v>1.0</v>
      </c>
      <c r="K129" s="2" t="s">
        <v>1567</v>
      </c>
      <c r="L129" s="2" t="s">
        <v>60</v>
      </c>
      <c r="M129" s="1" t="s">
        <v>1571</v>
      </c>
      <c r="N129" s="1" t="s">
        <v>62</v>
      </c>
      <c r="O129" s="1" t="s">
        <v>146</v>
      </c>
      <c r="P129" s="1" t="s">
        <v>1569</v>
      </c>
      <c r="Q129" s="1">
        <v>8.705533</v>
      </c>
      <c r="R129" s="1">
        <v>-79.762489</v>
      </c>
      <c r="S129" s="1" t="s">
        <v>148</v>
      </c>
      <c r="T129" s="3" t="s">
        <v>80</v>
      </c>
      <c r="U129" s="3" t="s">
        <v>81</v>
      </c>
      <c r="V129" s="3" t="s">
        <v>68</v>
      </c>
      <c r="W129" s="3" t="s">
        <v>1572</v>
      </c>
      <c r="X129" s="3" t="s">
        <v>1573</v>
      </c>
      <c r="Y129" s="5" t="s">
        <v>76</v>
      </c>
      <c r="Z129" s="3" t="s">
        <v>84</v>
      </c>
      <c r="AI129" s="2" t="s">
        <v>72</v>
      </c>
      <c r="AJ129" s="2" t="s">
        <v>72</v>
      </c>
      <c r="AK129" s="2" t="s">
        <v>72</v>
      </c>
      <c r="AL129" s="2" t="s">
        <v>73</v>
      </c>
      <c r="AM129" s="2" t="s">
        <v>72</v>
      </c>
      <c r="AN129" s="2" t="s">
        <v>72</v>
      </c>
      <c r="AO129" s="2" t="s">
        <v>72</v>
      </c>
      <c r="AQ129" s="2" t="s">
        <v>75</v>
      </c>
      <c r="AR129" s="2" t="s">
        <v>76</v>
      </c>
      <c r="AS129" s="1">
        <v>1983.0</v>
      </c>
      <c r="AT129" s="1">
        <v>1983.0</v>
      </c>
      <c r="AU129" s="1">
        <v>781.0</v>
      </c>
      <c r="AV129" s="1">
        <v>9.0</v>
      </c>
      <c r="AW129" s="1">
        <v>50.0</v>
      </c>
      <c r="AX129" s="1">
        <v>6225.0</v>
      </c>
      <c r="AY129" s="1">
        <v>23.0</v>
      </c>
      <c r="AZ129" s="1" t="s">
        <v>120</v>
      </c>
      <c r="BA129" s="1" t="s">
        <v>121</v>
      </c>
    </row>
    <row r="130">
      <c r="A130" s="1" t="s">
        <v>729</v>
      </c>
      <c r="B130" s="1" t="s">
        <v>53</v>
      </c>
      <c r="C130" s="1">
        <v>2004.0</v>
      </c>
      <c r="D130" s="1" t="s">
        <v>730</v>
      </c>
      <c r="E130" s="1" t="s">
        <v>731</v>
      </c>
      <c r="F130" s="1" t="s">
        <v>732</v>
      </c>
      <c r="G130" s="1" t="s">
        <v>733</v>
      </c>
      <c r="H130" s="1" t="s">
        <v>734</v>
      </c>
      <c r="I130" s="1">
        <v>32.0</v>
      </c>
      <c r="J130" s="1">
        <v>3.0</v>
      </c>
      <c r="K130" s="2" t="s">
        <v>735</v>
      </c>
      <c r="L130" s="2" t="s">
        <v>60</v>
      </c>
      <c r="M130" s="1" t="s">
        <v>890</v>
      </c>
      <c r="N130" s="1" t="s">
        <v>62</v>
      </c>
      <c r="O130" s="1" t="s">
        <v>737</v>
      </c>
      <c r="P130" s="1" t="s">
        <v>738</v>
      </c>
      <c r="Q130" s="1">
        <v>13.57</v>
      </c>
      <c r="R130" s="1">
        <v>-89.52</v>
      </c>
      <c r="S130" s="1" t="s">
        <v>148</v>
      </c>
      <c r="T130" s="3" t="s">
        <v>1150</v>
      </c>
      <c r="U130" s="3" t="s">
        <v>81</v>
      </c>
      <c r="V130" s="3" t="s">
        <v>68</v>
      </c>
      <c r="W130" s="1" t="s">
        <v>348</v>
      </c>
      <c r="X130" s="2" t="s">
        <v>355</v>
      </c>
      <c r="Y130" s="6" t="s">
        <v>76</v>
      </c>
      <c r="Z130" s="3" t="s">
        <v>84</v>
      </c>
      <c r="AB130" s="1">
        <v>3.0</v>
      </c>
      <c r="AH130" s="1">
        <v>1.0</v>
      </c>
      <c r="AI130" s="1" t="s">
        <v>740</v>
      </c>
      <c r="AJ130" s="1">
        <v>-2250.0</v>
      </c>
      <c r="AK130" s="1">
        <v>1950.0</v>
      </c>
      <c r="AL130" s="2" t="s">
        <v>73</v>
      </c>
      <c r="AM130" s="2" t="s">
        <v>76</v>
      </c>
      <c r="AN130" s="1" t="s">
        <v>400</v>
      </c>
      <c r="AO130" s="2" t="s">
        <v>76</v>
      </c>
      <c r="AQ130" s="2" t="s">
        <v>75</v>
      </c>
      <c r="AR130" s="2" t="s">
        <v>76</v>
      </c>
      <c r="AS130" s="1">
        <v>1850.0</v>
      </c>
      <c r="AT130" s="1">
        <v>1850.0</v>
      </c>
      <c r="AU130" s="1">
        <v>995.0</v>
      </c>
      <c r="AV130" s="1">
        <v>2.0</v>
      </c>
      <c r="AW130" s="1">
        <v>16.0</v>
      </c>
      <c r="AX130" s="1">
        <v>9579.0</v>
      </c>
      <c r="AY130" s="1">
        <v>413.0</v>
      </c>
      <c r="AZ130" s="1" t="s">
        <v>525</v>
      </c>
      <c r="BA130" s="1" t="s">
        <v>104</v>
      </c>
    </row>
    <row r="131">
      <c r="A131" s="1" t="s">
        <v>729</v>
      </c>
      <c r="B131" s="1" t="s">
        <v>53</v>
      </c>
      <c r="C131" s="1">
        <v>2004.0</v>
      </c>
      <c r="D131" s="1" t="s">
        <v>730</v>
      </c>
      <c r="E131" s="1" t="s">
        <v>731</v>
      </c>
      <c r="F131" s="1" t="s">
        <v>732</v>
      </c>
      <c r="G131" s="1" t="s">
        <v>733</v>
      </c>
      <c r="H131" s="1" t="s">
        <v>734</v>
      </c>
      <c r="I131" s="1">
        <v>32.0</v>
      </c>
      <c r="J131" s="1">
        <v>3.0</v>
      </c>
      <c r="K131" s="2" t="s">
        <v>735</v>
      </c>
      <c r="L131" s="2" t="s">
        <v>60</v>
      </c>
      <c r="M131" s="1" t="s">
        <v>891</v>
      </c>
      <c r="N131" s="1" t="s">
        <v>62</v>
      </c>
      <c r="O131" s="1" t="s">
        <v>737</v>
      </c>
      <c r="P131" s="1" t="s">
        <v>738</v>
      </c>
      <c r="Q131" s="1">
        <v>13.57</v>
      </c>
      <c r="R131" s="1">
        <v>-89.52</v>
      </c>
      <c r="S131" s="1" t="s">
        <v>148</v>
      </c>
      <c r="T131" s="2" t="s">
        <v>135</v>
      </c>
      <c r="U131" s="7" t="s">
        <v>173</v>
      </c>
      <c r="V131" s="3" t="s">
        <v>116</v>
      </c>
      <c r="W131" s="1" t="s">
        <v>892</v>
      </c>
      <c r="X131" s="2" t="s">
        <v>728</v>
      </c>
      <c r="Y131" s="6" t="s">
        <v>76</v>
      </c>
      <c r="Z131" s="3" t="s">
        <v>411</v>
      </c>
      <c r="AB131" s="1">
        <v>3.0</v>
      </c>
      <c r="AH131" s="1">
        <v>1.0</v>
      </c>
      <c r="AI131" s="1" t="s">
        <v>740</v>
      </c>
      <c r="AJ131" s="1">
        <v>-6570.0</v>
      </c>
      <c r="AK131" s="1">
        <v>1950.0</v>
      </c>
      <c r="AL131" s="2" t="s">
        <v>73</v>
      </c>
      <c r="AM131" s="2" t="s">
        <v>76</v>
      </c>
      <c r="AN131" s="1" t="s">
        <v>400</v>
      </c>
      <c r="AO131" s="2" t="s">
        <v>76</v>
      </c>
      <c r="AQ131" s="2" t="s">
        <v>75</v>
      </c>
      <c r="AR131" s="2" t="s">
        <v>76</v>
      </c>
      <c r="AS131" s="1">
        <v>1850.0</v>
      </c>
      <c r="AT131" s="1">
        <v>1850.0</v>
      </c>
      <c r="AU131" s="1">
        <v>995.0</v>
      </c>
      <c r="AV131" s="1">
        <v>2.0</v>
      </c>
      <c r="AW131" s="1">
        <v>16.0</v>
      </c>
      <c r="AX131" s="1">
        <v>9579.0</v>
      </c>
      <c r="AY131" s="1">
        <v>413.0</v>
      </c>
      <c r="AZ131" s="1" t="s">
        <v>525</v>
      </c>
      <c r="BA131" s="1" t="s">
        <v>104</v>
      </c>
    </row>
    <row r="132">
      <c r="A132" s="1" t="s">
        <v>729</v>
      </c>
      <c r="B132" s="1" t="s">
        <v>53</v>
      </c>
      <c r="C132" s="1">
        <v>2004.0</v>
      </c>
      <c r="D132" s="1" t="s">
        <v>730</v>
      </c>
      <c r="E132" s="1" t="s">
        <v>731</v>
      </c>
      <c r="F132" s="1" t="s">
        <v>732</v>
      </c>
      <c r="G132" s="1" t="s">
        <v>733</v>
      </c>
      <c r="H132" s="1" t="s">
        <v>734</v>
      </c>
      <c r="I132" s="1">
        <v>32.0</v>
      </c>
      <c r="J132" s="1">
        <v>3.0</v>
      </c>
      <c r="K132" s="2" t="s">
        <v>735</v>
      </c>
      <c r="L132" s="2" t="s">
        <v>60</v>
      </c>
      <c r="M132" s="1" t="s">
        <v>893</v>
      </c>
      <c r="N132" s="1" t="s">
        <v>62</v>
      </c>
      <c r="O132" s="1" t="s">
        <v>737</v>
      </c>
      <c r="P132" s="1" t="s">
        <v>738</v>
      </c>
      <c r="Q132" s="1">
        <v>13.57</v>
      </c>
      <c r="R132" s="1">
        <v>-89.52</v>
      </c>
      <c r="S132" s="1" t="s">
        <v>148</v>
      </c>
      <c r="T132" s="2" t="s">
        <v>80</v>
      </c>
      <c r="U132" s="3" t="s">
        <v>81</v>
      </c>
      <c r="V132" s="3" t="s">
        <v>68</v>
      </c>
      <c r="W132" s="1" t="s">
        <v>348</v>
      </c>
      <c r="X132" s="2" t="s">
        <v>355</v>
      </c>
      <c r="Y132" s="6" t="s">
        <v>76</v>
      </c>
      <c r="Z132" s="3" t="s">
        <v>84</v>
      </c>
      <c r="AB132" s="1">
        <v>3.0</v>
      </c>
      <c r="AH132" s="1">
        <v>1.0</v>
      </c>
      <c r="AI132" s="1" t="s">
        <v>740</v>
      </c>
      <c r="AJ132" s="1">
        <v>-2250.0</v>
      </c>
      <c r="AK132" s="1">
        <v>1950.0</v>
      </c>
      <c r="AL132" s="2" t="s">
        <v>73</v>
      </c>
      <c r="AM132" s="2" t="s">
        <v>76</v>
      </c>
      <c r="AN132" s="1" t="s">
        <v>400</v>
      </c>
      <c r="AO132" s="2" t="s">
        <v>76</v>
      </c>
      <c r="AQ132" s="2" t="s">
        <v>75</v>
      </c>
      <c r="AR132" s="2" t="s">
        <v>76</v>
      </c>
      <c r="AS132" s="1">
        <v>1850.0</v>
      </c>
      <c r="AT132" s="1">
        <v>1850.0</v>
      </c>
      <c r="AU132" s="1">
        <v>995.0</v>
      </c>
      <c r="AV132" s="1">
        <v>2.0</v>
      </c>
      <c r="AW132" s="1">
        <v>16.0</v>
      </c>
      <c r="AX132" s="1">
        <v>9579.0</v>
      </c>
      <c r="AY132" s="1">
        <v>413.0</v>
      </c>
      <c r="AZ132" s="1" t="s">
        <v>525</v>
      </c>
      <c r="BA132" s="1" t="s">
        <v>104</v>
      </c>
    </row>
    <row r="133">
      <c r="A133" s="1" t="s">
        <v>729</v>
      </c>
      <c r="B133" s="1" t="s">
        <v>53</v>
      </c>
      <c r="C133" s="1">
        <v>2004.0</v>
      </c>
      <c r="D133" s="1" t="s">
        <v>730</v>
      </c>
      <c r="E133" s="1" t="s">
        <v>731</v>
      </c>
      <c r="F133" s="1" t="s">
        <v>732</v>
      </c>
      <c r="G133" s="1" t="s">
        <v>733</v>
      </c>
      <c r="H133" s="1" t="s">
        <v>734</v>
      </c>
      <c r="I133" s="1">
        <v>32.0</v>
      </c>
      <c r="J133" s="1">
        <v>3.0</v>
      </c>
      <c r="K133" s="2" t="s">
        <v>735</v>
      </c>
      <c r="L133" s="2" t="s">
        <v>60</v>
      </c>
      <c r="M133" s="1" t="s">
        <v>894</v>
      </c>
      <c r="N133" s="1" t="s">
        <v>62</v>
      </c>
      <c r="O133" s="1" t="s">
        <v>737</v>
      </c>
      <c r="P133" s="1" t="s">
        <v>895</v>
      </c>
      <c r="Q133" s="1">
        <v>13.57</v>
      </c>
      <c r="R133" s="1">
        <v>-89.52</v>
      </c>
      <c r="S133" s="1" t="s">
        <v>148</v>
      </c>
      <c r="T133" s="2" t="s">
        <v>66</v>
      </c>
      <c r="U133" s="1" t="s">
        <v>823</v>
      </c>
      <c r="V133" s="3" t="s">
        <v>68</v>
      </c>
      <c r="W133" s="1" t="s">
        <v>896</v>
      </c>
      <c r="X133" s="1" t="s">
        <v>70</v>
      </c>
      <c r="Y133" s="5" t="s">
        <v>60</v>
      </c>
      <c r="Z133" s="3" t="s">
        <v>345</v>
      </c>
      <c r="AB133" s="1">
        <v>3.0</v>
      </c>
      <c r="AH133" s="1">
        <v>1.0</v>
      </c>
      <c r="AI133" s="1" t="s">
        <v>740</v>
      </c>
      <c r="AJ133" s="1">
        <v>-6570.0</v>
      </c>
      <c r="AK133" s="1">
        <v>1950.0</v>
      </c>
      <c r="AL133" s="2" t="s">
        <v>73</v>
      </c>
      <c r="AM133" s="2" t="s">
        <v>76</v>
      </c>
      <c r="AN133" s="1" t="s">
        <v>400</v>
      </c>
      <c r="AO133" s="2" t="s">
        <v>76</v>
      </c>
      <c r="AQ133" s="2" t="s">
        <v>75</v>
      </c>
      <c r="AR133" s="2" t="s">
        <v>76</v>
      </c>
      <c r="AS133" s="1">
        <v>1850.0</v>
      </c>
      <c r="AT133" s="1">
        <v>1850.0</v>
      </c>
      <c r="AU133" s="1">
        <v>995.0</v>
      </c>
      <c r="AV133" s="1">
        <v>2.0</v>
      </c>
      <c r="AW133" s="1">
        <v>16.0</v>
      </c>
      <c r="AX133" s="1">
        <v>9579.0</v>
      </c>
      <c r="AY133" s="1">
        <v>413.0</v>
      </c>
      <c r="AZ133" s="1" t="s">
        <v>525</v>
      </c>
      <c r="BA133" s="1" t="s">
        <v>104</v>
      </c>
    </row>
    <row r="134">
      <c r="A134" s="1" t="s">
        <v>751</v>
      </c>
      <c r="B134" s="1" t="s">
        <v>268</v>
      </c>
      <c r="C134" s="1">
        <v>2004.0</v>
      </c>
      <c r="D134" s="1" t="s">
        <v>730</v>
      </c>
      <c r="E134" s="1" t="s">
        <v>752</v>
      </c>
      <c r="H134" s="1" t="s">
        <v>753</v>
      </c>
      <c r="I134" s="1">
        <v>61.0</v>
      </c>
      <c r="K134" s="2" t="s">
        <v>754</v>
      </c>
      <c r="L134" s="2" t="s">
        <v>60</v>
      </c>
      <c r="M134" s="1" t="s">
        <v>1972</v>
      </c>
      <c r="N134" s="1" t="s">
        <v>62</v>
      </c>
      <c r="O134" s="1" t="s">
        <v>737</v>
      </c>
      <c r="P134" s="1" t="s">
        <v>756</v>
      </c>
      <c r="Q134" s="1">
        <v>13.854167</v>
      </c>
      <c r="R134" s="1">
        <v>-89.885556</v>
      </c>
      <c r="S134" s="1" t="s">
        <v>148</v>
      </c>
      <c r="T134" s="2" t="s">
        <v>599</v>
      </c>
      <c r="U134" s="3" t="s">
        <v>81</v>
      </c>
      <c r="V134" s="3" t="s">
        <v>68</v>
      </c>
      <c r="W134" s="1" t="s">
        <v>1302</v>
      </c>
      <c r="X134" s="2" t="s">
        <v>355</v>
      </c>
      <c r="Y134" s="6" t="s">
        <v>76</v>
      </c>
      <c r="Z134" s="3" t="s">
        <v>84</v>
      </c>
      <c r="AB134" s="1">
        <v>4.0</v>
      </c>
      <c r="AH134" s="1">
        <v>1.0</v>
      </c>
      <c r="AI134" s="1" t="s">
        <v>757</v>
      </c>
      <c r="AJ134" s="1">
        <v>-6050.0</v>
      </c>
      <c r="AK134" s="1">
        <v>1998.0</v>
      </c>
      <c r="AL134" s="2" t="s">
        <v>73</v>
      </c>
      <c r="AM134" s="2" t="s">
        <v>76</v>
      </c>
      <c r="AN134" s="1" t="s">
        <v>400</v>
      </c>
      <c r="AO134" s="2" t="s">
        <v>76</v>
      </c>
      <c r="AQ134" s="2" t="s">
        <v>75</v>
      </c>
      <c r="AR134" s="2" t="s">
        <v>76</v>
      </c>
      <c r="AS134" s="1">
        <v>1995.0</v>
      </c>
      <c r="AT134" s="1">
        <v>1995.0</v>
      </c>
      <c r="AU134" s="1">
        <v>1013.0</v>
      </c>
      <c r="AV134" s="1">
        <v>5.0</v>
      </c>
      <c r="AW134" s="1">
        <v>17.0</v>
      </c>
      <c r="AX134" s="1">
        <v>9481.0</v>
      </c>
      <c r="AY134" s="1">
        <v>1131.0</v>
      </c>
      <c r="AZ134" s="1" t="s">
        <v>758</v>
      </c>
      <c r="BA134" s="1" t="s">
        <v>121</v>
      </c>
    </row>
    <row r="135">
      <c r="A135" s="1" t="s">
        <v>751</v>
      </c>
      <c r="B135" s="1" t="s">
        <v>268</v>
      </c>
      <c r="C135" s="1">
        <v>2004.0</v>
      </c>
      <c r="D135" s="1" t="s">
        <v>730</v>
      </c>
      <c r="E135" s="1" t="s">
        <v>752</v>
      </c>
      <c r="H135" s="1" t="s">
        <v>753</v>
      </c>
      <c r="I135" s="1">
        <v>61.0</v>
      </c>
      <c r="K135" s="2" t="s">
        <v>754</v>
      </c>
      <c r="L135" s="2" t="s">
        <v>60</v>
      </c>
      <c r="M135" s="1" t="s">
        <v>1982</v>
      </c>
      <c r="N135" s="1" t="s">
        <v>62</v>
      </c>
      <c r="O135" s="1" t="s">
        <v>737</v>
      </c>
      <c r="P135" s="1" t="s">
        <v>756</v>
      </c>
      <c r="Q135" s="1">
        <v>13.854167</v>
      </c>
      <c r="R135" s="1">
        <v>-89.885556</v>
      </c>
      <c r="S135" s="1" t="s">
        <v>148</v>
      </c>
      <c r="T135" s="2" t="s">
        <v>66</v>
      </c>
      <c r="U135" s="3" t="s">
        <v>67</v>
      </c>
      <c r="V135" s="3" t="s">
        <v>68</v>
      </c>
      <c r="W135" s="1" t="s">
        <v>589</v>
      </c>
      <c r="X135" s="1" t="s">
        <v>70</v>
      </c>
      <c r="Y135" s="5" t="s">
        <v>60</v>
      </c>
      <c r="Z135" s="3" t="s">
        <v>345</v>
      </c>
      <c r="AB135" s="1">
        <v>4.0</v>
      </c>
      <c r="AH135" s="1">
        <v>1.0</v>
      </c>
      <c r="AI135" s="1" t="s">
        <v>757</v>
      </c>
      <c r="AJ135" s="1">
        <v>-6050.0</v>
      </c>
      <c r="AK135" s="1">
        <v>1998.0</v>
      </c>
      <c r="AL135" s="2" t="s">
        <v>73</v>
      </c>
      <c r="AM135" s="2" t="s">
        <v>76</v>
      </c>
      <c r="AN135" s="1" t="s">
        <v>400</v>
      </c>
      <c r="AO135" s="2" t="s">
        <v>76</v>
      </c>
      <c r="AQ135" s="2" t="s">
        <v>75</v>
      </c>
      <c r="AR135" s="2" t="s">
        <v>76</v>
      </c>
      <c r="AS135" s="1">
        <v>1995.0</v>
      </c>
      <c r="AT135" s="1">
        <v>1995.0</v>
      </c>
      <c r="AU135" s="1">
        <v>1013.0</v>
      </c>
      <c r="AV135" s="1">
        <v>5.0</v>
      </c>
      <c r="AW135" s="1">
        <v>17.0</v>
      </c>
      <c r="AX135" s="1">
        <v>9481.0</v>
      </c>
      <c r="AY135" s="1">
        <v>1131.0</v>
      </c>
      <c r="AZ135" s="1" t="s">
        <v>758</v>
      </c>
      <c r="BA135" s="1" t="s">
        <v>121</v>
      </c>
    </row>
    <row r="136">
      <c r="A136" s="1" t="s">
        <v>760</v>
      </c>
      <c r="B136" s="1" t="s">
        <v>53</v>
      </c>
      <c r="C136" s="1">
        <v>2004.0</v>
      </c>
      <c r="D136" s="1" t="s">
        <v>761</v>
      </c>
      <c r="E136" s="1" t="s">
        <v>762</v>
      </c>
      <c r="F136" s="1" t="s">
        <v>763</v>
      </c>
      <c r="G136" s="1" t="s">
        <v>764</v>
      </c>
      <c r="H136" s="1" t="s">
        <v>765</v>
      </c>
      <c r="I136" s="1">
        <v>109.0</v>
      </c>
      <c r="J136" s="1">
        <v>20.0</v>
      </c>
      <c r="K136" s="2" t="s">
        <v>766</v>
      </c>
      <c r="L136" s="2" t="s">
        <v>60</v>
      </c>
      <c r="M136" s="1" t="s">
        <v>767</v>
      </c>
      <c r="N136" s="1" t="s">
        <v>62</v>
      </c>
      <c r="O136" s="1" t="s">
        <v>146</v>
      </c>
      <c r="P136" s="1" t="s">
        <v>768</v>
      </c>
      <c r="Q136" s="1">
        <v>9.2</v>
      </c>
      <c r="R136" s="1">
        <v>-79.7</v>
      </c>
      <c r="S136" s="1" t="s">
        <v>94</v>
      </c>
      <c r="T136" s="2" t="s">
        <v>95</v>
      </c>
      <c r="U136" s="2" t="s">
        <v>96</v>
      </c>
      <c r="V136" s="3" t="s">
        <v>97</v>
      </c>
      <c r="W136" s="1" t="s">
        <v>769</v>
      </c>
      <c r="X136" s="2" t="s">
        <v>99</v>
      </c>
      <c r="Y136" s="6" t="s">
        <v>76</v>
      </c>
      <c r="Z136" s="3" t="s">
        <v>76</v>
      </c>
      <c r="AF136" s="1">
        <v>5.0</v>
      </c>
      <c r="AJ136" s="1">
        <v>-180.0</v>
      </c>
      <c r="AK136" s="1">
        <v>1320.0</v>
      </c>
      <c r="AL136" s="2" t="s">
        <v>153</v>
      </c>
      <c r="AM136" s="3" t="s">
        <v>60</v>
      </c>
      <c r="AN136" s="2" t="s">
        <v>72</v>
      </c>
      <c r="AO136" s="2" t="s">
        <v>101</v>
      </c>
      <c r="AQ136" s="2" t="s">
        <v>102</v>
      </c>
      <c r="AR136" s="2" t="s">
        <v>76</v>
      </c>
      <c r="AS136" s="1">
        <v>2748.0</v>
      </c>
      <c r="AT136" s="1">
        <v>2748.0</v>
      </c>
      <c r="AU136" s="1">
        <v>1040.0</v>
      </c>
      <c r="AV136" s="1">
        <v>18.0</v>
      </c>
      <c r="AW136" s="1">
        <v>103.0</v>
      </c>
      <c r="AX136" s="1">
        <v>6282.0</v>
      </c>
      <c r="AY136" s="1">
        <v>136.0</v>
      </c>
      <c r="AZ136" s="1" t="s">
        <v>120</v>
      </c>
      <c r="BA136" s="1" t="s">
        <v>121</v>
      </c>
    </row>
    <row r="137">
      <c r="A137" s="1" t="s">
        <v>760</v>
      </c>
      <c r="B137" s="1" t="s">
        <v>53</v>
      </c>
      <c r="C137" s="1">
        <v>2004.0</v>
      </c>
      <c r="D137" s="1" t="s">
        <v>761</v>
      </c>
      <c r="E137" s="1" t="s">
        <v>762</v>
      </c>
      <c r="F137" s="1" t="s">
        <v>763</v>
      </c>
      <c r="G137" s="1" t="s">
        <v>764</v>
      </c>
      <c r="H137" s="1" t="s">
        <v>765</v>
      </c>
      <c r="I137" s="1">
        <v>109.0</v>
      </c>
      <c r="J137" s="1">
        <v>20.0</v>
      </c>
      <c r="K137" s="2" t="s">
        <v>766</v>
      </c>
      <c r="L137" s="2" t="s">
        <v>60</v>
      </c>
      <c r="M137" s="1" t="s">
        <v>771</v>
      </c>
      <c r="N137" s="1" t="s">
        <v>62</v>
      </c>
      <c r="O137" s="1" t="s">
        <v>146</v>
      </c>
      <c r="P137" s="1" t="s">
        <v>768</v>
      </c>
      <c r="Q137" s="1">
        <v>9.2</v>
      </c>
      <c r="R137" s="1">
        <v>-79.7</v>
      </c>
      <c r="S137" s="1" t="s">
        <v>94</v>
      </c>
      <c r="T137" s="2" t="s">
        <v>135</v>
      </c>
      <c r="U137" s="2" t="s">
        <v>96</v>
      </c>
      <c r="V137" s="3" t="s">
        <v>97</v>
      </c>
      <c r="W137" s="1" t="s">
        <v>769</v>
      </c>
      <c r="X137" s="2" t="s">
        <v>99</v>
      </c>
      <c r="Y137" s="6" t="s">
        <v>76</v>
      </c>
      <c r="Z137" s="3" t="s">
        <v>76</v>
      </c>
      <c r="AF137" s="1">
        <v>5.0</v>
      </c>
      <c r="AJ137" s="1">
        <v>-180.0</v>
      </c>
      <c r="AK137" s="1">
        <v>1320.0</v>
      </c>
      <c r="AL137" s="2" t="s">
        <v>153</v>
      </c>
      <c r="AM137" s="3" t="s">
        <v>60</v>
      </c>
      <c r="AN137" s="2" t="s">
        <v>72</v>
      </c>
      <c r="AO137" s="2" t="s">
        <v>101</v>
      </c>
      <c r="AQ137" s="2" t="s">
        <v>102</v>
      </c>
      <c r="AR137" s="2" t="s">
        <v>76</v>
      </c>
      <c r="AS137" s="1">
        <v>2748.0</v>
      </c>
      <c r="AT137" s="1">
        <v>2748.0</v>
      </c>
      <c r="AU137" s="1">
        <v>1040.0</v>
      </c>
      <c r="AV137" s="1">
        <v>18.0</v>
      </c>
      <c r="AW137" s="1">
        <v>103.0</v>
      </c>
      <c r="AX137" s="1">
        <v>6282.0</v>
      </c>
      <c r="AY137" s="1">
        <v>136.0</v>
      </c>
      <c r="AZ137" s="1" t="s">
        <v>120</v>
      </c>
      <c r="BA137" s="1" t="s">
        <v>121</v>
      </c>
    </row>
    <row r="138">
      <c r="A138" s="1" t="s">
        <v>790</v>
      </c>
      <c r="B138" s="1" t="s">
        <v>53</v>
      </c>
      <c r="C138" s="1">
        <v>2005.0</v>
      </c>
      <c r="D138" s="1" t="s">
        <v>791</v>
      </c>
      <c r="E138" s="1" t="s">
        <v>792</v>
      </c>
      <c r="F138" s="1" t="s">
        <v>793</v>
      </c>
      <c r="G138" s="1" t="s">
        <v>794</v>
      </c>
      <c r="H138" s="1" t="s">
        <v>795</v>
      </c>
      <c r="I138" s="1">
        <v>221.0</v>
      </c>
      <c r="J138" s="1">
        <v>43862.0</v>
      </c>
      <c r="K138" s="2" t="s">
        <v>796</v>
      </c>
      <c r="L138" s="2" t="s">
        <v>60</v>
      </c>
      <c r="M138" s="1" t="s">
        <v>1289</v>
      </c>
      <c r="N138" s="1" t="s">
        <v>62</v>
      </c>
      <c r="O138" s="1" t="s">
        <v>112</v>
      </c>
      <c r="P138" s="1" t="s">
        <v>798</v>
      </c>
      <c r="Q138" s="1">
        <v>8.933333</v>
      </c>
      <c r="R138" s="1">
        <v>-82.933333</v>
      </c>
      <c r="S138" s="1" t="s">
        <v>148</v>
      </c>
      <c r="T138" s="3" t="s">
        <v>1150</v>
      </c>
      <c r="U138" s="3" t="s">
        <v>81</v>
      </c>
      <c r="V138" s="3" t="s">
        <v>68</v>
      </c>
      <c r="W138" s="1" t="s">
        <v>1290</v>
      </c>
      <c r="X138" s="2" t="s">
        <v>355</v>
      </c>
      <c r="Y138" s="6" t="s">
        <v>76</v>
      </c>
      <c r="Z138" s="3" t="s">
        <v>84</v>
      </c>
      <c r="AB138" s="1">
        <v>1.0</v>
      </c>
      <c r="AI138" s="1" t="s">
        <v>799</v>
      </c>
      <c r="AJ138" s="1">
        <v>200.0</v>
      </c>
      <c r="AK138" s="1">
        <v>1650.0</v>
      </c>
      <c r="AL138" s="2" t="s">
        <v>73</v>
      </c>
      <c r="AM138" s="2" t="s">
        <v>72</v>
      </c>
      <c r="AN138" s="1" t="s">
        <v>400</v>
      </c>
      <c r="AO138" s="2" t="s">
        <v>72</v>
      </c>
      <c r="AQ138" s="2" t="s">
        <v>75</v>
      </c>
      <c r="AR138" s="2" t="s">
        <v>76</v>
      </c>
      <c r="AS138" s="1">
        <v>2756.0</v>
      </c>
      <c r="AT138" s="1">
        <v>2756.0</v>
      </c>
      <c r="AU138" s="1">
        <v>1197.0</v>
      </c>
      <c r="AV138" s="1">
        <v>40.0</v>
      </c>
      <c r="AW138" s="1">
        <v>160.0</v>
      </c>
      <c r="AX138" s="1">
        <v>6258.0</v>
      </c>
      <c r="AY138" s="1">
        <v>1017.0</v>
      </c>
      <c r="AZ138" s="1" t="s">
        <v>281</v>
      </c>
      <c r="BA138" s="1" t="s">
        <v>121</v>
      </c>
    </row>
    <row r="139">
      <c r="A139" s="1" t="s">
        <v>790</v>
      </c>
      <c r="B139" s="1" t="s">
        <v>53</v>
      </c>
      <c r="C139" s="1">
        <v>2005.0</v>
      </c>
      <c r="D139" s="1" t="s">
        <v>791</v>
      </c>
      <c r="E139" s="1" t="s">
        <v>792</v>
      </c>
      <c r="F139" s="1" t="s">
        <v>793</v>
      </c>
      <c r="G139" s="1" t="s">
        <v>794</v>
      </c>
      <c r="H139" s="1" t="s">
        <v>795</v>
      </c>
      <c r="I139" s="1">
        <v>221.0</v>
      </c>
      <c r="J139" s="1">
        <v>43862.0</v>
      </c>
      <c r="K139" s="2" t="s">
        <v>796</v>
      </c>
      <c r="L139" s="2" t="s">
        <v>60</v>
      </c>
      <c r="M139" s="1" t="s">
        <v>1291</v>
      </c>
      <c r="N139" s="1" t="s">
        <v>62</v>
      </c>
      <c r="O139" s="1" t="s">
        <v>112</v>
      </c>
      <c r="P139" s="1" t="s">
        <v>798</v>
      </c>
      <c r="Q139" s="1">
        <v>8.933333</v>
      </c>
      <c r="R139" s="1">
        <v>-82.933333</v>
      </c>
      <c r="S139" s="1" t="s">
        <v>148</v>
      </c>
      <c r="T139" s="3" t="s">
        <v>1150</v>
      </c>
      <c r="U139" s="3" t="s">
        <v>81</v>
      </c>
      <c r="V139" s="3" t="s">
        <v>68</v>
      </c>
      <c r="W139" s="1" t="s">
        <v>1292</v>
      </c>
      <c r="X139" s="1" t="s">
        <v>355</v>
      </c>
      <c r="Y139" s="6" t="s">
        <v>76</v>
      </c>
      <c r="Z139" s="3" t="s">
        <v>84</v>
      </c>
      <c r="AB139" s="1">
        <v>1.0</v>
      </c>
      <c r="AI139" s="1" t="s">
        <v>799</v>
      </c>
      <c r="AJ139" s="1">
        <v>200.0</v>
      </c>
      <c r="AK139" s="1">
        <v>1250.0</v>
      </c>
      <c r="AL139" s="2" t="s">
        <v>73</v>
      </c>
      <c r="AM139" s="2" t="s">
        <v>72</v>
      </c>
      <c r="AN139" s="1" t="s">
        <v>400</v>
      </c>
      <c r="AO139" s="2" t="s">
        <v>72</v>
      </c>
      <c r="AQ139" s="2" t="s">
        <v>75</v>
      </c>
      <c r="AR139" s="2" t="s">
        <v>76</v>
      </c>
      <c r="AS139" s="1">
        <v>2756.0</v>
      </c>
      <c r="AT139" s="1">
        <v>2756.0</v>
      </c>
      <c r="AU139" s="1">
        <v>1197.0</v>
      </c>
      <c r="AV139" s="1">
        <v>40.0</v>
      </c>
      <c r="AW139" s="1">
        <v>160.0</v>
      </c>
      <c r="AX139" s="1">
        <v>6258.0</v>
      </c>
      <c r="AY139" s="1">
        <v>1017.0</v>
      </c>
      <c r="AZ139" s="1" t="s">
        <v>281</v>
      </c>
      <c r="BA139" s="1" t="s">
        <v>121</v>
      </c>
    </row>
    <row r="140">
      <c r="A140" s="1" t="s">
        <v>790</v>
      </c>
      <c r="B140" s="1" t="s">
        <v>53</v>
      </c>
      <c r="C140" s="1">
        <v>2005.0</v>
      </c>
      <c r="D140" s="1" t="s">
        <v>791</v>
      </c>
      <c r="E140" s="1" t="s">
        <v>792</v>
      </c>
      <c r="F140" s="1" t="s">
        <v>793</v>
      </c>
      <c r="G140" s="1" t="s">
        <v>794</v>
      </c>
      <c r="H140" s="1" t="s">
        <v>795</v>
      </c>
      <c r="I140" s="1">
        <v>221.0</v>
      </c>
      <c r="J140" s="1">
        <v>43862.0</v>
      </c>
      <c r="K140" s="2" t="s">
        <v>796</v>
      </c>
      <c r="L140" s="2" t="s">
        <v>60</v>
      </c>
      <c r="M140" s="1" t="s">
        <v>1293</v>
      </c>
      <c r="N140" s="1" t="s">
        <v>62</v>
      </c>
      <c r="O140" s="1" t="s">
        <v>112</v>
      </c>
      <c r="P140" s="1" t="s">
        <v>798</v>
      </c>
      <c r="Q140" s="1">
        <v>8.933333</v>
      </c>
      <c r="R140" s="1">
        <v>-82.933333</v>
      </c>
      <c r="S140" s="1" t="s">
        <v>148</v>
      </c>
      <c r="T140" s="3" t="s">
        <v>1150</v>
      </c>
      <c r="U140" s="3" t="s">
        <v>81</v>
      </c>
      <c r="V140" s="3" t="s">
        <v>68</v>
      </c>
      <c r="W140" s="1" t="s">
        <v>1294</v>
      </c>
      <c r="X140" s="2" t="s">
        <v>355</v>
      </c>
      <c r="Y140" s="6" t="s">
        <v>76</v>
      </c>
      <c r="Z140" s="3" t="s">
        <v>84</v>
      </c>
      <c r="AB140" s="1">
        <v>1.0</v>
      </c>
      <c r="AI140" s="1" t="s">
        <v>799</v>
      </c>
      <c r="AJ140" s="1">
        <v>200.0</v>
      </c>
      <c r="AK140" s="1">
        <v>1000.0</v>
      </c>
      <c r="AL140" s="2" t="s">
        <v>73</v>
      </c>
      <c r="AM140" s="2" t="s">
        <v>72</v>
      </c>
      <c r="AN140" s="1" t="s">
        <v>400</v>
      </c>
      <c r="AO140" s="2" t="s">
        <v>72</v>
      </c>
      <c r="AQ140" s="2" t="s">
        <v>75</v>
      </c>
      <c r="AR140" s="2" t="s">
        <v>76</v>
      </c>
      <c r="AS140" s="1">
        <v>2756.0</v>
      </c>
      <c r="AT140" s="1">
        <v>2756.0</v>
      </c>
      <c r="AU140" s="1">
        <v>1197.0</v>
      </c>
      <c r="AV140" s="1">
        <v>40.0</v>
      </c>
      <c r="AW140" s="1">
        <v>160.0</v>
      </c>
      <c r="AX140" s="1">
        <v>6258.0</v>
      </c>
      <c r="AY140" s="1">
        <v>1017.0</v>
      </c>
      <c r="AZ140" s="1" t="s">
        <v>281</v>
      </c>
      <c r="BA140" s="1" t="s">
        <v>121</v>
      </c>
    </row>
    <row r="141">
      <c r="A141" s="1" t="s">
        <v>790</v>
      </c>
      <c r="B141" s="1" t="s">
        <v>53</v>
      </c>
      <c r="C141" s="1">
        <v>2005.0</v>
      </c>
      <c r="D141" s="1" t="s">
        <v>791</v>
      </c>
      <c r="E141" s="1" t="s">
        <v>792</v>
      </c>
      <c r="F141" s="1" t="s">
        <v>793</v>
      </c>
      <c r="G141" s="1" t="s">
        <v>794</v>
      </c>
      <c r="H141" s="1" t="s">
        <v>795</v>
      </c>
      <c r="I141" s="1">
        <v>221.0</v>
      </c>
      <c r="J141" s="1">
        <v>43862.0</v>
      </c>
      <c r="K141" s="2" t="s">
        <v>796</v>
      </c>
      <c r="L141" s="2" t="s">
        <v>60</v>
      </c>
      <c r="M141" s="1" t="s">
        <v>1301</v>
      </c>
      <c r="N141" s="1" t="s">
        <v>62</v>
      </c>
      <c r="O141" s="1" t="s">
        <v>112</v>
      </c>
      <c r="P141" s="1" t="s">
        <v>798</v>
      </c>
      <c r="Q141" s="1">
        <v>8.933333</v>
      </c>
      <c r="R141" s="1">
        <v>-82.933333</v>
      </c>
      <c r="S141" s="1" t="s">
        <v>148</v>
      </c>
      <c r="T141" s="2" t="s">
        <v>80</v>
      </c>
      <c r="U141" s="3" t="s">
        <v>81</v>
      </c>
      <c r="V141" s="3" t="s">
        <v>68</v>
      </c>
      <c r="W141" s="1" t="s">
        <v>1302</v>
      </c>
      <c r="X141" s="1" t="s">
        <v>70</v>
      </c>
      <c r="Y141" s="6" t="s">
        <v>76</v>
      </c>
      <c r="Z141" s="3" t="s">
        <v>84</v>
      </c>
      <c r="AB141" s="1">
        <v>1.0</v>
      </c>
      <c r="AI141" s="1" t="s">
        <v>799</v>
      </c>
      <c r="AJ141" s="1">
        <v>140.0</v>
      </c>
      <c r="AK141" s="1">
        <v>1800.0</v>
      </c>
      <c r="AL141" s="2" t="s">
        <v>73</v>
      </c>
      <c r="AM141" s="2" t="s">
        <v>72</v>
      </c>
      <c r="AN141" s="1" t="s">
        <v>400</v>
      </c>
      <c r="AO141" s="2" t="s">
        <v>72</v>
      </c>
      <c r="AQ141" s="2" t="s">
        <v>75</v>
      </c>
      <c r="AR141" s="2" t="s">
        <v>76</v>
      </c>
      <c r="AS141" s="1">
        <v>2756.0</v>
      </c>
      <c r="AT141" s="1">
        <v>2756.0</v>
      </c>
      <c r="AU141" s="1">
        <v>1197.0</v>
      </c>
      <c r="AV141" s="1">
        <v>40.0</v>
      </c>
      <c r="AW141" s="1">
        <v>160.0</v>
      </c>
      <c r="AX141" s="1">
        <v>6258.0</v>
      </c>
      <c r="AY141" s="1">
        <v>1017.0</v>
      </c>
      <c r="AZ141" s="1" t="s">
        <v>281</v>
      </c>
      <c r="BA141" s="1" t="s">
        <v>121</v>
      </c>
    </row>
    <row r="142">
      <c r="A142" s="1" t="s">
        <v>790</v>
      </c>
      <c r="B142" s="1" t="s">
        <v>53</v>
      </c>
      <c r="C142" s="1">
        <v>2005.0</v>
      </c>
      <c r="D142" s="1" t="s">
        <v>791</v>
      </c>
      <c r="E142" s="1" t="s">
        <v>792</v>
      </c>
      <c r="F142" s="1" t="s">
        <v>793</v>
      </c>
      <c r="G142" s="1" t="s">
        <v>794</v>
      </c>
      <c r="H142" s="1" t="s">
        <v>795</v>
      </c>
      <c r="I142" s="1">
        <v>221.0</v>
      </c>
      <c r="J142" s="1">
        <v>43862.0</v>
      </c>
      <c r="K142" s="2" t="s">
        <v>796</v>
      </c>
      <c r="L142" s="2" t="s">
        <v>60</v>
      </c>
      <c r="M142" s="1" t="s">
        <v>1303</v>
      </c>
      <c r="N142" s="1" t="s">
        <v>62</v>
      </c>
      <c r="O142" s="1" t="s">
        <v>112</v>
      </c>
      <c r="P142" s="1" t="s">
        <v>798</v>
      </c>
      <c r="Q142" s="1">
        <v>8.933333</v>
      </c>
      <c r="R142" s="1">
        <v>-82.933333</v>
      </c>
      <c r="S142" s="1" t="s">
        <v>148</v>
      </c>
      <c r="T142" s="2" t="s">
        <v>66</v>
      </c>
      <c r="U142" s="3" t="s">
        <v>67</v>
      </c>
      <c r="V142" s="3" t="s">
        <v>68</v>
      </c>
      <c r="W142" s="1" t="s">
        <v>1077</v>
      </c>
      <c r="X142" s="1" t="s">
        <v>70</v>
      </c>
      <c r="Y142" s="5" t="s">
        <v>60</v>
      </c>
      <c r="Z142" s="3" t="s">
        <v>625</v>
      </c>
      <c r="AB142" s="1">
        <v>1.0</v>
      </c>
      <c r="AI142" s="1" t="s">
        <v>799</v>
      </c>
      <c r="AJ142" s="1">
        <v>140.0</v>
      </c>
      <c r="AK142" s="1">
        <v>1800.0</v>
      </c>
      <c r="AL142" s="2" t="s">
        <v>73</v>
      </c>
      <c r="AM142" s="2" t="s">
        <v>72</v>
      </c>
      <c r="AN142" s="1" t="s">
        <v>400</v>
      </c>
      <c r="AO142" s="2" t="s">
        <v>72</v>
      </c>
      <c r="AQ142" s="2" t="s">
        <v>75</v>
      </c>
      <c r="AR142" s="2" t="s">
        <v>76</v>
      </c>
      <c r="AS142" s="1">
        <v>2756.0</v>
      </c>
      <c r="AT142" s="1">
        <v>2756.0</v>
      </c>
      <c r="AU142" s="1">
        <v>1197.0</v>
      </c>
      <c r="AV142" s="1">
        <v>40.0</v>
      </c>
      <c r="AW142" s="1">
        <v>160.0</v>
      </c>
      <c r="AX142" s="1">
        <v>6258.0</v>
      </c>
      <c r="AY142" s="1">
        <v>1017.0</v>
      </c>
      <c r="AZ142" s="1" t="s">
        <v>281</v>
      </c>
      <c r="BA142" s="1" t="s">
        <v>121</v>
      </c>
    </row>
    <row r="143">
      <c r="A143" s="1" t="s">
        <v>897</v>
      </c>
      <c r="B143" s="1" t="s">
        <v>53</v>
      </c>
      <c r="C143" s="1">
        <v>2005.0</v>
      </c>
      <c r="D143" s="1" t="s">
        <v>898</v>
      </c>
      <c r="E143" s="1" t="s">
        <v>899</v>
      </c>
      <c r="F143" s="1" t="s">
        <v>732</v>
      </c>
      <c r="G143" s="1" t="s">
        <v>900</v>
      </c>
      <c r="H143" s="1" t="s">
        <v>901</v>
      </c>
      <c r="I143" s="1">
        <v>33.0</v>
      </c>
      <c r="J143" s="1">
        <v>3.0</v>
      </c>
      <c r="K143" s="2" t="s">
        <v>902</v>
      </c>
      <c r="L143" s="2" t="s">
        <v>76</v>
      </c>
      <c r="M143" s="1" t="s">
        <v>897</v>
      </c>
      <c r="N143" s="1" t="s">
        <v>62</v>
      </c>
      <c r="O143" s="1" t="s">
        <v>112</v>
      </c>
      <c r="P143" s="1" t="s">
        <v>597</v>
      </c>
      <c r="Q143" s="1">
        <v>8.813056</v>
      </c>
      <c r="R143" s="1">
        <v>-82.963056</v>
      </c>
      <c r="S143" s="1" t="s">
        <v>148</v>
      </c>
      <c r="T143" s="2" t="s">
        <v>149</v>
      </c>
      <c r="U143" s="2" t="s">
        <v>615</v>
      </c>
      <c r="V143" s="3" t="s">
        <v>97</v>
      </c>
      <c r="W143" s="1" t="s">
        <v>903</v>
      </c>
      <c r="X143" s="1" t="s">
        <v>70</v>
      </c>
      <c r="Y143" s="6" t="s">
        <v>76</v>
      </c>
      <c r="Z143" s="3" t="s">
        <v>380</v>
      </c>
      <c r="AB143" s="1">
        <v>3.0</v>
      </c>
      <c r="AI143" s="1" t="s">
        <v>904</v>
      </c>
      <c r="AJ143" s="1">
        <v>-1290.0</v>
      </c>
      <c r="AK143" s="1">
        <v>1950.0</v>
      </c>
      <c r="AL143" s="2" t="s">
        <v>73</v>
      </c>
      <c r="AM143" s="2" t="s">
        <v>72</v>
      </c>
      <c r="AN143" s="1" t="s">
        <v>400</v>
      </c>
      <c r="AO143" s="2" t="s">
        <v>72</v>
      </c>
      <c r="AQ143" s="2" t="s">
        <v>75</v>
      </c>
      <c r="AR143" s="2" t="s">
        <v>76</v>
      </c>
      <c r="AS143" s="1">
        <v>2841.0</v>
      </c>
      <c r="AT143" s="1">
        <v>2841.0</v>
      </c>
      <c r="AU143" s="1">
        <v>1165.0</v>
      </c>
      <c r="AV143" s="1">
        <v>40.0</v>
      </c>
      <c r="AW143" s="1">
        <v>166.0</v>
      </c>
      <c r="AX143" s="1">
        <v>6482.0</v>
      </c>
      <c r="AY143" s="1">
        <v>1094.0</v>
      </c>
      <c r="AZ143" s="1" t="s">
        <v>154</v>
      </c>
      <c r="BA143" s="1" t="s">
        <v>121</v>
      </c>
    </row>
    <row r="144">
      <c r="A144" s="1" t="s">
        <v>824</v>
      </c>
      <c r="B144" s="1" t="s">
        <v>53</v>
      </c>
      <c r="C144" s="1">
        <v>2005.0</v>
      </c>
      <c r="D144" s="1" t="s">
        <v>825</v>
      </c>
      <c r="E144" s="1" t="s">
        <v>826</v>
      </c>
      <c r="F144" s="1" t="s">
        <v>827</v>
      </c>
      <c r="G144" s="1" t="s">
        <v>828</v>
      </c>
      <c r="H144" s="1" t="s">
        <v>829</v>
      </c>
      <c r="I144" s="1">
        <v>20.0</v>
      </c>
      <c r="J144" s="1">
        <v>4.0</v>
      </c>
      <c r="K144" s="2" t="s">
        <v>830</v>
      </c>
      <c r="L144" s="2" t="s">
        <v>60</v>
      </c>
      <c r="M144" s="1" t="s">
        <v>1076</v>
      </c>
      <c r="N144" s="1" t="s">
        <v>62</v>
      </c>
      <c r="O144" s="1" t="s">
        <v>167</v>
      </c>
      <c r="P144" s="1" t="s">
        <v>512</v>
      </c>
      <c r="Q144" s="1">
        <v>16.998</v>
      </c>
      <c r="R144" s="1">
        <v>-89.779</v>
      </c>
      <c r="S144" s="1" t="s">
        <v>148</v>
      </c>
      <c r="T144" s="2" t="s">
        <v>66</v>
      </c>
      <c r="U144" s="2" t="s">
        <v>1073</v>
      </c>
      <c r="V144" s="3" t="s">
        <v>788</v>
      </c>
      <c r="W144" s="1" t="s">
        <v>1077</v>
      </c>
      <c r="X144" s="1" t="s">
        <v>70</v>
      </c>
      <c r="Y144" s="6" t="s">
        <v>76</v>
      </c>
      <c r="Z144" s="3" t="s">
        <v>76</v>
      </c>
      <c r="AA144" s="1">
        <v>1.0</v>
      </c>
      <c r="AB144" s="1">
        <v>2.0</v>
      </c>
      <c r="AI144" s="1" t="s">
        <v>1078</v>
      </c>
      <c r="AJ144" s="1">
        <v>-9300.0</v>
      </c>
      <c r="AK144" s="1">
        <v>-3300.0</v>
      </c>
      <c r="AL144" s="2" t="s">
        <v>100</v>
      </c>
      <c r="AM144" s="2" t="s">
        <v>72</v>
      </c>
      <c r="AN144" s="1" t="s">
        <v>400</v>
      </c>
      <c r="AO144" s="2" t="s">
        <v>72</v>
      </c>
      <c r="AQ144" s="2" t="s">
        <v>102</v>
      </c>
      <c r="AR144" s="2" t="s">
        <v>76</v>
      </c>
      <c r="AS144" s="1">
        <v>1675.0</v>
      </c>
      <c r="AT144" s="1">
        <v>1675.0</v>
      </c>
      <c r="AU144" s="1">
        <v>675.0</v>
      </c>
      <c r="AV144" s="1">
        <v>36.0</v>
      </c>
      <c r="AW144" s="1">
        <v>133.0</v>
      </c>
      <c r="AX144" s="1">
        <v>5856.0</v>
      </c>
      <c r="AY144" s="1">
        <v>110.0</v>
      </c>
      <c r="AZ144" s="1" t="s">
        <v>133</v>
      </c>
      <c r="BA144" s="1" t="s">
        <v>121</v>
      </c>
    </row>
    <row r="145">
      <c r="A145" s="1" t="s">
        <v>824</v>
      </c>
      <c r="B145" s="1" t="s">
        <v>53</v>
      </c>
      <c r="C145" s="1">
        <v>2005.0</v>
      </c>
      <c r="D145" s="1" t="s">
        <v>825</v>
      </c>
      <c r="E145" s="1" t="s">
        <v>826</v>
      </c>
      <c r="F145" s="1" t="s">
        <v>827</v>
      </c>
      <c r="G145" s="1" t="s">
        <v>828</v>
      </c>
      <c r="H145" s="1" t="s">
        <v>829</v>
      </c>
      <c r="I145" s="1">
        <v>20.0</v>
      </c>
      <c r="J145" s="1">
        <v>4.0</v>
      </c>
      <c r="K145" s="2" t="s">
        <v>830</v>
      </c>
      <c r="L145" s="2" t="s">
        <v>60</v>
      </c>
      <c r="M145" s="1" t="s">
        <v>1079</v>
      </c>
      <c r="N145" s="1" t="s">
        <v>62</v>
      </c>
      <c r="O145" s="1" t="s">
        <v>167</v>
      </c>
      <c r="P145" s="1" t="s">
        <v>512</v>
      </c>
      <c r="Q145" s="1">
        <v>17.0</v>
      </c>
      <c r="R145" s="1">
        <v>-89.779</v>
      </c>
      <c r="S145" s="1" t="s">
        <v>148</v>
      </c>
      <c r="T145" s="2" t="s">
        <v>95</v>
      </c>
      <c r="U145" s="2" t="s">
        <v>615</v>
      </c>
      <c r="V145" s="3" t="s">
        <v>97</v>
      </c>
      <c r="W145" s="1" t="s">
        <v>264</v>
      </c>
      <c r="X145" s="1" t="s">
        <v>256</v>
      </c>
      <c r="Y145" s="6" t="s">
        <v>76</v>
      </c>
      <c r="Z145" s="3" t="s">
        <v>76</v>
      </c>
      <c r="AA145" s="1">
        <v>1.0</v>
      </c>
      <c r="AB145" s="1">
        <v>12.0</v>
      </c>
      <c r="AI145" s="1" t="s">
        <v>833</v>
      </c>
      <c r="AJ145" s="1">
        <v>-9050.0</v>
      </c>
      <c r="AK145" s="1">
        <v>1600.0</v>
      </c>
      <c r="AL145" s="2" t="s">
        <v>100</v>
      </c>
      <c r="AM145" s="2" t="s">
        <v>72</v>
      </c>
      <c r="AN145" s="1" t="s">
        <v>400</v>
      </c>
      <c r="AO145" s="2" t="s">
        <v>72</v>
      </c>
      <c r="AQ145" s="2" t="s">
        <v>102</v>
      </c>
      <c r="AR145" s="2" t="s">
        <v>76</v>
      </c>
      <c r="AS145" s="1">
        <v>1675.0</v>
      </c>
      <c r="AT145" s="1">
        <v>1675.0</v>
      </c>
      <c r="AU145" s="1">
        <v>675.0</v>
      </c>
      <c r="AV145" s="1">
        <v>36.0</v>
      </c>
      <c r="AW145" s="1">
        <v>133.0</v>
      </c>
      <c r="AX145" s="1">
        <v>5856.0</v>
      </c>
      <c r="AY145" s="1">
        <v>110.0</v>
      </c>
      <c r="AZ145" s="1" t="s">
        <v>133</v>
      </c>
      <c r="BA145" s="1" t="s">
        <v>121</v>
      </c>
    </row>
    <row r="146">
      <c r="A146" s="1" t="s">
        <v>824</v>
      </c>
      <c r="B146" s="1" t="s">
        <v>53</v>
      </c>
      <c r="C146" s="1">
        <v>2005.0</v>
      </c>
      <c r="D146" s="1" t="s">
        <v>825</v>
      </c>
      <c r="E146" s="1" t="s">
        <v>826</v>
      </c>
      <c r="F146" s="1" t="s">
        <v>827</v>
      </c>
      <c r="G146" s="1" t="s">
        <v>828</v>
      </c>
      <c r="H146" s="1" t="s">
        <v>829</v>
      </c>
      <c r="I146" s="1">
        <v>20.0</v>
      </c>
      <c r="J146" s="1">
        <v>4.0</v>
      </c>
      <c r="K146" s="2" t="s">
        <v>830</v>
      </c>
      <c r="L146" s="2" t="s">
        <v>60</v>
      </c>
      <c r="M146" s="1" t="s">
        <v>1080</v>
      </c>
      <c r="N146" s="1" t="s">
        <v>62</v>
      </c>
      <c r="O146" s="1" t="s">
        <v>167</v>
      </c>
      <c r="P146" s="1" t="s">
        <v>512</v>
      </c>
      <c r="Q146" s="1">
        <v>17.0</v>
      </c>
      <c r="R146" s="1">
        <v>-89.779</v>
      </c>
      <c r="S146" s="1" t="s">
        <v>148</v>
      </c>
      <c r="T146" s="2" t="s">
        <v>95</v>
      </c>
      <c r="U146" s="2" t="s">
        <v>615</v>
      </c>
      <c r="V146" s="3" t="s">
        <v>97</v>
      </c>
      <c r="W146" s="1" t="s">
        <v>264</v>
      </c>
      <c r="X146" s="1" t="s">
        <v>256</v>
      </c>
      <c r="Y146" s="6" t="s">
        <v>76</v>
      </c>
      <c r="Z146" s="3" t="s">
        <v>76</v>
      </c>
      <c r="AA146" s="1">
        <v>1.0</v>
      </c>
      <c r="AB146" s="1">
        <v>12.0</v>
      </c>
      <c r="AI146" s="1" t="s">
        <v>833</v>
      </c>
      <c r="AJ146" s="1">
        <v>-9050.0</v>
      </c>
      <c r="AK146" s="1">
        <v>1600.0</v>
      </c>
      <c r="AL146" s="2" t="s">
        <v>100</v>
      </c>
      <c r="AM146" s="2" t="s">
        <v>72</v>
      </c>
      <c r="AN146" s="1" t="s">
        <v>400</v>
      </c>
      <c r="AO146" s="2" t="s">
        <v>72</v>
      </c>
      <c r="AQ146" s="2" t="s">
        <v>102</v>
      </c>
      <c r="AR146" s="2" t="s">
        <v>76</v>
      </c>
      <c r="AS146" s="1">
        <v>1675.0</v>
      </c>
      <c r="AT146" s="1">
        <v>1675.0</v>
      </c>
      <c r="AU146" s="1">
        <v>675.0</v>
      </c>
      <c r="AV146" s="1">
        <v>36.0</v>
      </c>
      <c r="AW146" s="1">
        <v>133.0</v>
      </c>
      <c r="AX146" s="1">
        <v>5856.0</v>
      </c>
      <c r="AY146" s="1">
        <v>110.0</v>
      </c>
      <c r="AZ146" s="1" t="s">
        <v>133</v>
      </c>
      <c r="BA146" s="1" t="s">
        <v>121</v>
      </c>
    </row>
    <row r="147">
      <c r="A147" s="1" t="s">
        <v>1648</v>
      </c>
      <c r="B147" s="1" t="s">
        <v>53</v>
      </c>
      <c r="C147" s="1">
        <v>2005.0</v>
      </c>
      <c r="D147" s="1" t="s">
        <v>228</v>
      </c>
      <c r="E147" s="1" t="s">
        <v>1649</v>
      </c>
      <c r="F147" s="1" t="s">
        <v>1386</v>
      </c>
      <c r="G147" s="1" t="s">
        <v>1650</v>
      </c>
      <c r="H147" s="1" t="s">
        <v>1651</v>
      </c>
      <c r="I147" s="1">
        <v>24.0</v>
      </c>
      <c r="J147" s="1" t="s">
        <v>1652</v>
      </c>
      <c r="K147" s="2" t="s">
        <v>1653</v>
      </c>
      <c r="L147" s="2" t="s">
        <v>76</v>
      </c>
      <c r="M147" s="1" t="s">
        <v>1648</v>
      </c>
      <c r="N147" s="1" t="s">
        <v>62</v>
      </c>
      <c r="O147" s="1" t="s">
        <v>92</v>
      </c>
      <c r="P147" s="1" t="s">
        <v>466</v>
      </c>
      <c r="Q147" s="1">
        <v>19.857061</v>
      </c>
      <c r="R147" s="1">
        <v>-88.763083</v>
      </c>
      <c r="S147" s="1" t="s">
        <v>148</v>
      </c>
      <c r="T147" s="2" t="s">
        <v>1029</v>
      </c>
      <c r="U147" s="2" t="s">
        <v>615</v>
      </c>
      <c r="V147" s="3" t="s">
        <v>97</v>
      </c>
      <c r="W147" s="1" t="s">
        <v>1654</v>
      </c>
      <c r="X147" s="2" t="s">
        <v>1655</v>
      </c>
      <c r="Y147" s="6" t="s">
        <v>76</v>
      </c>
      <c r="Z147" s="3" t="s">
        <v>76</v>
      </c>
      <c r="AB147" s="1">
        <v>12.0</v>
      </c>
      <c r="AI147" s="2" t="s">
        <v>72</v>
      </c>
      <c r="AJ147" s="1">
        <v>-900.0</v>
      </c>
      <c r="AK147" s="1">
        <v>2000.0</v>
      </c>
      <c r="AL147" s="2" t="s">
        <v>73</v>
      </c>
      <c r="AM147" s="2" t="s">
        <v>72</v>
      </c>
      <c r="AN147" s="2" t="s">
        <v>72</v>
      </c>
      <c r="AO147" s="2" t="s">
        <v>72</v>
      </c>
      <c r="AQ147" s="2" t="s">
        <v>576</v>
      </c>
      <c r="AR147" s="2" t="s">
        <v>76</v>
      </c>
      <c r="AS147" s="1">
        <v>1254.0</v>
      </c>
      <c r="AT147" s="1">
        <v>1254.0</v>
      </c>
      <c r="AU147" s="1">
        <v>551.0</v>
      </c>
      <c r="AV147" s="1">
        <v>32.0</v>
      </c>
      <c r="AW147" s="1">
        <v>107.0</v>
      </c>
      <c r="AX147" s="1">
        <v>6228.0</v>
      </c>
      <c r="AY147" s="1">
        <v>36.0</v>
      </c>
      <c r="AZ147" s="1" t="s">
        <v>239</v>
      </c>
      <c r="BA147" s="1" t="s">
        <v>121</v>
      </c>
    </row>
    <row r="148">
      <c r="A148" s="1" t="s">
        <v>1983</v>
      </c>
      <c r="B148" s="1" t="s">
        <v>268</v>
      </c>
      <c r="C148" s="1">
        <v>2005.0</v>
      </c>
      <c r="D148" s="1" t="s">
        <v>1984</v>
      </c>
      <c r="E148" s="1" t="s">
        <v>1985</v>
      </c>
      <c r="H148" s="1" t="s">
        <v>1986</v>
      </c>
      <c r="I148" s="1">
        <v>63.0</v>
      </c>
      <c r="K148" s="2" t="s">
        <v>1987</v>
      </c>
      <c r="L148" s="2" t="s">
        <v>60</v>
      </c>
      <c r="M148" s="1" t="s">
        <v>1988</v>
      </c>
      <c r="N148" s="1" t="s">
        <v>62</v>
      </c>
      <c r="O148" s="1" t="s">
        <v>92</v>
      </c>
      <c r="P148" s="1" t="s">
        <v>1989</v>
      </c>
      <c r="Q148" s="1">
        <v>20.601667</v>
      </c>
      <c r="R148" s="1">
        <v>-89.7025</v>
      </c>
      <c r="S148" s="1" t="s">
        <v>148</v>
      </c>
      <c r="T148" s="2" t="s">
        <v>95</v>
      </c>
      <c r="U148" s="2" t="s">
        <v>1990</v>
      </c>
      <c r="V148" s="3" t="s">
        <v>97</v>
      </c>
      <c r="W148" s="1" t="s">
        <v>264</v>
      </c>
      <c r="X148" s="2" t="s">
        <v>728</v>
      </c>
      <c r="Y148" s="6" t="s">
        <v>76</v>
      </c>
      <c r="Z148" s="3" t="s">
        <v>76</v>
      </c>
      <c r="AB148" s="1">
        <v>8.0</v>
      </c>
      <c r="AI148" s="2" t="s">
        <v>1991</v>
      </c>
      <c r="AJ148" s="1">
        <v>-2600.0</v>
      </c>
      <c r="AK148" s="1">
        <v>1400.0</v>
      </c>
      <c r="AL148" s="2" t="s">
        <v>73</v>
      </c>
      <c r="AM148" s="3" t="s">
        <v>60</v>
      </c>
      <c r="AN148" s="1" t="s">
        <v>400</v>
      </c>
      <c r="AO148" s="2" t="s">
        <v>76</v>
      </c>
      <c r="AQ148" s="2" t="s">
        <v>102</v>
      </c>
      <c r="AR148" s="2" t="s">
        <v>76</v>
      </c>
      <c r="AS148" s="1">
        <v>1101.0</v>
      </c>
      <c r="AT148" s="1">
        <v>1101.0</v>
      </c>
      <c r="AU148" s="1">
        <v>546.0</v>
      </c>
      <c r="AV148" s="1">
        <v>24.0</v>
      </c>
      <c r="AW148" s="1">
        <v>82.0</v>
      </c>
      <c r="AX148" s="1">
        <v>7316.0</v>
      </c>
      <c r="AY148" s="1">
        <v>19.0</v>
      </c>
      <c r="AZ148" s="1" t="s">
        <v>103</v>
      </c>
      <c r="BA148" s="1" t="s">
        <v>104</v>
      </c>
    </row>
    <row r="149">
      <c r="A149" s="1" t="s">
        <v>1983</v>
      </c>
      <c r="B149" s="1" t="s">
        <v>268</v>
      </c>
      <c r="C149" s="1">
        <v>2005.0</v>
      </c>
      <c r="D149" s="1" t="s">
        <v>1984</v>
      </c>
      <c r="E149" s="1" t="s">
        <v>1985</v>
      </c>
      <c r="H149" s="1" t="s">
        <v>1986</v>
      </c>
      <c r="I149" s="1">
        <v>63.0</v>
      </c>
      <c r="K149" s="2" t="s">
        <v>1987</v>
      </c>
      <c r="L149" s="2" t="s">
        <v>60</v>
      </c>
      <c r="M149" s="1" t="s">
        <v>1992</v>
      </c>
      <c r="N149" s="1" t="s">
        <v>62</v>
      </c>
      <c r="O149" s="1" t="s">
        <v>92</v>
      </c>
      <c r="P149" s="1" t="s">
        <v>1989</v>
      </c>
      <c r="Q149" s="1">
        <v>20.601667</v>
      </c>
      <c r="R149" s="1">
        <v>-89.7025</v>
      </c>
      <c r="S149" s="1" t="s">
        <v>148</v>
      </c>
      <c r="T149" s="2" t="s">
        <v>95</v>
      </c>
      <c r="U149" s="2" t="s">
        <v>1990</v>
      </c>
      <c r="V149" s="3" t="s">
        <v>97</v>
      </c>
      <c r="W149" s="1" t="s">
        <v>264</v>
      </c>
      <c r="X149" s="2" t="s">
        <v>728</v>
      </c>
      <c r="Y149" s="6" t="s">
        <v>76</v>
      </c>
      <c r="Z149" s="3" t="s">
        <v>76</v>
      </c>
      <c r="AB149" s="1">
        <v>8.0</v>
      </c>
      <c r="AI149" s="2" t="s">
        <v>1991</v>
      </c>
      <c r="AJ149" s="1">
        <v>-2600.0</v>
      </c>
      <c r="AK149" s="1">
        <v>1950.0</v>
      </c>
      <c r="AL149" s="2" t="s">
        <v>73</v>
      </c>
      <c r="AM149" s="3" t="s">
        <v>60</v>
      </c>
      <c r="AN149" s="1" t="s">
        <v>400</v>
      </c>
      <c r="AO149" s="2" t="s">
        <v>76</v>
      </c>
      <c r="AQ149" s="2" t="s">
        <v>102</v>
      </c>
      <c r="AR149" s="2" t="s">
        <v>76</v>
      </c>
      <c r="AS149" s="1">
        <v>1101.0</v>
      </c>
      <c r="AT149" s="1">
        <v>1101.0</v>
      </c>
      <c r="AU149" s="1">
        <v>546.0</v>
      </c>
      <c r="AV149" s="1">
        <v>24.0</v>
      </c>
      <c r="AW149" s="1">
        <v>82.0</v>
      </c>
      <c r="AX149" s="1">
        <v>7316.0</v>
      </c>
      <c r="AY149" s="1">
        <v>19.0</v>
      </c>
      <c r="AZ149" s="1" t="s">
        <v>103</v>
      </c>
      <c r="BA149" s="1" t="s">
        <v>104</v>
      </c>
    </row>
    <row r="150">
      <c r="A150" s="1" t="s">
        <v>1983</v>
      </c>
      <c r="B150" s="1" t="s">
        <v>268</v>
      </c>
      <c r="C150" s="1">
        <v>2005.0</v>
      </c>
      <c r="D150" s="1" t="s">
        <v>1984</v>
      </c>
      <c r="E150" s="1" t="s">
        <v>1985</v>
      </c>
      <c r="H150" s="1" t="s">
        <v>1986</v>
      </c>
      <c r="I150" s="1">
        <v>63.0</v>
      </c>
      <c r="K150" s="2" t="s">
        <v>1987</v>
      </c>
      <c r="L150" s="2" t="s">
        <v>60</v>
      </c>
      <c r="M150" s="1" t="s">
        <v>1996</v>
      </c>
      <c r="N150" s="1" t="s">
        <v>62</v>
      </c>
      <c r="O150" s="1" t="s">
        <v>92</v>
      </c>
      <c r="P150" s="1" t="s">
        <v>1989</v>
      </c>
      <c r="Q150" s="1">
        <v>20.601667</v>
      </c>
      <c r="R150" s="1">
        <v>-89.7025</v>
      </c>
      <c r="S150" s="1" t="s">
        <v>148</v>
      </c>
      <c r="T150" s="2" t="s">
        <v>95</v>
      </c>
      <c r="U150" s="2" t="s">
        <v>1990</v>
      </c>
      <c r="V150" s="3" t="s">
        <v>97</v>
      </c>
      <c r="W150" s="1" t="s">
        <v>264</v>
      </c>
      <c r="X150" s="2" t="s">
        <v>728</v>
      </c>
      <c r="Y150" s="6" t="s">
        <v>76</v>
      </c>
      <c r="Z150" s="3" t="s">
        <v>76</v>
      </c>
      <c r="AB150" s="1">
        <v>8.0</v>
      </c>
      <c r="AI150" s="2" t="s">
        <v>1991</v>
      </c>
      <c r="AJ150" s="1">
        <v>-2600.0</v>
      </c>
      <c r="AK150" s="1">
        <v>1950.0</v>
      </c>
      <c r="AL150" s="2" t="s">
        <v>73</v>
      </c>
      <c r="AM150" s="3" t="s">
        <v>60</v>
      </c>
      <c r="AN150" s="1" t="s">
        <v>400</v>
      </c>
      <c r="AO150" s="2" t="s">
        <v>76</v>
      </c>
      <c r="AQ150" s="2" t="s">
        <v>102</v>
      </c>
      <c r="AR150" s="2" t="s">
        <v>76</v>
      </c>
      <c r="AS150" s="1">
        <v>1101.0</v>
      </c>
      <c r="AT150" s="1">
        <v>1101.0</v>
      </c>
      <c r="AU150" s="1">
        <v>546.0</v>
      </c>
      <c r="AV150" s="1">
        <v>24.0</v>
      </c>
      <c r="AW150" s="1">
        <v>82.0</v>
      </c>
      <c r="AX150" s="1">
        <v>7316.0</v>
      </c>
      <c r="AY150" s="1">
        <v>19.0</v>
      </c>
      <c r="AZ150" s="1" t="s">
        <v>103</v>
      </c>
      <c r="BA150" s="1" t="s">
        <v>104</v>
      </c>
    </row>
    <row r="151">
      <c r="A151" s="1" t="s">
        <v>485</v>
      </c>
      <c r="B151" s="1" t="s">
        <v>53</v>
      </c>
      <c r="C151" s="1">
        <v>2005.0</v>
      </c>
      <c r="D151" s="1" t="s">
        <v>486</v>
      </c>
      <c r="E151" s="1" t="s">
        <v>487</v>
      </c>
      <c r="F151" s="1" t="s">
        <v>488</v>
      </c>
      <c r="G151" s="1" t="s">
        <v>489</v>
      </c>
      <c r="H151" s="1" t="s">
        <v>490</v>
      </c>
      <c r="I151" s="1">
        <v>33.0</v>
      </c>
      <c r="J151" s="1">
        <v>1.0</v>
      </c>
      <c r="K151" s="2" t="s">
        <v>491</v>
      </c>
      <c r="L151" s="2" t="s">
        <v>60</v>
      </c>
      <c r="M151" s="1" t="s">
        <v>492</v>
      </c>
      <c r="N151" s="1" t="s">
        <v>62</v>
      </c>
      <c r="O151" s="1" t="s">
        <v>112</v>
      </c>
      <c r="P151" s="1" t="s">
        <v>493</v>
      </c>
      <c r="Q151" s="1">
        <v>10.554751</v>
      </c>
      <c r="R151" s="1">
        <v>-84.768433</v>
      </c>
      <c r="S151" s="1" t="s">
        <v>94</v>
      </c>
      <c r="T151" s="2" t="s">
        <v>135</v>
      </c>
      <c r="U151" s="2" t="s">
        <v>96</v>
      </c>
      <c r="V151" s="3" t="s">
        <v>97</v>
      </c>
      <c r="W151" s="1" t="s">
        <v>494</v>
      </c>
      <c r="X151" s="2" t="s">
        <v>99</v>
      </c>
      <c r="Y151" s="6" t="s">
        <v>76</v>
      </c>
      <c r="Z151" s="3" t="s">
        <v>76</v>
      </c>
      <c r="AF151" s="1">
        <v>8.0</v>
      </c>
      <c r="AJ151" s="1">
        <v>-6890.0</v>
      </c>
      <c r="AK151" s="1">
        <v>-2970.0</v>
      </c>
      <c r="AL151" s="2" t="s">
        <v>153</v>
      </c>
      <c r="AM151" s="2" t="s">
        <v>60</v>
      </c>
      <c r="AN151" s="2" t="s">
        <v>72</v>
      </c>
      <c r="AO151" s="2" t="s">
        <v>72</v>
      </c>
      <c r="AQ151" s="2" t="s">
        <v>102</v>
      </c>
      <c r="AR151" s="2" t="s">
        <v>76</v>
      </c>
      <c r="AS151" s="1">
        <v>3499.0</v>
      </c>
      <c r="AT151" s="1">
        <v>3499.0</v>
      </c>
      <c r="AU151" s="1">
        <v>1184.0</v>
      </c>
      <c r="AV151" s="1">
        <v>62.0</v>
      </c>
      <c r="AW151" s="1">
        <v>304.0</v>
      </c>
      <c r="AX151" s="1">
        <v>4357.0</v>
      </c>
      <c r="AY151" s="1">
        <v>406.0</v>
      </c>
      <c r="AZ151" s="1" t="s">
        <v>120</v>
      </c>
      <c r="BA151" s="1" t="s">
        <v>121</v>
      </c>
    </row>
    <row r="152">
      <c r="A152" s="1" t="s">
        <v>485</v>
      </c>
      <c r="B152" s="1" t="s">
        <v>53</v>
      </c>
      <c r="C152" s="1">
        <v>2005.0</v>
      </c>
      <c r="D152" s="1" t="s">
        <v>486</v>
      </c>
      <c r="E152" s="1" t="s">
        <v>487</v>
      </c>
      <c r="F152" s="1" t="s">
        <v>488</v>
      </c>
      <c r="G152" s="1" t="s">
        <v>489</v>
      </c>
      <c r="H152" s="1" t="s">
        <v>490</v>
      </c>
      <c r="I152" s="1">
        <v>33.0</v>
      </c>
      <c r="J152" s="1">
        <v>1.0</v>
      </c>
      <c r="K152" s="2" t="s">
        <v>491</v>
      </c>
      <c r="L152" s="2" t="s">
        <v>60</v>
      </c>
      <c r="M152" s="1" t="s">
        <v>495</v>
      </c>
      <c r="N152" s="1" t="s">
        <v>62</v>
      </c>
      <c r="O152" s="1" t="s">
        <v>112</v>
      </c>
      <c r="P152" s="1" t="s">
        <v>493</v>
      </c>
      <c r="Q152" s="1">
        <v>10.554751</v>
      </c>
      <c r="R152" s="1">
        <v>-84.768433</v>
      </c>
      <c r="S152" s="1" t="s">
        <v>94</v>
      </c>
      <c r="T152" s="2" t="s">
        <v>95</v>
      </c>
      <c r="U152" s="2" t="s">
        <v>96</v>
      </c>
      <c r="V152" s="3" t="s">
        <v>97</v>
      </c>
      <c r="W152" s="1" t="s">
        <v>494</v>
      </c>
      <c r="X152" s="2" t="s">
        <v>99</v>
      </c>
      <c r="Y152" s="6" t="s">
        <v>76</v>
      </c>
      <c r="Z152" s="3" t="s">
        <v>76</v>
      </c>
      <c r="AF152" s="1">
        <v>8.0</v>
      </c>
      <c r="AJ152" s="1">
        <v>-6890.0</v>
      </c>
      <c r="AK152" s="1">
        <v>-2970.0</v>
      </c>
      <c r="AL152" s="2" t="s">
        <v>153</v>
      </c>
      <c r="AM152" s="2" t="s">
        <v>60</v>
      </c>
      <c r="AN152" s="2" t="s">
        <v>72</v>
      </c>
      <c r="AO152" s="2" t="s">
        <v>72</v>
      </c>
      <c r="AQ152" s="2" t="s">
        <v>102</v>
      </c>
      <c r="AR152" s="2" t="s">
        <v>76</v>
      </c>
      <c r="AS152" s="1">
        <v>3499.0</v>
      </c>
      <c r="AT152" s="1">
        <v>3499.0</v>
      </c>
      <c r="AU152" s="1">
        <v>1184.0</v>
      </c>
      <c r="AV152" s="1">
        <v>62.0</v>
      </c>
      <c r="AW152" s="1">
        <v>304.0</v>
      </c>
      <c r="AX152" s="1">
        <v>4357.0</v>
      </c>
      <c r="AY152" s="1">
        <v>406.0</v>
      </c>
      <c r="AZ152" s="1" t="s">
        <v>120</v>
      </c>
      <c r="BA152" s="1" t="s">
        <v>121</v>
      </c>
    </row>
    <row r="153">
      <c r="A153" s="1" t="s">
        <v>1304</v>
      </c>
      <c r="B153" s="1" t="s">
        <v>53</v>
      </c>
      <c r="C153" s="1">
        <v>2006.0</v>
      </c>
      <c r="D153" s="1" t="s">
        <v>1305</v>
      </c>
      <c r="E153" s="1" t="s">
        <v>1306</v>
      </c>
      <c r="F153" s="1" t="s">
        <v>793</v>
      </c>
      <c r="G153" s="1" t="s">
        <v>1307</v>
      </c>
      <c r="H153" s="1" t="s">
        <v>1308</v>
      </c>
      <c r="I153" s="1">
        <v>230.0</v>
      </c>
      <c r="J153" s="1">
        <v>43862.0</v>
      </c>
      <c r="K153" s="2" t="s">
        <v>1309</v>
      </c>
      <c r="L153" s="2" t="s">
        <v>76</v>
      </c>
      <c r="M153" s="1" t="s">
        <v>1304</v>
      </c>
      <c r="N153" s="1" t="s">
        <v>62</v>
      </c>
      <c r="O153" s="1" t="s">
        <v>167</v>
      </c>
      <c r="P153" s="1" t="s">
        <v>512</v>
      </c>
      <c r="Q153" s="1">
        <v>17.0</v>
      </c>
      <c r="R153" s="1">
        <v>-89.779</v>
      </c>
      <c r="S153" s="1" t="s">
        <v>148</v>
      </c>
      <c r="T153" s="2" t="s">
        <v>275</v>
      </c>
      <c r="U153" s="2" t="s">
        <v>615</v>
      </c>
      <c r="V153" s="3" t="s">
        <v>97</v>
      </c>
      <c r="W153" s="1" t="s">
        <v>278</v>
      </c>
      <c r="X153" s="1" t="s">
        <v>279</v>
      </c>
      <c r="Y153" s="6" t="s">
        <v>76</v>
      </c>
      <c r="Z153" s="3" t="s">
        <v>76</v>
      </c>
      <c r="AB153" s="1">
        <v>19.0</v>
      </c>
      <c r="AI153" s="2" t="s">
        <v>72</v>
      </c>
      <c r="AJ153" s="1">
        <v>-9050.0</v>
      </c>
      <c r="AK153" s="1">
        <v>1950.0</v>
      </c>
      <c r="AL153" s="2" t="s">
        <v>73</v>
      </c>
      <c r="AM153" s="2" t="s">
        <v>72</v>
      </c>
      <c r="AN153" s="1" t="s">
        <v>400</v>
      </c>
      <c r="AO153" s="2" t="s">
        <v>72</v>
      </c>
      <c r="AQ153" s="2" t="s">
        <v>75</v>
      </c>
      <c r="AR153" s="2" t="s">
        <v>76</v>
      </c>
      <c r="AS153" s="1">
        <v>1675.0</v>
      </c>
      <c r="AT153" s="1">
        <v>1675.0</v>
      </c>
      <c r="AU153" s="1">
        <v>675.0</v>
      </c>
      <c r="AV153" s="1">
        <v>36.0</v>
      </c>
      <c r="AW153" s="1">
        <v>133.0</v>
      </c>
      <c r="AX153" s="1">
        <v>5856.0</v>
      </c>
      <c r="AY153" s="1">
        <v>110.0</v>
      </c>
      <c r="AZ153" s="1" t="s">
        <v>133</v>
      </c>
      <c r="BA153" s="1" t="s">
        <v>121</v>
      </c>
    </row>
    <row r="154">
      <c r="A154" s="1" t="s">
        <v>1153</v>
      </c>
      <c r="B154" s="1" t="s">
        <v>53</v>
      </c>
      <c r="C154" s="1">
        <v>2006.0</v>
      </c>
      <c r="D154" s="1" t="s">
        <v>1154</v>
      </c>
      <c r="E154" s="1" t="s">
        <v>1155</v>
      </c>
      <c r="F154" s="1" t="s">
        <v>631</v>
      </c>
      <c r="H154" s="1" t="s">
        <v>1156</v>
      </c>
      <c r="I154" s="1">
        <v>17.0</v>
      </c>
      <c r="J154" s="1">
        <v>3.0</v>
      </c>
      <c r="K154" s="2" t="s">
        <v>1157</v>
      </c>
      <c r="L154" s="2" t="s">
        <v>60</v>
      </c>
      <c r="M154" s="1" t="s">
        <v>1158</v>
      </c>
      <c r="N154" s="1" t="s">
        <v>62</v>
      </c>
      <c r="O154" s="1" t="s">
        <v>167</v>
      </c>
      <c r="P154" s="1" t="s">
        <v>1159</v>
      </c>
      <c r="Q154" s="1">
        <v>13.941022</v>
      </c>
      <c r="R154" s="1">
        <v>-90.629732</v>
      </c>
      <c r="S154" s="1" t="s">
        <v>1160</v>
      </c>
      <c r="T154" s="2" t="s">
        <v>599</v>
      </c>
      <c r="U154" s="3" t="s">
        <v>81</v>
      </c>
      <c r="V154" s="3" t="s">
        <v>68</v>
      </c>
      <c r="W154" s="2" t="s">
        <v>72</v>
      </c>
      <c r="X154" s="1" t="s">
        <v>1161</v>
      </c>
      <c r="Y154" s="6" t="s">
        <v>76</v>
      </c>
      <c r="Z154" s="3" t="s">
        <v>84</v>
      </c>
      <c r="AB154" s="1">
        <v>6.0</v>
      </c>
      <c r="AI154" s="2" t="s">
        <v>72</v>
      </c>
      <c r="AJ154" s="1">
        <v>-3600.0</v>
      </c>
      <c r="AK154" s="1">
        <v>1805.0</v>
      </c>
      <c r="AL154" s="2" t="s">
        <v>73</v>
      </c>
      <c r="AM154" s="2" t="s">
        <v>72</v>
      </c>
      <c r="AN154" s="1" t="s">
        <v>74</v>
      </c>
      <c r="AO154" s="2" t="s">
        <v>72</v>
      </c>
      <c r="AQ154" s="2" t="s">
        <v>75</v>
      </c>
      <c r="AR154" s="2" t="s">
        <v>76</v>
      </c>
      <c r="AS154" s="1">
        <v>1707.0</v>
      </c>
      <c r="AT154" s="1">
        <v>1707.0</v>
      </c>
      <c r="AU154" s="1">
        <v>819.0</v>
      </c>
      <c r="AV154" s="1">
        <v>2.0</v>
      </c>
      <c r="AW154" s="1">
        <v>12.0</v>
      </c>
      <c r="AX154" s="1">
        <v>9271.0</v>
      </c>
      <c r="AY154" s="1">
        <v>7.0</v>
      </c>
      <c r="AZ154" s="1" t="s">
        <v>1162</v>
      </c>
      <c r="BA154" s="1" t="s">
        <v>659</v>
      </c>
    </row>
    <row r="155">
      <c r="A155" s="1" t="s">
        <v>1153</v>
      </c>
      <c r="B155" s="1" t="s">
        <v>53</v>
      </c>
      <c r="C155" s="1">
        <v>2006.0</v>
      </c>
      <c r="D155" s="1" t="s">
        <v>1154</v>
      </c>
      <c r="E155" s="1" t="s">
        <v>1155</v>
      </c>
      <c r="F155" s="1" t="s">
        <v>631</v>
      </c>
      <c r="H155" s="1" t="s">
        <v>1156</v>
      </c>
      <c r="I155" s="1">
        <v>17.0</v>
      </c>
      <c r="J155" s="1">
        <v>3.0</v>
      </c>
      <c r="K155" s="2" t="s">
        <v>1157</v>
      </c>
      <c r="L155" s="2" t="s">
        <v>60</v>
      </c>
      <c r="M155" s="1" t="s">
        <v>1163</v>
      </c>
      <c r="N155" s="1" t="s">
        <v>62</v>
      </c>
      <c r="O155" s="1" t="s">
        <v>167</v>
      </c>
      <c r="P155" s="1" t="s">
        <v>1159</v>
      </c>
      <c r="Q155" s="1">
        <v>13.941022</v>
      </c>
      <c r="R155" s="1">
        <v>-90.629732</v>
      </c>
      <c r="S155" s="1" t="s">
        <v>1160</v>
      </c>
      <c r="T155" s="2" t="s">
        <v>599</v>
      </c>
      <c r="U155" s="3" t="s">
        <v>81</v>
      </c>
      <c r="V155" s="3" t="s">
        <v>68</v>
      </c>
      <c r="W155" s="2" t="s">
        <v>72</v>
      </c>
      <c r="X155" s="1" t="s">
        <v>1161</v>
      </c>
      <c r="Y155" s="6" t="s">
        <v>76</v>
      </c>
      <c r="Z155" s="3" t="s">
        <v>84</v>
      </c>
      <c r="AB155" s="1">
        <v>8.0</v>
      </c>
      <c r="AI155" s="2" t="s">
        <v>72</v>
      </c>
      <c r="AJ155" s="1">
        <v>-3800.0</v>
      </c>
      <c r="AK155" s="1">
        <v>-2000.0</v>
      </c>
      <c r="AL155" s="2" t="s">
        <v>73</v>
      </c>
      <c r="AM155" s="2" t="s">
        <v>72</v>
      </c>
      <c r="AN155" s="1" t="s">
        <v>74</v>
      </c>
      <c r="AO155" s="2" t="s">
        <v>72</v>
      </c>
      <c r="AQ155" s="2" t="s">
        <v>75</v>
      </c>
      <c r="AR155" s="2" t="s">
        <v>76</v>
      </c>
      <c r="AS155" s="1">
        <v>1707.0</v>
      </c>
      <c r="AT155" s="1">
        <v>1707.0</v>
      </c>
      <c r="AU155" s="1">
        <v>819.0</v>
      </c>
      <c r="AV155" s="1">
        <v>2.0</v>
      </c>
      <c r="AW155" s="1">
        <v>12.0</v>
      </c>
      <c r="AX155" s="1">
        <v>9271.0</v>
      </c>
      <c r="AY155" s="1">
        <v>7.0</v>
      </c>
      <c r="AZ155" s="1" t="s">
        <v>1162</v>
      </c>
      <c r="BA155" s="1" t="s">
        <v>659</v>
      </c>
    </row>
    <row r="156">
      <c r="A156" s="1" t="s">
        <v>1153</v>
      </c>
      <c r="B156" s="1" t="s">
        <v>53</v>
      </c>
      <c r="C156" s="1">
        <v>2006.0</v>
      </c>
      <c r="D156" s="1" t="s">
        <v>1154</v>
      </c>
      <c r="E156" s="1" t="s">
        <v>1155</v>
      </c>
      <c r="F156" s="1" t="s">
        <v>631</v>
      </c>
      <c r="H156" s="1" t="s">
        <v>1156</v>
      </c>
      <c r="I156" s="1">
        <v>17.0</v>
      </c>
      <c r="J156" s="1">
        <v>3.0</v>
      </c>
      <c r="K156" s="2" t="s">
        <v>1157</v>
      </c>
      <c r="L156" s="2" t="s">
        <v>60</v>
      </c>
      <c r="M156" s="1" t="s">
        <v>1164</v>
      </c>
      <c r="N156" s="1" t="s">
        <v>62</v>
      </c>
      <c r="O156" s="1" t="s">
        <v>167</v>
      </c>
      <c r="P156" s="1" t="s">
        <v>1159</v>
      </c>
      <c r="Q156" s="1">
        <v>13.941022</v>
      </c>
      <c r="R156" s="1">
        <v>-90.629732</v>
      </c>
      <c r="S156" s="1" t="s">
        <v>1160</v>
      </c>
      <c r="T156" s="2" t="s">
        <v>599</v>
      </c>
      <c r="U156" s="3" t="s">
        <v>81</v>
      </c>
      <c r="V156" s="3" t="s">
        <v>68</v>
      </c>
      <c r="W156" s="2" t="s">
        <v>72</v>
      </c>
      <c r="X156" s="1" t="s">
        <v>1161</v>
      </c>
      <c r="Y156" s="6" t="s">
        <v>76</v>
      </c>
      <c r="Z156" s="3" t="s">
        <v>84</v>
      </c>
      <c r="AB156" s="1">
        <v>5.0</v>
      </c>
      <c r="AI156" s="2" t="s">
        <v>72</v>
      </c>
      <c r="AJ156" s="1">
        <v>-1998.0</v>
      </c>
      <c r="AK156" s="1">
        <v>-1000.0</v>
      </c>
      <c r="AL156" s="2" t="s">
        <v>73</v>
      </c>
      <c r="AM156" s="2" t="s">
        <v>72</v>
      </c>
      <c r="AN156" s="1" t="s">
        <v>74</v>
      </c>
      <c r="AO156" s="2" t="s">
        <v>72</v>
      </c>
      <c r="AQ156" s="2" t="s">
        <v>75</v>
      </c>
      <c r="AR156" s="2" t="s">
        <v>76</v>
      </c>
      <c r="AS156" s="1">
        <v>1707.0</v>
      </c>
      <c r="AT156" s="1">
        <v>1707.0</v>
      </c>
      <c r="AU156" s="1">
        <v>819.0</v>
      </c>
      <c r="AV156" s="1">
        <v>2.0</v>
      </c>
      <c r="AW156" s="1">
        <v>12.0</v>
      </c>
      <c r="AX156" s="1">
        <v>9271.0</v>
      </c>
      <c r="AY156" s="1">
        <v>7.0</v>
      </c>
      <c r="AZ156" s="1" t="s">
        <v>1162</v>
      </c>
      <c r="BA156" s="1" t="s">
        <v>659</v>
      </c>
    </row>
    <row r="157">
      <c r="A157" s="1" t="s">
        <v>1153</v>
      </c>
      <c r="B157" s="1" t="s">
        <v>53</v>
      </c>
      <c r="C157" s="1">
        <v>2006.0</v>
      </c>
      <c r="D157" s="1" t="s">
        <v>1154</v>
      </c>
      <c r="E157" s="1" t="s">
        <v>1155</v>
      </c>
      <c r="F157" s="1" t="s">
        <v>631</v>
      </c>
      <c r="H157" s="1" t="s">
        <v>1156</v>
      </c>
      <c r="I157" s="1">
        <v>17.0</v>
      </c>
      <c r="J157" s="1">
        <v>3.0</v>
      </c>
      <c r="K157" s="2" t="s">
        <v>1157</v>
      </c>
      <c r="L157" s="2" t="s">
        <v>60</v>
      </c>
      <c r="M157" s="1" t="s">
        <v>1165</v>
      </c>
      <c r="N157" s="1" t="s">
        <v>62</v>
      </c>
      <c r="O157" s="1" t="s">
        <v>167</v>
      </c>
      <c r="P157" s="1" t="s">
        <v>1166</v>
      </c>
      <c r="Q157" s="1">
        <v>14.538711</v>
      </c>
      <c r="R157" s="1">
        <v>-92.202276</v>
      </c>
      <c r="S157" s="1" t="s">
        <v>1160</v>
      </c>
      <c r="T157" s="2" t="s">
        <v>599</v>
      </c>
      <c r="U157" s="3" t="s">
        <v>81</v>
      </c>
      <c r="V157" s="3" t="s">
        <v>68</v>
      </c>
      <c r="W157" s="2" t="s">
        <v>72</v>
      </c>
      <c r="X157" s="1" t="s">
        <v>1161</v>
      </c>
      <c r="Y157" s="6" t="s">
        <v>76</v>
      </c>
      <c r="Z157" s="3" t="s">
        <v>84</v>
      </c>
      <c r="AB157" s="1">
        <v>6.0</v>
      </c>
      <c r="AI157" s="2" t="s">
        <v>72</v>
      </c>
      <c r="AJ157" s="1">
        <v>-1030.0</v>
      </c>
      <c r="AK157" s="1">
        <v>1950.0</v>
      </c>
      <c r="AL157" s="2" t="s">
        <v>73</v>
      </c>
      <c r="AM157" s="2" t="s">
        <v>72</v>
      </c>
      <c r="AN157" s="1" t="s">
        <v>74</v>
      </c>
      <c r="AO157" s="2" t="s">
        <v>72</v>
      </c>
      <c r="AQ157" s="2" t="s">
        <v>75</v>
      </c>
      <c r="AR157" s="2" t="s">
        <v>76</v>
      </c>
      <c r="AS157" s="1">
        <v>1385.0</v>
      </c>
      <c r="AT157" s="1">
        <v>1385.0</v>
      </c>
      <c r="AU157" s="1">
        <v>680.0</v>
      </c>
      <c r="AV157" s="1">
        <v>2.0</v>
      </c>
      <c r="AW157" s="1">
        <v>11.0</v>
      </c>
      <c r="AX157" s="1">
        <v>9489.0</v>
      </c>
      <c r="AY157" s="1">
        <v>2.0</v>
      </c>
      <c r="AZ157" s="1" t="s">
        <v>1162</v>
      </c>
      <c r="BA157" s="1" t="s">
        <v>659</v>
      </c>
    </row>
    <row r="158">
      <c r="A158" s="1" t="s">
        <v>1153</v>
      </c>
      <c r="B158" s="1" t="s">
        <v>53</v>
      </c>
      <c r="C158" s="1">
        <v>2006.0</v>
      </c>
      <c r="D158" s="1" t="s">
        <v>1154</v>
      </c>
      <c r="E158" s="1" t="s">
        <v>1155</v>
      </c>
      <c r="F158" s="1" t="s">
        <v>631</v>
      </c>
      <c r="H158" s="1" t="s">
        <v>1156</v>
      </c>
      <c r="I158" s="1">
        <v>17.0</v>
      </c>
      <c r="J158" s="1">
        <v>3.0</v>
      </c>
      <c r="K158" s="2" t="s">
        <v>1157</v>
      </c>
      <c r="L158" s="2" t="s">
        <v>60</v>
      </c>
      <c r="M158" s="1" t="s">
        <v>1167</v>
      </c>
      <c r="N158" s="1" t="s">
        <v>62</v>
      </c>
      <c r="O158" s="1" t="s">
        <v>167</v>
      </c>
      <c r="P158" s="1" t="s">
        <v>1166</v>
      </c>
      <c r="Q158" s="1">
        <v>14.540503</v>
      </c>
      <c r="R158" s="1">
        <v>-92.188883</v>
      </c>
      <c r="S158" s="1" t="s">
        <v>1160</v>
      </c>
      <c r="T158" s="2" t="s">
        <v>599</v>
      </c>
      <c r="U158" s="3" t="s">
        <v>81</v>
      </c>
      <c r="V158" s="3" t="s">
        <v>68</v>
      </c>
      <c r="W158" s="2" t="s">
        <v>72</v>
      </c>
      <c r="X158" s="1" t="s">
        <v>1161</v>
      </c>
      <c r="Y158" s="6" t="s">
        <v>76</v>
      </c>
      <c r="Z158" s="3" t="s">
        <v>84</v>
      </c>
      <c r="AB158" s="1">
        <v>7.0</v>
      </c>
      <c r="AI158" s="2" t="s">
        <v>72</v>
      </c>
      <c r="AJ158" s="1">
        <v>-3367.0</v>
      </c>
      <c r="AK158" s="1">
        <v>1950.0</v>
      </c>
      <c r="AL158" s="2" t="s">
        <v>73</v>
      </c>
      <c r="AM158" s="2" t="s">
        <v>72</v>
      </c>
      <c r="AN158" s="1" t="s">
        <v>74</v>
      </c>
      <c r="AO158" s="2" t="s">
        <v>72</v>
      </c>
      <c r="AQ158" s="2" t="s">
        <v>75</v>
      </c>
      <c r="AR158" s="2" t="s">
        <v>76</v>
      </c>
      <c r="AS158" s="1">
        <v>1381.0</v>
      </c>
      <c r="AT158" s="1">
        <v>1381.0</v>
      </c>
      <c r="AU158" s="1">
        <v>693.0</v>
      </c>
      <c r="AV158" s="1">
        <v>1.0</v>
      </c>
      <c r="AW158" s="1">
        <v>10.0</v>
      </c>
      <c r="AX158" s="1">
        <v>9500.0</v>
      </c>
      <c r="AY158" s="1">
        <v>4.0</v>
      </c>
      <c r="AZ158" s="1" t="s">
        <v>525</v>
      </c>
      <c r="BA158" s="1" t="s">
        <v>104</v>
      </c>
    </row>
    <row r="159">
      <c r="A159" s="1" t="s">
        <v>1153</v>
      </c>
      <c r="B159" s="1" t="s">
        <v>53</v>
      </c>
      <c r="C159" s="1">
        <v>2006.0</v>
      </c>
      <c r="D159" s="1" t="s">
        <v>1154</v>
      </c>
      <c r="E159" s="1" t="s">
        <v>1155</v>
      </c>
      <c r="F159" s="1" t="s">
        <v>631</v>
      </c>
      <c r="H159" s="1" t="s">
        <v>1156</v>
      </c>
      <c r="I159" s="1">
        <v>17.0</v>
      </c>
      <c r="J159" s="1">
        <v>3.0</v>
      </c>
      <c r="K159" s="2" t="s">
        <v>1157</v>
      </c>
      <c r="L159" s="2" t="s">
        <v>60</v>
      </c>
      <c r="M159" s="1" t="s">
        <v>1178</v>
      </c>
      <c r="N159" s="1" t="s">
        <v>62</v>
      </c>
      <c r="O159" s="1" t="s">
        <v>167</v>
      </c>
      <c r="P159" s="1" t="s">
        <v>1179</v>
      </c>
      <c r="Q159" s="1">
        <v>14.517108</v>
      </c>
      <c r="R159" s="1">
        <v>-92.118835</v>
      </c>
      <c r="S159" s="1" t="s">
        <v>1160</v>
      </c>
      <c r="T159" s="2" t="s">
        <v>599</v>
      </c>
      <c r="U159" s="3" t="s">
        <v>81</v>
      </c>
      <c r="V159" s="3" t="s">
        <v>68</v>
      </c>
      <c r="W159" s="2" t="s">
        <v>72</v>
      </c>
      <c r="X159" s="1" t="s">
        <v>1161</v>
      </c>
      <c r="Y159" s="6" t="s">
        <v>76</v>
      </c>
      <c r="Z159" s="3" t="s">
        <v>84</v>
      </c>
      <c r="AB159" s="1">
        <v>4.0</v>
      </c>
      <c r="AI159" s="2" t="s">
        <v>72</v>
      </c>
      <c r="AJ159" s="1">
        <v>-4800.0</v>
      </c>
      <c r="AK159" s="1">
        <v>1950.0</v>
      </c>
      <c r="AL159" s="2" t="s">
        <v>73</v>
      </c>
      <c r="AM159" s="2" t="s">
        <v>72</v>
      </c>
      <c r="AN159" s="1" t="s">
        <v>74</v>
      </c>
      <c r="AO159" s="2" t="s">
        <v>72</v>
      </c>
      <c r="AQ159" s="2" t="s">
        <v>75</v>
      </c>
      <c r="AR159" s="2" t="s">
        <v>76</v>
      </c>
      <c r="AS159" s="1">
        <v>1385.0</v>
      </c>
      <c r="AT159" s="1">
        <v>1385.0</v>
      </c>
      <c r="AU159" s="1">
        <v>691.0</v>
      </c>
      <c r="AV159" s="1">
        <v>1.0</v>
      </c>
      <c r="AW159" s="1">
        <v>11.0</v>
      </c>
      <c r="AX159" s="1">
        <v>9569.0</v>
      </c>
      <c r="AY159" s="1">
        <v>9.0</v>
      </c>
      <c r="AZ159" s="1" t="s">
        <v>1162</v>
      </c>
      <c r="BA159" s="1" t="s">
        <v>659</v>
      </c>
    </row>
    <row r="160">
      <c r="A160" s="1" t="s">
        <v>1153</v>
      </c>
      <c r="B160" s="1" t="s">
        <v>53</v>
      </c>
      <c r="C160" s="1">
        <v>2006.0</v>
      </c>
      <c r="D160" s="1" t="s">
        <v>1154</v>
      </c>
      <c r="E160" s="1" t="s">
        <v>1155</v>
      </c>
      <c r="F160" s="1" t="s">
        <v>631</v>
      </c>
      <c r="H160" s="1" t="s">
        <v>1156</v>
      </c>
      <c r="I160" s="1">
        <v>17.0</v>
      </c>
      <c r="J160" s="1">
        <v>3.0</v>
      </c>
      <c r="K160" s="2" t="s">
        <v>1157</v>
      </c>
      <c r="L160" s="2" t="s">
        <v>60</v>
      </c>
      <c r="M160" s="1" t="s">
        <v>1180</v>
      </c>
      <c r="N160" s="1" t="s">
        <v>62</v>
      </c>
      <c r="O160" s="1" t="s">
        <v>167</v>
      </c>
      <c r="P160" s="1" t="s">
        <v>1179</v>
      </c>
      <c r="Q160" s="1">
        <v>14.517108</v>
      </c>
      <c r="R160" s="1">
        <v>-92.118835</v>
      </c>
      <c r="S160" s="1" t="s">
        <v>1160</v>
      </c>
      <c r="T160" s="2" t="s">
        <v>66</v>
      </c>
      <c r="U160" s="3" t="s">
        <v>314</v>
      </c>
      <c r="V160" s="3" t="s">
        <v>171</v>
      </c>
      <c r="W160" s="2" t="s">
        <v>72</v>
      </c>
      <c r="X160" s="1" t="s">
        <v>70</v>
      </c>
      <c r="Y160" s="6" t="s">
        <v>60</v>
      </c>
      <c r="Z160" s="3" t="s">
        <v>345</v>
      </c>
      <c r="AB160" s="1">
        <v>4.0</v>
      </c>
      <c r="AI160" s="2" t="s">
        <v>72</v>
      </c>
      <c r="AJ160" s="1">
        <v>-4800.0</v>
      </c>
      <c r="AK160" s="1">
        <v>1950.0</v>
      </c>
      <c r="AL160" s="2" t="s">
        <v>73</v>
      </c>
      <c r="AM160" s="2" t="s">
        <v>72</v>
      </c>
      <c r="AN160" s="1" t="s">
        <v>74</v>
      </c>
      <c r="AO160" s="2" t="s">
        <v>72</v>
      </c>
      <c r="AQ160" s="2" t="s">
        <v>75</v>
      </c>
      <c r="AR160" s="2" t="s">
        <v>76</v>
      </c>
      <c r="AS160" s="1">
        <v>1385.0</v>
      </c>
      <c r="AT160" s="1">
        <v>1385.0</v>
      </c>
      <c r="AU160" s="1">
        <v>691.0</v>
      </c>
      <c r="AV160" s="1">
        <v>1.0</v>
      </c>
      <c r="AW160" s="1">
        <v>11.0</v>
      </c>
      <c r="AX160" s="1">
        <v>9569.0</v>
      </c>
      <c r="AY160" s="1">
        <v>9.0</v>
      </c>
      <c r="AZ160" s="1" t="s">
        <v>1162</v>
      </c>
      <c r="BA160" s="1" t="s">
        <v>659</v>
      </c>
    </row>
    <row r="161">
      <c r="A161" s="1" t="s">
        <v>1153</v>
      </c>
      <c r="B161" s="1" t="s">
        <v>53</v>
      </c>
      <c r="C161" s="1">
        <v>2006.0</v>
      </c>
      <c r="D161" s="1" t="s">
        <v>1154</v>
      </c>
      <c r="E161" s="1" t="s">
        <v>1155</v>
      </c>
      <c r="F161" s="1" t="s">
        <v>631</v>
      </c>
      <c r="H161" s="1" t="s">
        <v>1156</v>
      </c>
      <c r="I161" s="1">
        <v>17.0</v>
      </c>
      <c r="J161" s="1">
        <v>3.0</v>
      </c>
      <c r="K161" s="2" t="s">
        <v>1157</v>
      </c>
      <c r="L161" s="2" t="s">
        <v>60</v>
      </c>
      <c r="M161" s="1" t="s">
        <v>1181</v>
      </c>
      <c r="N161" s="1" t="s">
        <v>62</v>
      </c>
      <c r="O161" s="1" t="s">
        <v>167</v>
      </c>
      <c r="P161" s="1" t="s">
        <v>1166</v>
      </c>
      <c r="Q161" s="1">
        <v>14.540503</v>
      </c>
      <c r="R161" s="1">
        <v>-92.188883</v>
      </c>
      <c r="S161" s="1" t="s">
        <v>1160</v>
      </c>
      <c r="T161" s="2" t="s">
        <v>66</v>
      </c>
      <c r="U161" s="3" t="s">
        <v>314</v>
      </c>
      <c r="V161" s="3" t="s">
        <v>171</v>
      </c>
      <c r="W161" s="2" t="s">
        <v>72</v>
      </c>
      <c r="X161" s="1" t="s">
        <v>70</v>
      </c>
      <c r="Y161" s="6" t="s">
        <v>60</v>
      </c>
      <c r="Z161" s="3" t="s">
        <v>345</v>
      </c>
      <c r="AB161" s="1">
        <v>7.0</v>
      </c>
      <c r="AI161" s="2" t="s">
        <v>72</v>
      </c>
      <c r="AJ161" s="1">
        <v>-3367.0</v>
      </c>
      <c r="AK161" s="1">
        <v>1950.0</v>
      </c>
      <c r="AL161" s="2" t="s">
        <v>73</v>
      </c>
      <c r="AM161" s="2" t="s">
        <v>72</v>
      </c>
      <c r="AN161" s="1" t="s">
        <v>74</v>
      </c>
      <c r="AO161" s="2" t="s">
        <v>72</v>
      </c>
      <c r="AQ161" s="2" t="s">
        <v>75</v>
      </c>
      <c r="AR161" s="2" t="s">
        <v>76</v>
      </c>
      <c r="AS161" s="1">
        <v>1381.0</v>
      </c>
      <c r="AT161" s="1">
        <v>1381.0</v>
      </c>
      <c r="AU161" s="1">
        <v>693.0</v>
      </c>
      <c r="AV161" s="1">
        <v>1.0</v>
      </c>
      <c r="AW161" s="1">
        <v>10.0</v>
      </c>
      <c r="AX161" s="1">
        <v>9500.0</v>
      </c>
      <c r="AY161" s="1">
        <v>4.0</v>
      </c>
      <c r="AZ161" s="1" t="s">
        <v>525</v>
      </c>
      <c r="BA161" s="1" t="s">
        <v>104</v>
      </c>
    </row>
    <row r="162">
      <c r="A162" s="1" t="s">
        <v>1153</v>
      </c>
      <c r="B162" s="1" t="s">
        <v>53</v>
      </c>
      <c r="C162" s="1">
        <v>2006.0</v>
      </c>
      <c r="D162" s="1" t="s">
        <v>1154</v>
      </c>
      <c r="E162" s="1" t="s">
        <v>1155</v>
      </c>
      <c r="F162" s="1" t="s">
        <v>631</v>
      </c>
      <c r="H162" s="1" t="s">
        <v>1156</v>
      </c>
      <c r="I162" s="1">
        <v>17.0</v>
      </c>
      <c r="J162" s="1">
        <v>3.0</v>
      </c>
      <c r="K162" s="2" t="s">
        <v>1157</v>
      </c>
      <c r="L162" s="2" t="s">
        <v>60</v>
      </c>
      <c r="M162" s="1" t="s">
        <v>1182</v>
      </c>
      <c r="N162" s="1" t="s">
        <v>62</v>
      </c>
      <c r="O162" s="1" t="s">
        <v>167</v>
      </c>
      <c r="P162" s="1" t="s">
        <v>1166</v>
      </c>
      <c r="Q162" s="1">
        <v>14.538711</v>
      </c>
      <c r="R162" s="1">
        <v>-92.202276</v>
      </c>
      <c r="S162" s="1" t="s">
        <v>1160</v>
      </c>
      <c r="T162" s="2" t="s">
        <v>66</v>
      </c>
      <c r="U162" s="3" t="s">
        <v>314</v>
      </c>
      <c r="V162" s="3" t="s">
        <v>171</v>
      </c>
      <c r="W162" s="2" t="s">
        <v>72</v>
      </c>
      <c r="X162" s="1" t="s">
        <v>70</v>
      </c>
      <c r="Y162" s="6" t="s">
        <v>60</v>
      </c>
      <c r="Z162" s="3" t="s">
        <v>345</v>
      </c>
      <c r="AB162" s="1">
        <v>6.0</v>
      </c>
      <c r="AI162" s="2" t="s">
        <v>72</v>
      </c>
      <c r="AJ162" s="1">
        <v>-1030.0</v>
      </c>
      <c r="AK162" s="1">
        <v>1950.0</v>
      </c>
      <c r="AL162" s="2" t="s">
        <v>73</v>
      </c>
      <c r="AM162" s="2" t="s">
        <v>72</v>
      </c>
      <c r="AN162" s="1" t="s">
        <v>74</v>
      </c>
      <c r="AO162" s="2" t="s">
        <v>72</v>
      </c>
      <c r="AQ162" s="2" t="s">
        <v>75</v>
      </c>
      <c r="AR162" s="2" t="s">
        <v>76</v>
      </c>
      <c r="AS162" s="1">
        <v>1385.0</v>
      </c>
      <c r="AT162" s="1">
        <v>1385.0</v>
      </c>
      <c r="AU162" s="1">
        <v>680.0</v>
      </c>
      <c r="AV162" s="1">
        <v>2.0</v>
      </c>
      <c r="AW162" s="1">
        <v>11.0</v>
      </c>
      <c r="AX162" s="1">
        <v>9489.0</v>
      </c>
      <c r="AY162" s="1">
        <v>2.0</v>
      </c>
      <c r="AZ162" s="1" t="s">
        <v>1162</v>
      </c>
      <c r="BA162" s="1" t="s">
        <v>659</v>
      </c>
    </row>
    <row r="163">
      <c r="A163" s="1" t="s">
        <v>1153</v>
      </c>
      <c r="B163" s="1" t="s">
        <v>53</v>
      </c>
      <c r="C163" s="1">
        <v>2006.0</v>
      </c>
      <c r="D163" s="1" t="s">
        <v>1154</v>
      </c>
      <c r="E163" s="1" t="s">
        <v>1155</v>
      </c>
      <c r="F163" s="1" t="s">
        <v>631</v>
      </c>
      <c r="H163" s="1" t="s">
        <v>1156</v>
      </c>
      <c r="I163" s="1">
        <v>17.0</v>
      </c>
      <c r="J163" s="1">
        <v>3.0</v>
      </c>
      <c r="K163" s="2" t="s">
        <v>1157</v>
      </c>
      <c r="L163" s="2" t="s">
        <v>60</v>
      </c>
      <c r="M163" s="1" t="s">
        <v>1193</v>
      </c>
      <c r="N163" s="1" t="s">
        <v>62</v>
      </c>
      <c r="O163" s="1" t="s">
        <v>167</v>
      </c>
      <c r="P163" s="1" t="s">
        <v>1159</v>
      </c>
      <c r="Q163" s="1">
        <v>13.941022</v>
      </c>
      <c r="R163" s="1">
        <v>-90.629732</v>
      </c>
      <c r="S163" s="1" t="s">
        <v>1160</v>
      </c>
      <c r="T163" s="2" t="s">
        <v>66</v>
      </c>
      <c r="U163" s="3" t="s">
        <v>314</v>
      </c>
      <c r="V163" s="3" t="s">
        <v>171</v>
      </c>
      <c r="W163" s="2" t="s">
        <v>72</v>
      </c>
      <c r="X163" s="1" t="s">
        <v>70</v>
      </c>
      <c r="Y163" s="6" t="s">
        <v>60</v>
      </c>
      <c r="Z163" s="3" t="s">
        <v>345</v>
      </c>
      <c r="AB163" s="1">
        <v>8.0</v>
      </c>
      <c r="AI163" s="2" t="s">
        <v>72</v>
      </c>
      <c r="AJ163" s="1">
        <v>-3800.0</v>
      </c>
      <c r="AK163" s="1">
        <v>-2000.0</v>
      </c>
      <c r="AL163" s="2" t="s">
        <v>73</v>
      </c>
      <c r="AM163" s="2" t="s">
        <v>72</v>
      </c>
      <c r="AN163" s="1" t="s">
        <v>74</v>
      </c>
      <c r="AO163" s="2" t="s">
        <v>72</v>
      </c>
      <c r="AQ163" s="2" t="s">
        <v>75</v>
      </c>
      <c r="AR163" s="2" t="s">
        <v>76</v>
      </c>
      <c r="AS163" s="1">
        <v>1707.0</v>
      </c>
      <c r="AT163" s="1">
        <v>1707.0</v>
      </c>
      <c r="AU163" s="1">
        <v>819.0</v>
      </c>
      <c r="AV163" s="1">
        <v>2.0</v>
      </c>
      <c r="AW163" s="1">
        <v>12.0</v>
      </c>
      <c r="AX163" s="1">
        <v>9271.0</v>
      </c>
      <c r="AY163" s="1">
        <v>7.0</v>
      </c>
      <c r="AZ163" s="1" t="s">
        <v>1162</v>
      </c>
      <c r="BA163" s="1" t="s">
        <v>659</v>
      </c>
    </row>
    <row r="164">
      <c r="A164" s="1" t="s">
        <v>1153</v>
      </c>
      <c r="B164" s="1" t="s">
        <v>53</v>
      </c>
      <c r="C164" s="1">
        <v>2006.0</v>
      </c>
      <c r="D164" s="1" t="s">
        <v>1154</v>
      </c>
      <c r="E164" s="1" t="s">
        <v>1155</v>
      </c>
      <c r="F164" s="1" t="s">
        <v>631</v>
      </c>
      <c r="H164" s="1" t="s">
        <v>1156</v>
      </c>
      <c r="I164" s="1">
        <v>17.0</v>
      </c>
      <c r="J164" s="1">
        <v>3.0</v>
      </c>
      <c r="K164" s="2" t="s">
        <v>1157</v>
      </c>
      <c r="L164" s="2" t="s">
        <v>60</v>
      </c>
      <c r="M164" s="1" t="s">
        <v>1194</v>
      </c>
      <c r="N164" s="1" t="s">
        <v>62</v>
      </c>
      <c r="O164" s="1" t="s">
        <v>167</v>
      </c>
      <c r="P164" s="1" t="s">
        <v>1159</v>
      </c>
      <c r="Q164" s="1">
        <v>13.941022</v>
      </c>
      <c r="R164" s="1">
        <v>-90.629732</v>
      </c>
      <c r="S164" s="1" t="s">
        <v>1160</v>
      </c>
      <c r="T164" s="2" t="s">
        <v>66</v>
      </c>
      <c r="U164" s="3" t="s">
        <v>314</v>
      </c>
      <c r="V164" s="3" t="s">
        <v>171</v>
      </c>
      <c r="W164" s="2" t="s">
        <v>72</v>
      </c>
      <c r="X164" s="1" t="s">
        <v>70</v>
      </c>
      <c r="Y164" s="6" t="s">
        <v>60</v>
      </c>
      <c r="Z164" s="3" t="s">
        <v>345</v>
      </c>
      <c r="AB164" s="1">
        <v>6.0</v>
      </c>
      <c r="AI164" s="2" t="s">
        <v>72</v>
      </c>
      <c r="AJ164" s="1">
        <v>-3600.0</v>
      </c>
      <c r="AK164" s="1">
        <v>1805.0</v>
      </c>
      <c r="AL164" s="2" t="s">
        <v>73</v>
      </c>
      <c r="AM164" s="2" t="s">
        <v>72</v>
      </c>
      <c r="AN164" s="1" t="s">
        <v>74</v>
      </c>
      <c r="AO164" s="2" t="s">
        <v>72</v>
      </c>
      <c r="AQ164" s="2" t="s">
        <v>75</v>
      </c>
      <c r="AR164" s="2" t="s">
        <v>76</v>
      </c>
      <c r="AS164" s="1">
        <v>1707.0</v>
      </c>
      <c r="AT164" s="1">
        <v>1707.0</v>
      </c>
      <c r="AU164" s="1">
        <v>819.0</v>
      </c>
      <c r="AV164" s="1">
        <v>2.0</v>
      </c>
      <c r="AW164" s="1">
        <v>12.0</v>
      </c>
      <c r="AX164" s="1">
        <v>9271.0</v>
      </c>
      <c r="AY164" s="1">
        <v>7.0</v>
      </c>
      <c r="AZ164" s="1" t="s">
        <v>1162</v>
      </c>
      <c r="BA164" s="1" t="s">
        <v>659</v>
      </c>
    </row>
    <row r="165">
      <c r="A165" s="1" t="s">
        <v>1153</v>
      </c>
      <c r="B165" s="1" t="s">
        <v>53</v>
      </c>
      <c r="C165" s="1">
        <v>2006.0</v>
      </c>
      <c r="D165" s="1" t="s">
        <v>1154</v>
      </c>
      <c r="E165" s="1" t="s">
        <v>1155</v>
      </c>
      <c r="F165" s="1" t="s">
        <v>631</v>
      </c>
      <c r="H165" s="1" t="s">
        <v>1156</v>
      </c>
      <c r="I165" s="1">
        <v>17.0</v>
      </c>
      <c r="J165" s="1">
        <v>3.0</v>
      </c>
      <c r="K165" s="2" t="s">
        <v>1157</v>
      </c>
      <c r="L165" s="2" t="s">
        <v>60</v>
      </c>
      <c r="M165" s="1" t="s">
        <v>1195</v>
      </c>
      <c r="N165" s="1" t="s">
        <v>62</v>
      </c>
      <c r="O165" s="1" t="s">
        <v>167</v>
      </c>
      <c r="P165" s="1" t="s">
        <v>1159</v>
      </c>
      <c r="Q165" s="1">
        <v>13.941022</v>
      </c>
      <c r="R165" s="1">
        <v>-90.629732</v>
      </c>
      <c r="S165" s="1" t="s">
        <v>1160</v>
      </c>
      <c r="T165" s="2" t="s">
        <v>66</v>
      </c>
      <c r="U165" s="3" t="s">
        <v>314</v>
      </c>
      <c r="V165" s="3" t="s">
        <v>171</v>
      </c>
      <c r="W165" s="2" t="s">
        <v>72</v>
      </c>
      <c r="X165" s="1" t="s">
        <v>70</v>
      </c>
      <c r="Y165" s="6" t="s">
        <v>60</v>
      </c>
      <c r="Z165" s="3" t="s">
        <v>345</v>
      </c>
      <c r="AB165" s="1">
        <v>5.0</v>
      </c>
      <c r="AI165" s="2" t="s">
        <v>72</v>
      </c>
      <c r="AJ165" s="1">
        <v>-1998.0</v>
      </c>
      <c r="AK165" s="1">
        <v>-1000.0</v>
      </c>
      <c r="AL165" s="2" t="s">
        <v>73</v>
      </c>
      <c r="AM165" s="2" t="s">
        <v>72</v>
      </c>
      <c r="AN165" s="1" t="s">
        <v>74</v>
      </c>
      <c r="AO165" s="2" t="s">
        <v>72</v>
      </c>
      <c r="AQ165" s="2" t="s">
        <v>75</v>
      </c>
      <c r="AR165" s="2" t="s">
        <v>76</v>
      </c>
      <c r="AS165" s="1">
        <v>1707.0</v>
      </c>
      <c r="AT165" s="1">
        <v>1707.0</v>
      </c>
      <c r="AU165" s="1">
        <v>819.0</v>
      </c>
      <c r="AV165" s="1">
        <v>2.0</v>
      </c>
      <c r="AW165" s="1">
        <v>12.0</v>
      </c>
      <c r="AX165" s="1">
        <v>9271.0</v>
      </c>
      <c r="AY165" s="1">
        <v>7.0</v>
      </c>
      <c r="AZ165" s="1" t="s">
        <v>1162</v>
      </c>
      <c r="BA165" s="1" t="s">
        <v>659</v>
      </c>
    </row>
    <row r="166">
      <c r="A166" s="1" t="s">
        <v>1153</v>
      </c>
      <c r="B166" s="1" t="s">
        <v>53</v>
      </c>
      <c r="C166" s="1">
        <v>2006.0</v>
      </c>
      <c r="D166" s="1" t="s">
        <v>1154</v>
      </c>
      <c r="E166" s="1" t="s">
        <v>1155</v>
      </c>
      <c r="F166" s="1" t="s">
        <v>631</v>
      </c>
      <c r="H166" s="1" t="s">
        <v>1156</v>
      </c>
      <c r="I166" s="1">
        <v>17.0</v>
      </c>
      <c r="J166" s="1">
        <v>3.0</v>
      </c>
      <c r="K166" s="2" t="s">
        <v>1157</v>
      </c>
      <c r="L166" s="2" t="s">
        <v>60</v>
      </c>
      <c r="M166" s="1" t="s">
        <v>1196</v>
      </c>
      <c r="N166" s="1" t="s">
        <v>62</v>
      </c>
      <c r="O166" s="1" t="s">
        <v>167</v>
      </c>
      <c r="P166" s="1" t="s">
        <v>1179</v>
      </c>
      <c r="Q166" s="1">
        <v>14.517108</v>
      </c>
      <c r="R166" s="1">
        <v>-92.118835</v>
      </c>
      <c r="S166" s="1" t="s">
        <v>1160</v>
      </c>
      <c r="T166" s="2" t="s">
        <v>293</v>
      </c>
      <c r="U166" s="3" t="s">
        <v>314</v>
      </c>
      <c r="V166" s="3" t="s">
        <v>171</v>
      </c>
      <c r="W166" s="2" t="s">
        <v>72</v>
      </c>
      <c r="X166" s="1" t="s">
        <v>70</v>
      </c>
      <c r="Y166" s="6" t="s">
        <v>76</v>
      </c>
      <c r="Z166" s="3" t="s">
        <v>625</v>
      </c>
      <c r="AB166" s="1">
        <v>4.0</v>
      </c>
      <c r="AI166" s="2" t="s">
        <v>72</v>
      </c>
      <c r="AJ166" s="1">
        <v>-4800.0</v>
      </c>
      <c r="AK166" s="1">
        <v>1950.0</v>
      </c>
      <c r="AL166" s="2" t="s">
        <v>73</v>
      </c>
      <c r="AM166" s="2" t="s">
        <v>72</v>
      </c>
      <c r="AN166" s="1" t="s">
        <v>74</v>
      </c>
      <c r="AO166" s="2" t="s">
        <v>72</v>
      </c>
      <c r="AQ166" s="2" t="s">
        <v>75</v>
      </c>
      <c r="AR166" s="2" t="s">
        <v>76</v>
      </c>
      <c r="AS166" s="1">
        <v>1385.0</v>
      </c>
      <c r="AT166" s="1">
        <v>1385.0</v>
      </c>
      <c r="AU166" s="1">
        <v>691.0</v>
      </c>
      <c r="AV166" s="1">
        <v>1.0</v>
      </c>
      <c r="AW166" s="1">
        <v>11.0</v>
      </c>
      <c r="AX166" s="1">
        <v>9569.0</v>
      </c>
      <c r="AY166" s="1">
        <v>9.0</v>
      </c>
      <c r="AZ166" s="1" t="s">
        <v>1162</v>
      </c>
      <c r="BA166" s="1" t="s">
        <v>659</v>
      </c>
    </row>
    <row r="167">
      <c r="A167" s="1" t="s">
        <v>1153</v>
      </c>
      <c r="B167" s="1" t="s">
        <v>53</v>
      </c>
      <c r="C167" s="1">
        <v>2006.0</v>
      </c>
      <c r="D167" s="1" t="s">
        <v>1154</v>
      </c>
      <c r="E167" s="1" t="s">
        <v>1155</v>
      </c>
      <c r="F167" s="1" t="s">
        <v>631</v>
      </c>
      <c r="H167" s="1" t="s">
        <v>1156</v>
      </c>
      <c r="I167" s="1">
        <v>17.0</v>
      </c>
      <c r="J167" s="1">
        <v>3.0</v>
      </c>
      <c r="K167" s="2" t="s">
        <v>1157</v>
      </c>
      <c r="L167" s="2" t="s">
        <v>60</v>
      </c>
      <c r="M167" s="1" t="s">
        <v>1197</v>
      </c>
      <c r="N167" s="1" t="s">
        <v>62</v>
      </c>
      <c r="O167" s="1" t="s">
        <v>167</v>
      </c>
      <c r="P167" s="1" t="s">
        <v>1166</v>
      </c>
      <c r="Q167" s="1">
        <v>14.540503</v>
      </c>
      <c r="R167" s="1">
        <v>-92.188883</v>
      </c>
      <c r="S167" s="1" t="s">
        <v>1160</v>
      </c>
      <c r="T167" s="2" t="s">
        <v>293</v>
      </c>
      <c r="U167" s="3" t="s">
        <v>314</v>
      </c>
      <c r="V167" s="3" t="s">
        <v>171</v>
      </c>
      <c r="W167" s="2" t="s">
        <v>72</v>
      </c>
      <c r="X167" s="1" t="s">
        <v>70</v>
      </c>
      <c r="Y167" s="6" t="s">
        <v>76</v>
      </c>
      <c r="Z167" s="3" t="s">
        <v>625</v>
      </c>
      <c r="AB167" s="1">
        <v>7.0</v>
      </c>
      <c r="AI167" s="2" t="s">
        <v>72</v>
      </c>
      <c r="AJ167" s="1">
        <v>-3367.0</v>
      </c>
      <c r="AK167" s="1">
        <v>1950.0</v>
      </c>
      <c r="AL167" s="2" t="s">
        <v>73</v>
      </c>
      <c r="AM167" s="2" t="s">
        <v>72</v>
      </c>
      <c r="AN167" s="1" t="s">
        <v>74</v>
      </c>
      <c r="AO167" s="2" t="s">
        <v>72</v>
      </c>
      <c r="AQ167" s="2" t="s">
        <v>75</v>
      </c>
      <c r="AR167" s="2" t="s">
        <v>76</v>
      </c>
      <c r="AS167" s="1">
        <v>1381.0</v>
      </c>
      <c r="AT167" s="1">
        <v>1381.0</v>
      </c>
      <c r="AU167" s="1">
        <v>693.0</v>
      </c>
      <c r="AV167" s="1">
        <v>1.0</v>
      </c>
      <c r="AW167" s="1">
        <v>10.0</v>
      </c>
      <c r="AX167" s="1">
        <v>9500.0</v>
      </c>
      <c r="AY167" s="1">
        <v>4.0</v>
      </c>
      <c r="AZ167" s="1" t="s">
        <v>525</v>
      </c>
      <c r="BA167" s="1" t="s">
        <v>104</v>
      </c>
    </row>
    <row r="168">
      <c r="A168" s="1" t="s">
        <v>1153</v>
      </c>
      <c r="B168" s="1" t="s">
        <v>53</v>
      </c>
      <c r="C168" s="1">
        <v>2006.0</v>
      </c>
      <c r="D168" s="1" t="s">
        <v>1154</v>
      </c>
      <c r="E168" s="1" t="s">
        <v>1155</v>
      </c>
      <c r="F168" s="1" t="s">
        <v>631</v>
      </c>
      <c r="H168" s="1" t="s">
        <v>1156</v>
      </c>
      <c r="I168" s="1">
        <v>17.0</v>
      </c>
      <c r="J168" s="1">
        <v>3.0</v>
      </c>
      <c r="K168" s="2" t="s">
        <v>1157</v>
      </c>
      <c r="L168" s="2" t="s">
        <v>60</v>
      </c>
      <c r="M168" s="1" t="s">
        <v>1199</v>
      </c>
      <c r="N168" s="1" t="s">
        <v>62</v>
      </c>
      <c r="O168" s="1" t="s">
        <v>167</v>
      </c>
      <c r="P168" s="1" t="s">
        <v>1166</v>
      </c>
      <c r="Q168" s="1">
        <v>14.538711</v>
      </c>
      <c r="R168" s="1">
        <v>-92.202276</v>
      </c>
      <c r="S168" s="1" t="s">
        <v>1160</v>
      </c>
      <c r="T168" s="2" t="s">
        <v>293</v>
      </c>
      <c r="U168" s="3" t="s">
        <v>314</v>
      </c>
      <c r="V168" s="3" t="s">
        <v>171</v>
      </c>
      <c r="W168" s="2" t="s">
        <v>72</v>
      </c>
      <c r="X168" s="1" t="s">
        <v>70</v>
      </c>
      <c r="Y168" s="6" t="s">
        <v>76</v>
      </c>
      <c r="Z168" s="3" t="s">
        <v>625</v>
      </c>
      <c r="AB168" s="1">
        <v>6.0</v>
      </c>
      <c r="AI168" s="2" t="s">
        <v>72</v>
      </c>
      <c r="AJ168" s="1">
        <v>-1030.0</v>
      </c>
      <c r="AK168" s="1">
        <v>1950.0</v>
      </c>
      <c r="AL168" s="2" t="s">
        <v>73</v>
      </c>
      <c r="AM168" s="2" t="s">
        <v>72</v>
      </c>
      <c r="AN168" s="1" t="s">
        <v>74</v>
      </c>
      <c r="AO168" s="2" t="s">
        <v>72</v>
      </c>
      <c r="AQ168" s="2" t="s">
        <v>75</v>
      </c>
      <c r="AR168" s="2" t="s">
        <v>76</v>
      </c>
      <c r="AS168" s="1">
        <v>1385.0</v>
      </c>
      <c r="AT168" s="1">
        <v>1385.0</v>
      </c>
      <c r="AU168" s="1">
        <v>680.0</v>
      </c>
      <c r="AV168" s="1">
        <v>2.0</v>
      </c>
      <c r="AW168" s="1">
        <v>11.0</v>
      </c>
      <c r="AX168" s="1">
        <v>9489.0</v>
      </c>
      <c r="AY168" s="1">
        <v>2.0</v>
      </c>
      <c r="AZ168" s="1" t="s">
        <v>1162</v>
      </c>
      <c r="BA168" s="1" t="s">
        <v>659</v>
      </c>
    </row>
    <row r="169">
      <c r="A169" s="1" t="s">
        <v>1153</v>
      </c>
      <c r="B169" s="1" t="s">
        <v>53</v>
      </c>
      <c r="C169" s="1">
        <v>2006.0</v>
      </c>
      <c r="D169" s="1" t="s">
        <v>1154</v>
      </c>
      <c r="E169" s="1" t="s">
        <v>1155</v>
      </c>
      <c r="F169" s="1" t="s">
        <v>631</v>
      </c>
      <c r="H169" s="1" t="s">
        <v>1156</v>
      </c>
      <c r="I169" s="1">
        <v>17.0</v>
      </c>
      <c r="J169" s="1">
        <v>3.0</v>
      </c>
      <c r="K169" s="2" t="s">
        <v>1157</v>
      </c>
      <c r="L169" s="2" t="s">
        <v>60</v>
      </c>
      <c r="M169" s="1" t="s">
        <v>1210</v>
      </c>
      <c r="N169" s="1" t="s">
        <v>62</v>
      </c>
      <c r="O169" s="1" t="s">
        <v>167</v>
      </c>
      <c r="P169" s="1" t="s">
        <v>1159</v>
      </c>
      <c r="Q169" s="1">
        <v>13.941022</v>
      </c>
      <c r="R169" s="1">
        <v>-90.629732</v>
      </c>
      <c r="S169" s="1" t="s">
        <v>1160</v>
      </c>
      <c r="T169" s="2" t="s">
        <v>293</v>
      </c>
      <c r="U169" s="3" t="s">
        <v>314</v>
      </c>
      <c r="V169" s="3" t="s">
        <v>171</v>
      </c>
      <c r="W169" s="2" t="s">
        <v>72</v>
      </c>
      <c r="X169" s="1" t="s">
        <v>70</v>
      </c>
      <c r="Y169" s="6" t="s">
        <v>76</v>
      </c>
      <c r="Z169" s="3" t="s">
        <v>625</v>
      </c>
      <c r="AB169" s="1">
        <v>8.0</v>
      </c>
      <c r="AI169" s="2" t="s">
        <v>72</v>
      </c>
      <c r="AJ169" s="1">
        <v>-3800.0</v>
      </c>
      <c r="AK169" s="1">
        <v>-2000.0</v>
      </c>
      <c r="AL169" s="2" t="s">
        <v>73</v>
      </c>
      <c r="AM169" s="2" t="s">
        <v>72</v>
      </c>
      <c r="AN169" s="1" t="s">
        <v>74</v>
      </c>
      <c r="AO169" s="2" t="s">
        <v>72</v>
      </c>
      <c r="AQ169" s="2" t="s">
        <v>75</v>
      </c>
      <c r="AR169" s="2" t="s">
        <v>76</v>
      </c>
      <c r="AS169" s="1">
        <v>1707.0</v>
      </c>
      <c r="AT169" s="1">
        <v>1707.0</v>
      </c>
      <c r="AU169" s="1">
        <v>819.0</v>
      </c>
      <c r="AV169" s="1">
        <v>2.0</v>
      </c>
      <c r="AW169" s="1">
        <v>12.0</v>
      </c>
      <c r="AX169" s="1">
        <v>9271.0</v>
      </c>
      <c r="AY169" s="1">
        <v>7.0</v>
      </c>
      <c r="AZ169" s="1" t="s">
        <v>1162</v>
      </c>
      <c r="BA169" s="1" t="s">
        <v>659</v>
      </c>
    </row>
    <row r="170">
      <c r="A170" s="1" t="s">
        <v>1153</v>
      </c>
      <c r="B170" s="1" t="s">
        <v>53</v>
      </c>
      <c r="C170" s="1">
        <v>2006.0</v>
      </c>
      <c r="D170" s="1" t="s">
        <v>1154</v>
      </c>
      <c r="E170" s="1" t="s">
        <v>1155</v>
      </c>
      <c r="F170" s="1" t="s">
        <v>631</v>
      </c>
      <c r="H170" s="1" t="s">
        <v>1156</v>
      </c>
      <c r="I170" s="1">
        <v>17.0</v>
      </c>
      <c r="J170" s="1">
        <v>3.0</v>
      </c>
      <c r="K170" s="2" t="s">
        <v>1157</v>
      </c>
      <c r="L170" s="2" t="s">
        <v>60</v>
      </c>
      <c r="M170" s="1" t="s">
        <v>1211</v>
      </c>
      <c r="N170" s="1" t="s">
        <v>62</v>
      </c>
      <c r="O170" s="1" t="s">
        <v>167</v>
      </c>
      <c r="P170" s="1" t="s">
        <v>1159</v>
      </c>
      <c r="Q170" s="1">
        <v>13.941022</v>
      </c>
      <c r="R170" s="1">
        <v>-90.629732</v>
      </c>
      <c r="S170" s="1" t="s">
        <v>1160</v>
      </c>
      <c r="T170" s="2" t="s">
        <v>293</v>
      </c>
      <c r="U170" s="3" t="s">
        <v>314</v>
      </c>
      <c r="V170" s="3" t="s">
        <v>171</v>
      </c>
      <c r="W170" s="2" t="s">
        <v>72</v>
      </c>
      <c r="X170" s="1" t="s">
        <v>70</v>
      </c>
      <c r="Y170" s="6" t="s">
        <v>76</v>
      </c>
      <c r="Z170" s="3" t="s">
        <v>625</v>
      </c>
      <c r="AB170" s="1">
        <v>6.0</v>
      </c>
      <c r="AI170" s="2" t="s">
        <v>72</v>
      </c>
      <c r="AJ170" s="1">
        <v>-3600.0</v>
      </c>
      <c r="AK170" s="1">
        <v>1805.0</v>
      </c>
      <c r="AL170" s="2" t="s">
        <v>73</v>
      </c>
      <c r="AM170" s="2" t="s">
        <v>72</v>
      </c>
      <c r="AN170" s="1" t="s">
        <v>74</v>
      </c>
      <c r="AO170" s="2" t="s">
        <v>72</v>
      </c>
      <c r="AQ170" s="2" t="s">
        <v>75</v>
      </c>
      <c r="AR170" s="2" t="s">
        <v>76</v>
      </c>
      <c r="AS170" s="1">
        <v>1707.0</v>
      </c>
      <c r="AT170" s="1">
        <v>1707.0</v>
      </c>
      <c r="AU170" s="1">
        <v>819.0</v>
      </c>
      <c r="AV170" s="1">
        <v>2.0</v>
      </c>
      <c r="AW170" s="1">
        <v>12.0</v>
      </c>
      <c r="AX170" s="1">
        <v>9271.0</v>
      </c>
      <c r="AY170" s="1">
        <v>7.0</v>
      </c>
      <c r="AZ170" s="1" t="s">
        <v>1162</v>
      </c>
      <c r="BA170" s="1" t="s">
        <v>659</v>
      </c>
    </row>
    <row r="171">
      <c r="A171" s="1" t="s">
        <v>1153</v>
      </c>
      <c r="B171" s="1" t="s">
        <v>53</v>
      </c>
      <c r="C171" s="1">
        <v>2006.0</v>
      </c>
      <c r="D171" s="1" t="s">
        <v>1154</v>
      </c>
      <c r="E171" s="1" t="s">
        <v>1155</v>
      </c>
      <c r="F171" s="1" t="s">
        <v>631</v>
      </c>
      <c r="H171" s="1" t="s">
        <v>1156</v>
      </c>
      <c r="I171" s="1">
        <v>17.0</v>
      </c>
      <c r="J171" s="1">
        <v>3.0</v>
      </c>
      <c r="K171" s="2" t="s">
        <v>1157</v>
      </c>
      <c r="L171" s="2" t="s">
        <v>60</v>
      </c>
      <c r="M171" s="1" t="s">
        <v>1212</v>
      </c>
      <c r="N171" s="1" t="s">
        <v>62</v>
      </c>
      <c r="O171" s="1" t="s">
        <v>167</v>
      </c>
      <c r="P171" s="1" t="s">
        <v>1159</v>
      </c>
      <c r="Q171" s="1">
        <v>13.941022</v>
      </c>
      <c r="R171" s="1">
        <v>-90.629732</v>
      </c>
      <c r="S171" s="1" t="s">
        <v>1160</v>
      </c>
      <c r="T171" s="2" t="s">
        <v>293</v>
      </c>
      <c r="U171" s="3" t="s">
        <v>314</v>
      </c>
      <c r="V171" s="3" t="s">
        <v>171</v>
      </c>
      <c r="W171" s="2" t="s">
        <v>72</v>
      </c>
      <c r="X171" s="1" t="s">
        <v>70</v>
      </c>
      <c r="Y171" s="6" t="s">
        <v>76</v>
      </c>
      <c r="Z171" s="3" t="s">
        <v>625</v>
      </c>
      <c r="AB171" s="1">
        <v>5.0</v>
      </c>
      <c r="AI171" s="2" t="s">
        <v>72</v>
      </c>
      <c r="AJ171" s="1">
        <v>-1998.0</v>
      </c>
      <c r="AK171" s="1">
        <v>-1000.0</v>
      </c>
      <c r="AL171" s="2" t="s">
        <v>73</v>
      </c>
      <c r="AM171" s="2" t="s">
        <v>72</v>
      </c>
      <c r="AN171" s="1" t="s">
        <v>74</v>
      </c>
      <c r="AO171" s="2" t="s">
        <v>72</v>
      </c>
      <c r="AQ171" s="2" t="s">
        <v>75</v>
      </c>
      <c r="AR171" s="2" t="s">
        <v>76</v>
      </c>
      <c r="AS171" s="1">
        <v>1707.0</v>
      </c>
      <c r="AT171" s="1">
        <v>1707.0</v>
      </c>
      <c r="AU171" s="1">
        <v>819.0</v>
      </c>
      <c r="AV171" s="1">
        <v>2.0</v>
      </c>
      <c r="AW171" s="1">
        <v>12.0</v>
      </c>
      <c r="AX171" s="1">
        <v>9271.0</v>
      </c>
      <c r="AY171" s="1">
        <v>7.0</v>
      </c>
      <c r="AZ171" s="1" t="s">
        <v>1162</v>
      </c>
      <c r="BA171" s="1" t="s">
        <v>659</v>
      </c>
    </row>
    <row r="172">
      <c r="A172" s="1" t="s">
        <v>1997</v>
      </c>
      <c r="B172" s="1" t="s">
        <v>268</v>
      </c>
      <c r="C172" s="1">
        <v>2006.0</v>
      </c>
      <c r="D172" s="1" t="s">
        <v>1998</v>
      </c>
      <c r="E172" s="1" t="s">
        <v>1999</v>
      </c>
      <c r="H172" s="1" t="s">
        <v>2000</v>
      </c>
      <c r="I172" s="1">
        <v>15.0</v>
      </c>
      <c r="K172" s="2" t="s">
        <v>2001</v>
      </c>
      <c r="L172" s="2" t="s">
        <v>76</v>
      </c>
      <c r="M172" s="1" t="s">
        <v>1997</v>
      </c>
      <c r="N172" s="1" t="s">
        <v>62</v>
      </c>
      <c r="O172" s="1" t="s">
        <v>92</v>
      </c>
      <c r="P172" s="1" t="s">
        <v>406</v>
      </c>
      <c r="Q172" s="1">
        <v>18.446667</v>
      </c>
      <c r="R172" s="1">
        <v>-88.529722</v>
      </c>
      <c r="S172" s="1" t="s">
        <v>148</v>
      </c>
      <c r="T172" s="2" t="s">
        <v>66</v>
      </c>
      <c r="U172" s="3" t="s">
        <v>823</v>
      </c>
      <c r="V172" s="3" t="s">
        <v>788</v>
      </c>
      <c r="W172" s="1" t="s">
        <v>2002</v>
      </c>
      <c r="X172" s="1" t="s">
        <v>70</v>
      </c>
      <c r="Y172" s="5" t="s">
        <v>76</v>
      </c>
      <c r="Z172" s="3" t="s">
        <v>76</v>
      </c>
      <c r="AB172" s="1">
        <v>2.0</v>
      </c>
      <c r="AI172" s="2" t="s">
        <v>72</v>
      </c>
      <c r="AJ172" s="1">
        <v>-3130.0</v>
      </c>
      <c r="AK172" s="1">
        <v>-1250.0</v>
      </c>
      <c r="AL172" s="3" t="s">
        <v>73</v>
      </c>
      <c r="AM172" s="3" t="s">
        <v>72</v>
      </c>
      <c r="AN172" s="1" t="s">
        <v>74</v>
      </c>
      <c r="AO172" s="2" t="s">
        <v>72</v>
      </c>
      <c r="AQ172" s="2" t="s">
        <v>75</v>
      </c>
      <c r="AR172" s="2" t="s">
        <v>76</v>
      </c>
      <c r="AS172" s="1">
        <v>1193.0</v>
      </c>
      <c r="AT172" s="1">
        <v>1193.0</v>
      </c>
      <c r="AU172" s="1">
        <v>495.0</v>
      </c>
      <c r="AV172" s="1">
        <v>23.0</v>
      </c>
      <c r="AW172" s="1">
        <v>84.0</v>
      </c>
      <c r="AX172" s="1">
        <v>6287.0</v>
      </c>
      <c r="AY172" s="1">
        <v>19.0</v>
      </c>
      <c r="AZ172" s="1" t="s">
        <v>239</v>
      </c>
      <c r="BA172" s="1" t="s">
        <v>121</v>
      </c>
    </row>
    <row r="173">
      <c r="A173" s="1" t="s">
        <v>919</v>
      </c>
      <c r="B173" s="1" t="s">
        <v>268</v>
      </c>
      <c r="C173" s="1">
        <v>2006.0</v>
      </c>
      <c r="D173" s="1" t="s">
        <v>581</v>
      </c>
      <c r="E173" s="1" t="s">
        <v>920</v>
      </c>
      <c r="H173" s="1" t="s">
        <v>921</v>
      </c>
      <c r="I173" s="1">
        <v>65.0</v>
      </c>
      <c r="K173" s="2" t="s">
        <v>922</v>
      </c>
      <c r="L173" s="2" t="s">
        <v>60</v>
      </c>
      <c r="M173" s="1" t="s">
        <v>2003</v>
      </c>
      <c r="N173" s="1" t="s">
        <v>62</v>
      </c>
      <c r="O173" s="1" t="s">
        <v>167</v>
      </c>
      <c r="P173" s="1" t="s">
        <v>588</v>
      </c>
      <c r="Q173" s="1">
        <v>17.533333</v>
      </c>
      <c r="R173" s="1">
        <v>-90.183333</v>
      </c>
      <c r="S173" s="1" t="s">
        <v>148</v>
      </c>
      <c r="T173" s="2" t="s">
        <v>66</v>
      </c>
      <c r="U173" s="2" t="s">
        <v>1909</v>
      </c>
      <c r="V173" s="3" t="s">
        <v>171</v>
      </c>
      <c r="W173" s="1" t="s">
        <v>589</v>
      </c>
      <c r="X173" s="1" t="s">
        <v>70</v>
      </c>
      <c r="Y173" s="5" t="s">
        <v>60</v>
      </c>
      <c r="Z173" s="3" t="s">
        <v>345</v>
      </c>
      <c r="AB173" s="1">
        <v>6.0</v>
      </c>
      <c r="AI173" s="2" t="s">
        <v>72</v>
      </c>
      <c r="AJ173" s="1">
        <v>-6450.0</v>
      </c>
      <c r="AK173" s="1">
        <v>1950.0</v>
      </c>
      <c r="AL173" s="2" t="s">
        <v>73</v>
      </c>
      <c r="AM173" s="3" t="s">
        <v>72</v>
      </c>
      <c r="AN173" s="1" t="s">
        <v>400</v>
      </c>
      <c r="AO173" s="2" t="s">
        <v>72</v>
      </c>
      <c r="AQ173" s="2" t="s">
        <v>75</v>
      </c>
      <c r="AR173" s="2" t="s">
        <v>76</v>
      </c>
      <c r="AS173" s="1">
        <v>1598.0</v>
      </c>
      <c r="AT173" s="1">
        <v>1598.0</v>
      </c>
      <c r="AU173" s="1">
        <v>686.0</v>
      </c>
      <c r="AV173" s="1">
        <v>33.0</v>
      </c>
      <c r="AW173" s="1">
        <v>119.0</v>
      </c>
      <c r="AX173" s="1">
        <v>6059.0</v>
      </c>
      <c r="AY173" s="1">
        <v>238.0</v>
      </c>
      <c r="AZ173" s="1" t="s">
        <v>133</v>
      </c>
      <c r="BA173" s="1" t="s">
        <v>121</v>
      </c>
    </row>
    <row r="174">
      <c r="A174" s="1" t="s">
        <v>919</v>
      </c>
      <c r="B174" s="1" t="s">
        <v>268</v>
      </c>
      <c r="C174" s="1">
        <v>2006.0</v>
      </c>
      <c r="D174" s="1" t="s">
        <v>581</v>
      </c>
      <c r="E174" s="1" t="s">
        <v>920</v>
      </c>
      <c r="H174" s="1" t="s">
        <v>921</v>
      </c>
      <c r="I174" s="1">
        <v>65.0</v>
      </c>
      <c r="K174" s="2" t="s">
        <v>922</v>
      </c>
      <c r="L174" s="2" t="s">
        <v>60</v>
      </c>
      <c r="M174" s="1" t="s">
        <v>2004</v>
      </c>
      <c r="N174" s="1" t="s">
        <v>62</v>
      </c>
      <c r="O174" s="1" t="s">
        <v>167</v>
      </c>
      <c r="P174" s="1" t="s">
        <v>588</v>
      </c>
      <c r="Q174" s="1">
        <v>17.533333</v>
      </c>
      <c r="R174" s="1">
        <v>-90.183333</v>
      </c>
      <c r="S174" s="1" t="s">
        <v>148</v>
      </c>
      <c r="T174" s="2" t="s">
        <v>382</v>
      </c>
      <c r="U174" s="1" t="s">
        <v>173</v>
      </c>
      <c r="V174" s="3" t="s">
        <v>299</v>
      </c>
      <c r="W174" s="1" t="s">
        <v>606</v>
      </c>
      <c r="X174" s="1" t="s">
        <v>544</v>
      </c>
      <c r="Y174" s="6" t="s">
        <v>76</v>
      </c>
      <c r="Z174" s="1" t="s">
        <v>173</v>
      </c>
      <c r="AB174" s="1">
        <v>6.0</v>
      </c>
      <c r="AI174" s="2" t="s">
        <v>72</v>
      </c>
      <c r="AJ174" s="1">
        <v>-6450.0</v>
      </c>
      <c r="AK174" s="1">
        <v>1950.0</v>
      </c>
      <c r="AL174" s="2" t="s">
        <v>73</v>
      </c>
      <c r="AM174" s="3" t="s">
        <v>72</v>
      </c>
      <c r="AN174" s="1" t="s">
        <v>400</v>
      </c>
      <c r="AO174" s="2" t="s">
        <v>72</v>
      </c>
      <c r="AQ174" s="2" t="s">
        <v>75</v>
      </c>
      <c r="AR174" s="2" t="s">
        <v>76</v>
      </c>
      <c r="AS174" s="1">
        <v>1598.0</v>
      </c>
      <c r="AT174" s="1">
        <v>1598.0</v>
      </c>
      <c r="AU174" s="1">
        <v>686.0</v>
      </c>
      <c r="AV174" s="1">
        <v>33.0</v>
      </c>
      <c r="AW174" s="1">
        <v>119.0</v>
      </c>
      <c r="AX174" s="1">
        <v>6059.0</v>
      </c>
      <c r="AY174" s="1">
        <v>238.0</v>
      </c>
      <c r="AZ174" s="1" t="s">
        <v>133</v>
      </c>
      <c r="BA174" s="1" t="s">
        <v>121</v>
      </c>
    </row>
    <row r="175">
      <c r="A175" s="1" t="s">
        <v>931</v>
      </c>
      <c r="B175" s="1" t="s">
        <v>268</v>
      </c>
      <c r="C175" s="1">
        <v>2007.0</v>
      </c>
      <c r="D175" s="1" t="s">
        <v>730</v>
      </c>
      <c r="E175" s="1" t="s">
        <v>932</v>
      </c>
      <c r="H175" s="1" t="s">
        <v>933</v>
      </c>
      <c r="I175" s="1">
        <v>97.0</v>
      </c>
      <c r="K175" s="2" t="s">
        <v>934</v>
      </c>
      <c r="L175" s="2" t="s">
        <v>60</v>
      </c>
      <c r="M175" s="1" t="s">
        <v>2006</v>
      </c>
      <c r="N175" s="1" t="s">
        <v>62</v>
      </c>
      <c r="O175" s="1" t="s">
        <v>737</v>
      </c>
      <c r="P175" s="1" t="s">
        <v>936</v>
      </c>
      <c r="Q175" s="1">
        <v>13.983226</v>
      </c>
      <c r="R175" s="1">
        <v>-89.671258</v>
      </c>
      <c r="S175" s="1" t="s">
        <v>148</v>
      </c>
      <c r="T175" s="2" t="s">
        <v>599</v>
      </c>
      <c r="U175" s="3" t="s">
        <v>81</v>
      </c>
      <c r="V175" s="3" t="s">
        <v>68</v>
      </c>
      <c r="W175" s="1" t="s">
        <v>82</v>
      </c>
      <c r="X175" s="2" t="s">
        <v>928</v>
      </c>
      <c r="Y175" s="6" t="s">
        <v>76</v>
      </c>
      <c r="Z175" s="3" t="s">
        <v>84</v>
      </c>
      <c r="AB175" s="1">
        <v>4.0</v>
      </c>
      <c r="AH175" s="1">
        <v>1.0</v>
      </c>
      <c r="AI175" s="1" t="s">
        <v>937</v>
      </c>
      <c r="AJ175" s="1">
        <v>-1760.0</v>
      </c>
      <c r="AK175" s="1">
        <v>1950.0</v>
      </c>
      <c r="AL175" s="2" t="s">
        <v>73</v>
      </c>
      <c r="AM175" s="2" t="s">
        <v>76</v>
      </c>
      <c r="AN175" s="1" t="s">
        <v>74</v>
      </c>
      <c r="AO175" s="2" t="s">
        <v>72</v>
      </c>
      <c r="AQ175" s="2" t="s">
        <v>75</v>
      </c>
      <c r="AR175" s="2" t="s">
        <v>76</v>
      </c>
      <c r="AS175" s="1">
        <v>1612.0</v>
      </c>
      <c r="AT175" s="1">
        <v>1612.0</v>
      </c>
      <c r="AU175" s="1">
        <v>836.0</v>
      </c>
      <c r="AV175" s="1">
        <v>3.0</v>
      </c>
      <c r="AW175" s="1">
        <v>13.0</v>
      </c>
      <c r="AX175" s="1">
        <v>9515.0</v>
      </c>
      <c r="AY175" s="1">
        <v>700.0</v>
      </c>
      <c r="AZ175" s="1" t="s">
        <v>77</v>
      </c>
      <c r="BA175" s="1" t="s">
        <v>78</v>
      </c>
    </row>
    <row r="176">
      <c r="A176" s="1" t="s">
        <v>931</v>
      </c>
      <c r="B176" s="1" t="s">
        <v>268</v>
      </c>
      <c r="C176" s="1">
        <v>2007.0</v>
      </c>
      <c r="D176" s="1" t="s">
        <v>730</v>
      </c>
      <c r="E176" s="1" t="s">
        <v>932</v>
      </c>
      <c r="H176" s="1" t="s">
        <v>933</v>
      </c>
      <c r="I176" s="1">
        <v>97.0</v>
      </c>
      <c r="K176" s="2" t="s">
        <v>934</v>
      </c>
      <c r="L176" s="2" t="s">
        <v>60</v>
      </c>
      <c r="M176" s="1" t="s">
        <v>2007</v>
      </c>
      <c r="N176" s="1" t="s">
        <v>62</v>
      </c>
      <c r="O176" s="1" t="s">
        <v>737</v>
      </c>
      <c r="P176" s="1" t="s">
        <v>936</v>
      </c>
      <c r="Q176" s="1">
        <v>13.983226</v>
      </c>
      <c r="R176" s="1">
        <v>-89.671258</v>
      </c>
      <c r="S176" s="1" t="s">
        <v>148</v>
      </c>
      <c r="T176" s="2" t="s">
        <v>382</v>
      </c>
      <c r="U176" s="7" t="s">
        <v>173</v>
      </c>
      <c r="V176" s="3" t="s">
        <v>116</v>
      </c>
      <c r="W176" s="1" t="s">
        <v>2008</v>
      </c>
      <c r="X176" s="1" t="s">
        <v>2009</v>
      </c>
      <c r="Y176" s="6" t="s">
        <v>76</v>
      </c>
      <c r="Z176" s="1" t="s">
        <v>173</v>
      </c>
      <c r="AB176" s="1">
        <v>4.0</v>
      </c>
      <c r="AH176" s="1">
        <v>1.0</v>
      </c>
      <c r="AI176" s="1" t="s">
        <v>937</v>
      </c>
      <c r="AJ176" s="1">
        <v>-1760.0</v>
      </c>
      <c r="AK176" s="1">
        <v>1950.0</v>
      </c>
      <c r="AL176" s="2" t="s">
        <v>73</v>
      </c>
      <c r="AM176" s="2" t="s">
        <v>76</v>
      </c>
      <c r="AN176" s="1" t="s">
        <v>74</v>
      </c>
      <c r="AO176" s="2" t="s">
        <v>72</v>
      </c>
      <c r="AQ176" s="2" t="s">
        <v>75</v>
      </c>
      <c r="AR176" s="2" t="s">
        <v>76</v>
      </c>
      <c r="AS176" s="1">
        <v>1612.0</v>
      </c>
      <c r="AT176" s="1">
        <v>1612.0</v>
      </c>
      <c r="AU176" s="1">
        <v>836.0</v>
      </c>
      <c r="AV176" s="1">
        <v>3.0</v>
      </c>
      <c r="AW176" s="1">
        <v>13.0</v>
      </c>
      <c r="AX176" s="1">
        <v>9515.0</v>
      </c>
      <c r="AY176" s="1">
        <v>700.0</v>
      </c>
      <c r="AZ176" s="1" t="s">
        <v>77</v>
      </c>
      <c r="BA176" s="1" t="s">
        <v>78</v>
      </c>
    </row>
    <row r="177">
      <c r="A177" s="1" t="s">
        <v>931</v>
      </c>
      <c r="B177" s="1" t="s">
        <v>268</v>
      </c>
      <c r="C177" s="1">
        <v>2007.0</v>
      </c>
      <c r="D177" s="1" t="s">
        <v>730</v>
      </c>
      <c r="E177" s="1" t="s">
        <v>932</v>
      </c>
      <c r="H177" s="1" t="s">
        <v>933</v>
      </c>
      <c r="I177" s="1">
        <v>97.0</v>
      </c>
      <c r="K177" s="2" t="s">
        <v>934</v>
      </c>
      <c r="L177" s="2" t="s">
        <v>60</v>
      </c>
      <c r="M177" s="1" t="s">
        <v>2010</v>
      </c>
      <c r="N177" s="1" t="s">
        <v>62</v>
      </c>
      <c r="O177" s="1" t="s">
        <v>737</v>
      </c>
      <c r="P177" s="1" t="s">
        <v>936</v>
      </c>
      <c r="Q177" s="1">
        <v>13.983226</v>
      </c>
      <c r="R177" s="1">
        <v>-89.671258</v>
      </c>
      <c r="S177" s="1" t="s">
        <v>148</v>
      </c>
      <c r="T177" s="2" t="s">
        <v>66</v>
      </c>
      <c r="U177" s="2" t="s">
        <v>1909</v>
      </c>
      <c r="V177" s="3" t="s">
        <v>171</v>
      </c>
      <c r="W177" s="1" t="s">
        <v>2011</v>
      </c>
      <c r="X177" s="1" t="s">
        <v>70</v>
      </c>
      <c r="Y177" s="5" t="s">
        <v>60</v>
      </c>
      <c r="Z177" s="3" t="s">
        <v>345</v>
      </c>
      <c r="AB177" s="1">
        <v>4.0</v>
      </c>
      <c r="AH177" s="1">
        <v>1.0</v>
      </c>
      <c r="AI177" s="1" t="s">
        <v>937</v>
      </c>
      <c r="AJ177" s="1">
        <v>-1760.0</v>
      </c>
      <c r="AK177" s="1">
        <v>1950.0</v>
      </c>
      <c r="AL177" s="2" t="s">
        <v>73</v>
      </c>
      <c r="AM177" s="2" t="s">
        <v>76</v>
      </c>
      <c r="AN177" s="1" t="s">
        <v>74</v>
      </c>
      <c r="AO177" s="2" t="s">
        <v>72</v>
      </c>
      <c r="AQ177" s="2" t="s">
        <v>75</v>
      </c>
      <c r="AR177" s="2" t="s">
        <v>76</v>
      </c>
      <c r="AS177" s="1">
        <v>1612.0</v>
      </c>
      <c r="AT177" s="1">
        <v>1612.0</v>
      </c>
      <c r="AU177" s="1">
        <v>836.0</v>
      </c>
      <c r="AV177" s="1">
        <v>3.0</v>
      </c>
      <c r="AW177" s="1">
        <v>13.0</v>
      </c>
      <c r="AX177" s="1">
        <v>9515.0</v>
      </c>
      <c r="AY177" s="1">
        <v>700.0</v>
      </c>
      <c r="AZ177" s="1" t="s">
        <v>77</v>
      </c>
      <c r="BA177" s="1" t="s">
        <v>78</v>
      </c>
    </row>
    <row r="178">
      <c r="A178" s="1" t="s">
        <v>496</v>
      </c>
      <c r="B178" s="1" t="s">
        <v>53</v>
      </c>
      <c r="C178" s="1">
        <v>2007.0</v>
      </c>
      <c r="D178" s="1" t="s">
        <v>497</v>
      </c>
      <c r="E178" s="1" t="s">
        <v>498</v>
      </c>
      <c r="F178" s="1" t="s">
        <v>488</v>
      </c>
      <c r="G178" s="1" t="s">
        <v>499</v>
      </c>
      <c r="H178" s="1" t="s">
        <v>500</v>
      </c>
      <c r="I178" s="1">
        <v>35.0</v>
      </c>
      <c r="J178" s="1">
        <v>2.0</v>
      </c>
      <c r="K178" s="2" t="s">
        <v>501</v>
      </c>
      <c r="L178" s="2" t="s">
        <v>60</v>
      </c>
      <c r="M178" s="1" t="s">
        <v>502</v>
      </c>
      <c r="N178" s="1" t="s">
        <v>62</v>
      </c>
      <c r="O178" s="1" t="s">
        <v>187</v>
      </c>
      <c r="P178" s="1" t="s">
        <v>443</v>
      </c>
      <c r="Q178" s="1">
        <v>17.117188</v>
      </c>
      <c r="R178" s="1">
        <v>-88.890606</v>
      </c>
      <c r="S178" s="1" t="s">
        <v>94</v>
      </c>
      <c r="T178" s="2" t="s">
        <v>95</v>
      </c>
      <c r="U178" s="2" t="s">
        <v>444</v>
      </c>
      <c r="V178" s="3" t="s">
        <v>97</v>
      </c>
      <c r="W178" s="1" t="s">
        <v>503</v>
      </c>
      <c r="X178" s="2" t="s">
        <v>99</v>
      </c>
      <c r="Y178" s="6" t="s">
        <v>76</v>
      </c>
      <c r="Z178" s="3" t="s">
        <v>76</v>
      </c>
      <c r="AE178" s="1">
        <v>1.0</v>
      </c>
      <c r="AJ178" s="1">
        <v>1978.0</v>
      </c>
      <c r="AK178" s="1">
        <v>2001.0</v>
      </c>
      <c r="AL178" s="2" t="s">
        <v>153</v>
      </c>
      <c r="AM178" s="2" t="s">
        <v>60</v>
      </c>
      <c r="AN178" s="2" t="s">
        <v>72</v>
      </c>
      <c r="AO178" s="2" t="s">
        <v>101</v>
      </c>
      <c r="AQ178" s="2" t="s">
        <v>102</v>
      </c>
      <c r="AR178" s="2" t="s">
        <v>76</v>
      </c>
      <c r="AS178" s="1">
        <v>1849.0</v>
      </c>
      <c r="AT178" s="1">
        <v>1849.0</v>
      </c>
      <c r="AU178" s="1">
        <v>723.0</v>
      </c>
      <c r="AV178" s="1">
        <v>44.0</v>
      </c>
      <c r="AW178" s="1">
        <v>156.0</v>
      </c>
      <c r="AX178" s="1">
        <v>5227.0</v>
      </c>
      <c r="AY178" s="1">
        <v>194.0</v>
      </c>
      <c r="AZ178" s="1" t="s">
        <v>445</v>
      </c>
      <c r="BA178" s="1" t="s">
        <v>446</v>
      </c>
    </row>
    <row r="179">
      <c r="A179" s="1" t="s">
        <v>496</v>
      </c>
      <c r="B179" s="1" t="s">
        <v>53</v>
      </c>
      <c r="C179" s="1">
        <v>2007.0</v>
      </c>
      <c r="D179" s="1" t="s">
        <v>497</v>
      </c>
      <c r="E179" s="1" t="s">
        <v>498</v>
      </c>
      <c r="F179" s="1" t="s">
        <v>488</v>
      </c>
      <c r="G179" s="1" t="s">
        <v>499</v>
      </c>
      <c r="H179" s="1" t="s">
        <v>500</v>
      </c>
      <c r="I179" s="1">
        <v>35.0</v>
      </c>
      <c r="J179" s="1">
        <v>2.0</v>
      </c>
      <c r="K179" s="2" t="s">
        <v>501</v>
      </c>
      <c r="L179" s="2" t="s">
        <v>60</v>
      </c>
      <c r="M179" s="1" t="s">
        <v>504</v>
      </c>
      <c r="N179" s="1" t="s">
        <v>62</v>
      </c>
      <c r="O179" s="1" t="s">
        <v>187</v>
      </c>
      <c r="P179" s="1" t="s">
        <v>443</v>
      </c>
      <c r="Q179" s="1">
        <v>17.117188</v>
      </c>
      <c r="R179" s="1">
        <v>-88.890606</v>
      </c>
      <c r="S179" s="1" t="s">
        <v>94</v>
      </c>
      <c r="T179" s="2" t="s">
        <v>135</v>
      </c>
      <c r="U179" s="2" t="s">
        <v>444</v>
      </c>
      <c r="V179" s="3" t="s">
        <v>97</v>
      </c>
      <c r="W179" s="1" t="s">
        <v>503</v>
      </c>
      <c r="X179" s="2" t="s">
        <v>99</v>
      </c>
      <c r="Y179" s="6" t="s">
        <v>76</v>
      </c>
      <c r="Z179" s="3" t="s">
        <v>76</v>
      </c>
      <c r="AE179" s="1">
        <v>1.0</v>
      </c>
      <c r="AJ179" s="1">
        <v>1978.0</v>
      </c>
      <c r="AK179" s="1">
        <v>2001.0</v>
      </c>
      <c r="AL179" s="2" t="s">
        <v>153</v>
      </c>
      <c r="AM179" s="2" t="s">
        <v>60</v>
      </c>
      <c r="AN179" s="2" t="s">
        <v>72</v>
      </c>
      <c r="AO179" s="2" t="s">
        <v>101</v>
      </c>
      <c r="AQ179" s="2" t="s">
        <v>102</v>
      </c>
      <c r="AR179" s="2" t="s">
        <v>76</v>
      </c>
      <c r="AS179" s="1">
        <v>1849.0</v>
      </c>
      <c r="AT179" s="1">
        <v>1849.0</v>
      </c>
      <c r="AU179" s="1">
        <v>723.0</v>
      </c>
      <c r="AV179" s="1">
        <v>44.0</v>
      </c>
      <c r="AW179" s="1">
        <v>156.0</v>
      </c>
      <c r="AX179" s="1">
        <v>5227.0</v>
      </c>
      <c r="AY179" s="1">
        <v>194.0</v>
      </c>
      <c r="AZ179" s="1" t="s">
        <v>445</v>
      </c>
      <c r="BA179" s="1" t="s">
        <v>446</v>
      </c>
    </row>
    <row r="180">
      <c r="A180" s="1" t="s">
        <v>227</v>
      </c>
      <c r="B180" s="1" t="s">
        <v>53</v>
      </c>
      <c r="C180" s="1">
        <v>2007.0</v>
      </c>
      <c r="D180" s="1" t="s">
        <v>228</v>
      </c>
      <c r="E180" s="1" t="s">
        <v>229</v>
      </c>
      <c r="F180" s="1" t="s">
        <v>230</v>
      </c>
      <c r="G180" s="1" t="s">
        <v>231</v>
      </c>
      <c r="H180" s="1" t="s">
        <v>232</v>
      </c>
      <c r="I180" s="1">
        <v>83.0</v>
      </c>
      <c r="J180" s="1">
        <v>43862.0</v>
      </c>
      <c r="K180" s="2" t="s">
        <v>233</v>
      </c>
      <c r="L180" s="2" t="s">
        <v>60</v>
      </c>
      <c r="M180" s="1" t="s">
        <v>234</v>
      </c>
      <c r="N180" s="1" t="s">
        <v>62</v>
      </c>
      <c r="O180" s="1" t="s">
        <v>92</v>
      </c>
      <c r="P180" s="1" t="s">
        <v>235</v>
      </c>
      <c r="Q180" s="1">
        <v>20.648487</v>
      </c>
      <c r="R180" s="1">
        <v>-87.637178</v>
      </c>
      <c r="S180" s="1" t="s">
        <v>148</v>
      </c>
      <c r="T180" s="2" t="s">
        <v>189</v>
      </c>
      <c r="U180" s="2" t="s">
        <v>96</v>
      </c>
      <c r="V180" s="3" t="s">
        <v>97</v>
      </c>
      <c r="W180" s="1" t="s">
        <v>236</v>
      </c>
      <c r="X180" s="1" t="s">
        <v>70</v>
      </c>
      <c r="Y180" s="6" t="s">
        <v>76</v>
      </c>
      <c r="Z180" s="3" t="s">
        <v>76</v>
      </c>
      <c r="AB180" s="1">
        <v>7.0</v>
      </c>
      <c r="AI180" s="1" t="s">
        <v>237</v>
      </c>
      <c r="AJ180" s="1">
        <v>-1900.0</v>
      </c>
      <c r="AK180" s="1">
        <v>1330.0</v>
      </c>
      <c r="AL180" s="2" t="s">
        <v>100</v>
      </c>
      <c r="AM180" s="2" t="s">
        <v>72</v>
      </c>
      <c r="AN180" s="1" t="s">
        <v>238</v>
      </c>
      <c r="AO180" s="2" t="s">
        <v>76</v>
      </c>
      <c r="AQ180" s="2" t="s">
        <v>102</v>
      </c>
      <c r="AR180" s="2" t="s">
        <v>76</v>
      </c>
      <c r="AS180" s="1">
        <v>1183.0</v>
      </c>
      <c r="AT180" s="1">
        <v>1183.0</v>
      </c>
      <c r="AU180" s="1">
        <v>505.0</v>
      </c>
      <c r="AV180" s="1">
        <v>44.0</v>
      </c>
      <c r="AW180" s="1">
        <v>136.0</v>
      </c>
      <c r="AX180" s="1">
        <v>5425.0</v>
      </c>
      <c r="AY180" s="1">
        <v>22.0</v>
      </c>
      <c r="AZ180" s="1" t="s">
        <v>239</v>
      </c>
      <c r="BA180" s="1" t="s">
        <v>121</v>
      </c>
    </row>
    <row r="181">
      <c r="A181" s="1" t="s">
        <v>227</v>
      </c>
      <c r="B181" s="1" t="s">
        <v>53</v>
      </c>
      <c r="C181" s="1">
        <v>2007.0</v>
      </c>
      <c r="D181" s="1" t="s">
        <v>228</v>
      </c>
      <c r="E181" s="1" t="s">
        <v>229</v>
      </c>
      <c r="F181" s="1" t="s">
        <v>230</v>
      </c>
      <c r="G181" s="1" t="s">
        <v>231</v>
      </c>
      <c r="H181" s="1" t="s">
        <v>232</v>
      </c>
      <c r="I181" s="1">
        <v>83.0</v>
      </c>
      <c r="J181" s="1">
        <v>43862.0</v>
      </c>
      <c r="K181" s="2" t="s">
        <v>233</v>
      </c>
      <c r="L181" s="2" t="s">
        <v>60</v>
      </c>
      <c r="M181" s="1" t="s">
        <v>240</v>
      </c>
      <c r="N181" s="1" t="s">
        <v>62</v>
      </c>
      <c r="O181" s="1" t="s">
        <v>92</v>
      </c>
      <c r="P181" s="1" t="s">
        <v>235</v>
      </c>
      <c r="Q181" s="1">
        <v>20.648487</v>
      </c>
      <c r="R181" s="1">
        <v>-87.637178</v>
      </c>
      <c r="S181" s="1" t="s">
        <v>148</v>
      </c>
      <c r="T181" s="2" t="s">
        <v>189</v>
      </c>
      <c r="U181" s="2" t="s">
        <v>96</v>
      </c>
      <c r="V181" s="3" t="s">
        <v>97</v>
      </c>
      <c r="W181" s="1" t="s">
        <v>236</v>
      </c>
      <c r="X181" s="1" t="s">
        <v>70</v>
      </c>
      <c r="Y181" s="6" t="s">
        <v>76</v>
      </c>
      <c r="Z181" s="3" t="s">
        <v>76</v>
      </c>
      <c r="AB181" s="1">
        <v>7.0</v>
      </c>
      <c r="AI181" s="1" t="s">
        <v>237</v>
      </c>
      <c r="AJ181" s="1">
        <v>-1700.0</v>
      </c>
      <c r="AK181" s="1">
        <v>2000.0</v>
      </c>
      <c r="AL181" s="2" t="s">
        <v>100</v>
      </c>
      <c r="AM181" s="2" t="s">
        <v>72</v>
      </c>
      <c r="AN181" s="1" t="s">
        <v>238</v>
      </c>
      <c r="AO181" s="2" t="s">
        <v>76</v>
      </c>
      <c r="AQ181" s="2" t="s">
        <v>102</v>
      </c>
      <c r="AR181" s="2" t="s">
        <v>76</v>
      </c>
      <c r="AS181" s="1">
        <v>1183.0</v>
      </c>
      <c r="AT181" s="1">
        <v>1183.0</v>
      </c>
      <c r="AU181" s="1">
        <v>505.0</v>
      </c>
      <c r="AV181" s="1">
        <v>44.0</v>
      </c>
      <c r="AW181" s="1">
        <v>136.0</v>
      </c>
      <c r="AX181" s="1">
        <v>5425.0</v>
      </c>
      <c r="AY181" s="1">
        <v>22.0</v>
      </c>
      <c r="AZ181" s="1" t="s">
        <v>239</v>
      </c>
      <c r="BA181" s="1" t="s">
        <v>121</v>
      </c>
    </row>
    <row r="182">
      <c r="A182" s="1" t="s">
        <v>227</v>
      </c>
      <c r="B182" s="1" t="s">
        <v>53</v>
      </c>
      <c r="C182" s="1">
        <v>2007.0</v>
      </c>
      <c r="D182" s="1" t="s">
        <v>228</v>
      </c>
      <c r="E182" s="1" t="s">
        <v>229</v>
      </c>
      <c r="F182" s="1" t="s">
        <v>230</v>
      </c>
      <c r="G182" s="1" t="s">
        <v>231</v>
      </c>
      <c r="H182" s="1" t="s">
        <v>232</v>
      </c>
      <c r="I182" s="1">
        <v>83.0</v>
      </c>
      <c r="J182" s="1">
        <v>43862.0</v>
      </c>
      <c r="K182" s="2" t="s">
        <v>233</v>
      </c>
      <c r="L182" s="2" t="s">
        <v>60</v>
      </c>
      <c r="M182" s="1" t="s">
        <v>241</v>
      </c>
      <c r="N182" s="1" t="s">
        <v>62</v>
      </c>
      <c r="O182" s="1" t="s">
        <v>92</v>
      </c>
      <c r="P182" s="1" t="s">
        <v>235</v>
      </c>
      <c r="Q182" s="1">
        <v>20.648487</v>
      </c>
      <c r="R182" s="1">
        <v>-87.637178</v>
      </c>
      <c r="S182" s="1" t="s">
        <v>148</v>
      </c>
      <c r="T182" s="2" t="s">
        <v>135</v>
      </c>
      <c r="U182" s="2" t="s">
        <v>96</v>
      </c>
      <c r="V182" s="3" t="s">
        <v>97</v>
      </c>
      <c r="W182" s="1" t="s">
        <v>242</v>
      </c>
      <c r="X182" s="2" t="s">
        <v>72</v>
      </c>
      <c r="Y182" s="6" t="s">
        <v>76</v>
      </c>
      <c r="Z182" s="3" t="s">
        <v>76</v>
      </c>
      <c r="AB182" s="1">
        <v>7.0</v>
      </c>
      <c r="AI182" s="1" t="s">
        <v>237</v>
      </c>
      <c r="AJ182" s="1">
        <v>-1900.0</v>
      </c>
      <c r="AK182" s="1">
        <v>1330.0</v>
      </c>
      <c r="AL182" s="2" t="s">
        <v>100</v>
      </c>
      <c r="AM182" s="2" t="s">
        <v>72</v>
      </c>
      <c r="AN182" s="1" t="s">
        <v>238</v>
      </c>
      <c r="AO182" s="2" t="s">
        <v>76</v>
      </c>
      <c r="AQ182" s="2" t="s">
        <v>102</v>
      </c>
      <c r="AR182" s="2" t="s">
        <v>76</v>
      </c>
      <c r="AS182" s="1">
        <v>1183.0</v>
      </c>
      <c r="AT182" s="1">
        <v>1183.0</v>
      </c>
      <c r="AU182" s="1">
        <v>505.0</v>
      </c>
      <c r="AV182" s="1">
        <v>44.0</v>
      </c>
      <c r="AW182" s="1">
        <v>136.0</v>
      </c>
      <c r="AX182" s="1">
        <v>5425.0</v>
      </c>
      <c r="AY182" s="1">
        <v>22.0</v>
      </c>
      <c r="AZ182" s="1" t="s">
        <v>239</v>
      </c>
      <c r="BA182" s="1" t="s">
        <v>121</v>
      </c>
    </row>
    <row r="183">
      <c r="A183" s="1" t="s">
        <v>227</v>
      </c>
      <c r="B183" s="1" t="s">
        <v>53</v>
      </c>
      <c r="C183" s="1">
        <v>2007.0</v>
      </c>
      <c r="D183" s="1" t="s">
        <v>228</v>
      </c>
      <c r="E183" s="1" t="s">
        <v>229</v>
      </c>
      <c r="F183" s="1" t="s">
        <v>230</v>
      </c>
      <c r="G183" s="1" t="s">
        <v>231</v>
      </c>
      <c r="H183" s="1" t="s">
        <v>232</v>
      </c>
      <c r="I183" s="1">
        <v>83.0</v>
      </c>
      <c r="J183" s="1">
        <v>43862.0</v>
      </c>
      <c r="K183" s="2" t="s">
        <v>233</v>
      </c>
      <c r="L183" s="2" t="s">
        <v>60</v>
      </c>
      <c r="M183" s="1" t="s">
        <v>243</v>
      </c>
      <c r="N183" s="1" t="s">
        <v>62</v>
      </c>
      <c r="O183" s="1" t="s">
        <v>92</v>
      </c>
      <c r="P183" s="1" t="s">
        <v>235</v>
      </c>
      <c r="Q183" s="1">
        <v>20.648487</v>
      </c>
      <c r="R183" s="1">
        <v>-87.637178</v>
      </c>
      <c r="S183" s="1" t="s">
        <v>148</v>
      </c>
      <c r="T183" s="2" t="s">
        <v>135</v>
      </c>
      <c r="U183" s="2" t="s">
        <v>96</v>
      </c>
      <c r="V183" s="3" t="s">
        <v>97</v>
      </c>
      <c r="W183" s="1" t="s">
        <v>242</v>
      </c>
      <c r="X183" s="2" t="s">
        <v>72</v>
      </c>
      <c r="Y183" s="6" t="s">
        <v>76</v>
      </c>
      <c r="Z183" s="3" t="s">
        <v>76</v>
      </c>
      <c r="AB183" s="1">
        <v>7.0</v>
      </c>
      <c r="AI183" s="1" t="s">
        <v>237</v>
      </c>
      <c r="AJ183" s="1">
        <v>-1700.0</v>
      </c>
      <c r="AK183" s="1">
        <v>2000.0</v>
      </c>
      <c r="AL183" s="2" t="s">
        <v>100</v>
      </c>
      <c r="AM183" s="2" t="s">
        <v>72</v>
      </c>
      <c r="AN183" s="1" t="s">
        <v>238</v>
      </c>
      <c r="AO183" s="2" t="s">
        <v>76</v>
      </c>
      <c r="AQ183" s="2" t="s">
        <v>102</v>
      </c>
      <c r="AR183" s="2" t="s">
        <v>76</v>
      </c>
      <c r="AS183" s="1">
        <v>1183.0</v>
      </c>
      <c r="AT183" s="1">
        <v>1183.0</v>
      </c>
      <c r="AU183" s="1">
        <v>505.0</v>
      </c>
      <c r="AV183" s="1">
        <v>44.0</v>
      </c>
      <c r="AW183" s="1">
        <v>136.0</v>
      </c>
      <c r="AX183" s="1">
        <v>5425.0</v>
      </c>
      <c r="AY183" s="1">
        <v>22.0</v>
      </c>
      <c r="AZ183" s="1" t="s">
        <v>239</v>
      </c>
      <c r="BA183" s="1" t="s">
        <v>121</v>
      </c>
    </row>
    <row r="184">
      <c r="A184" s="1" t="s">
        <v>227</v>
      </c>
      <c r="B184" s="1" t="s">
        <v>53</v>
      </c>
      <c r="C184" s="1">
        <v>2007.0</v>
      </c>
      <c r="D184" s="1" t="s">
        <v>228</v>
      </c>
      <c r="E184" s="1" t="s">
        <v>229</v>
      </c>
      <c r="F184" s="1" t="s">
        <v>230</v>
      </c>
      <c r="G184" s="1" t="s">
        <v>231</v>
      </c>
      <c r="H184" s="1" t="s">
        <v>232</v>
      </c>
      <c r="I184" s="1">
        <v>83.0</v>
      </c>
      <c r="J184" s="1">
        <v>43862.0</v>
      </c>
      <c r="K184" s="2" t="s">
        <v>233</v>
      </c>
      <c r="L184" s="2" t="s">
        <v>60</v>
      </c>
      <c r="M184" s="1" t="s">
        <v>244</v>
      </c>
      <c r="N184" s="1" t="s">
        <v>62</v>
      </c>
      <c r="O184" s="1" t="s">
        <v>92</v>
      </c>
      <c r="P184" s="1" t="s">
        <v>235</v>
      </c>
      <c r="Q184" s="1">
        <v>20.648487</v>
      </c>
      <c r="R184" s="1">
        <v>-87.637178</v>
      </c>
      <c r="S184" s="1" t="s">
        <v>148</v>
      </c>
      <c r="T184" s="2" t="s">
        <v>194</v>
      </c>
      <c r="U184" s="2" t="s">
        <v>96</v>
      </c>
      <c r="V184" s="3" t="s">
        <v>97</v>
      </c>
      <c r="W184" s="1" t="s">
        <v>236</v>
      </c>
      <c r="X184" s="1" t="s">
        <v>70</v>
      </c>
      <c r="Y184" s="6" t="s">
        <v>76</v>
      </c>
      <c r="Z184" s="3" t="s">
        <v>76</v>
      </c>
      <c r="AB184" s="1">
        <v>7.0</v>
      </c>
      <c r="AI184" s="1" t="s">
        <v>237</v>
      </c>
      <c r="AJ184" s="1">
        <v>-1900.0</v>
      </c>
      <c r="AK184" s="1">
        <v>1330.0</v>
      </c>
      <c r="AL184" s="2" t="s">
        <v>100</v>
      </c>
      <c r="AM184" s="2" t="s">
        <v>72</v>
      </c>
      <c r="AN184" s="1" t="s">
        <v>238</v>
      </c>
      <c r="AO184" s="2" t="s">
        <v>76</v>
      </c>
      <c r="AQ184" s="2" t="s">
        <v>102</v>
      </c>
      <c r="AR184" s="2" t="s">
        <v>76</v>
      </c>
      <c r="AS184" s="1">
        <v>1183.0</v>
      </c>
      <c r="AT184" s="1">
        <v>1183.0</v>
      </c>
      <c r="AU184" s="1">
        <v>505.0</v>
      </c>
      <c r="AV184" s="1">
        <v>44.0</v>
      </c>
      <c r="AW184" s="1">
        <v>136.0</v>
      </c>
      <c r="AX184" s="1">
        <v>5425.0</v>
      </c>
      <c r="AY184" s="1">
        <v>22.0</v>
      </c>
      <c r="AZ184" s="1" t="s">
        <v>239</v>
      </c>
      <c r="BA184" s="1" t="s">
        <v>121</v>
      </c>
    </row>
    <row r="185">
      <c r="A185" s="1" t="s">
        <v>227</v>
      </c>
      <c r="B185" s="1" t="s">
        <v>53</v>
      </c>
      <c r="C185" s="1">
        <v>2007.0</v>
      </c>
      <c r="D185" s="1" t="s">
        <v>228</v>
      </c>
      <c r="E185" s="1" t="s">
        <v>229</v>
      </c>
      <c r="F185" s="1" t="s">
        <v>230</v>
      </c>
      <c r="G185" s="1" t="s">
        <v>231</v>
      </c>
      <c r="H185" s="1" t="s">
        <v>232</v>
      </c>
      <c r="I185" s="1">
        <v>83.0</v>
      </c>
      <c r="J185" s="1">
        <v>43862.0</v>
      </c>
      <c r="K185" s="2" t="s">
        <v>233</v>
      </c>
      <c r="L185" s="2" t="s">
        <v>60</v>
      </c>
      <c r="M185" s="1" t="s">
        <v>245</v>
      </c>
      <c r="N185" s="1" t="s">
        <v>62</v>
      </c>
      <c r="O185" s="1" t="s">
        <v>92</v>
      </c>
      <c r="P185" s="1" t="s">
        <v>235</v>
      </c>
      <c r="Q185" s="1">
        <v>20.648487</v>
      </c>
      <c r="R185" s="1">
        <v>-87.637178</v>
      </c>
      <c r="S185" s="1" t="s">
        <v>148</v>
      </c>
      <c r="T185" s="2" t="s">
        <v>194</v>
      </c>
      <c r="U185" s="2" t="s">
        <v>96</v>
      </c>
      <c r="V185" s="3" t="s">
        <v>97</v>
      </c>
      <c r="W185" s="1" t="s">
        <v>236</v>
      </c>
      <c r="X185" s="1" t="s">
        <v>70</v>
      </c>
      <c r="Y185" s="6" t="s">
        <v>76</v>
      </c>
      <c r="Z185" s="3" t="s">
        <v>76</v>
      </c>
      <c r="AB185" s="1">
        <v>7.0</v>
      </c>
      <c r="AI185" s="1" t="s">
        <v>237</v>
      </c>
      <c r="AJ185" s="1">
        <v>-1700.0</v>
      </c>
      <c r="AK185" s="1">
        <v>2000.0</v>
      </c>
      <c r="AL185" s="2" t="s">
        <v>100</v>
      </c>
      <c r="AM185" s="2" t="s">
        <v>72</v>
      </c>
      <c r="AN185" s="1" t="s">
        <v>238</v>
      </c>
      <c r="AO185" s="2" t="s">
        <v>76</v>
      </c>
      <c r="AQ185" s="2" t="s">
        <v>102</v>
      </c>
      <c r="AR185" s="2" t="s">
        <v>76</v>
      </c>
      <c r="AS185" s="1">
        <v>1183.0</v>
      </c>
      <c r="AT185" s="1">
        <v>1183.0</v>
      </c>
      <c r="AU185" s="1">
        <v>505.0</v>
      </c>
      <c r="AV185" s="1">
        <v>44.0</v>
      </c>
      <c r="AW185" s="1">
        <v>136.0</v>
      </c>
      <c r="AX185" s="1">
        <v>5425.0</v>
      </c>
      <c r="AY185" s="1">
        <v>22.0</v>
      </c>
      <c r="AZ185" s="1" t="s">
        <v>239</v>
      </c>
      <c r="BA185" s="1" t="s">
        <v>121</v>
      </c>
    </row>
    <row r="186">
      <c r="A186" s="1" t="s">
        <v>227</v>
      </c>
      <c r="B186" s="1" t="s">
        <v>53</v>
      </c>
      <c r="C186" s="1">
        <v>2007.0</v>
      </c>
      <c r="D186" s="1" t="s">
        <v>228</v>
      </c>
      <c r="E186" s="1" t="s">
        <v>229</v>
      </c>
      <c r="F186" s="1" t="s">
        <v>230</v>
      </c>
      <c r="G186" s="1" t="s">
        <v>231</v>
      </c>
      <c r="H186" s="1" t="s">
        <v>232</v>
      </c>
      <c r="I186" s="1">
        <v>83.0</v>
      </c>
      <c r="J186" s="1">
        <v>43862.0</v>
      </c>
      <c r="K186" s="2" t="s">
        <v>233</v>
      </c>
      <c r="L186" s="2" t="s">
        <v>60</v>
      </c>
      <c r="M186" s="1" t="s">
        <v>246</v>
      </c>
      <c r="N186" s="1" t="s">
        <v>62</v>
      </c>
      <c r="O186" s="1" t="s">
        <v>92</v>
      </c>
      <c r="P186" s="1" t="s">
        <v>235</v>
      </c>
      <c r="Q186" s="1">
        <v>20.648487</v>
      </c>
      <c r="R186" s="1">
        <v>-87.637178</v>
      </c>
      <c r="S186" s="1" t="s">
        <v>148</v>
      </c>
      <c r="T186" s="2" t="s">
        <v>95</v>
      </c>
      <c r="U186" s="2" t="s">
        <v>96</v>
      </c>
      <c r="V186" s="3" t="s">
        <v>97</v>
      </c>
      <c r="W186" s="1" t="s">
        <v>242</v>
      </c>
      <c r="X186" s="2" t="s">
        <v>72</v>
      </c>
      <c r="Y186" s="6" t="s">
        <v>76</v>
      </c>
      <c r="Z186" s="3" t="s">
        <v>76</v>
      </c>
      <c r="AB186" s="1">
        <v>7.0</v>
      </c>
      <c r="AI186" s="1" t="s">
        <v>237</v>
      </c>
      <c r="AJ186" s="1">
        <v>-1700.0</v>
      </c>
      <c r="AK186" s="1">
        <v>2000.0</v>
      </c>
      <c r="AL186" s="2" t="s">
        <v>100</v>
      </c>
      <c r="AM186" s="2" t="s">
        <v>72</v>
      </c>
      <c r="AN186" s="1" t="s">
        <v>238</v>
      </c>
      <c r="AO186" s="2" t="s">
        <v>76</v>
      </c>
      <c r="AQ186" s="2" t="s">
        <v>102</v>
      </c>
      <c r="AR186" s="2" t="s">
        <v>76</v>
      </c>
      <c r="AS186" s="1">
        <v>1183.0</v>
      </c>
      <c r="AT186" s="1">
        <v>1183.0</v>
      </c>
      <c r="AU186" s="1">
        <v>505.0</v>
      </c>
      <c r="AV186" s="1">
        <v>44.0</v>
      </c>
      <c r="AW186" s="1">
        <v>136.0</v>
      </c>
      <c r="AX186" s="1">
        <v>5425.0</v>
      </c>
      <c r="AY186" s="1">
        <v>22.0</v>
      </c>
      <c r="AZ186" s="1" t="s">
        <v>239</v>
      </c>
      <c r="BA186" s="1" t="s">
        <v>121</v>
      </c>
    </row>
    <row r="187">
      <c r="A187" s="1" t="s">
        <v>227</v>
      </c>
      <c r="B187" s="1" t="s">
        <v>53</v>
      </c>
      <c r="C187" s="1">
        <v>2007.0</v>
      </c>
      <c r="D187" s="1" t="s">
        <v>228</v>
      </c>
      <c r="E187" s="1" t="s">
        <v>229</v>
      </c>
      <c r="F187" s="1" t="s">
        <v>230</v>
      </c>
      <c r="G187" s="1" t="s">
        <v>231</v>
      </c>
      <c r="H187" s="1" t="s">
        <v>232</v>
      </c>
      <c r="I187" s="1">
        <v>83.0</v>
      </c>
      <c r="J187" s="1">
        <v>43862.0</v>
      </c>
      <c r="K187" s="2" t="s">
        <v>233</v>
      </c>
      <c r="L187" s="2" t="s">
        <v>60</v>
      </c>
      <c r="M187" s="1" t="s">
        <v>247</v>
      </c>
      <c r="N187" s="1" t="s">
        <v>62</v>
      </c>
      <c r="O187" s="1" t="s">
        <v>92</v>
      </c>
      <c r="P187" s="1" t="s">
        <v>235</v>
      </c>
      <c r="Q187" s="1">
        <v>20.648487</v>
      </c>
      <c r="R187" s="1">
        <v>-87.637178</v>
      </c>
      <c r="S187" s="1" t="s">
        <v>148</v>
      </c>
      <c r="T187" s="2" t="s">
        <v>95</v>
      </c>
      <c r="U187" s="2" t="s">
        <v>96</v>
      </c>
      <c r="V187" s="3" t="s">
        <v>97</v>
      </c>
      <c r="W187" s="1" t="s">
        <v>242</v>
      </c>
      <c r="X187" s="2" t="s">
        <v>72</v>
      </c>
      <c r="Y187" s="6" t="s">
        <v>76</v>
      </c>
      <c r="Z187" s="3" t="s">
        <v>76</v>
      </c>
      <c r="AB187" s="1">
        <v>7.0</v>
      </c>
      <c r="AI187" s="1" t="s">
        <v>237</v>
      </c>
      <c r="AJ187" s="1">
        <v>-1700.0</v>
      </c>
      <c r="AK187" s="1">
        <v>2000.0</v>
      </c>
      <c r="AL187" s="2" t="s">
        <v>100</v>
      </c>
      <c r="AM187" s="2" t="s">
        <v>72</v>
      </c>
      <c r="AN187" s="1" t="s">
        <v>238</v>
      </c>
      <c r="AO187" s="2" t="s">
        <v>76</v>
      </c>
      <c r="AQ187" s="2" t="s">
        <v>102</v>
      </c>
      <c r="AR187" s="2" t="s">
        <v>76</v>
      </c>
      <c r="AS187" s="1">
        <v>1183.0</v>
      </c>
      <c r="AT187" s="1">
        <v>1183.0</v>
      </c>
      <c r="AU187" s="1">
        <v>505.0</v>
      </c>
      <c r="AV187" s="1">
        <v>44.0</v>
      </c>
      <c r="AW187" s="1">
        <v>136.0</v>
      </c>
      <c r="AX187" s="1">
        <v>5425.0</v>
      </c>
      <c r="AY187" s="1">
        <v>22.0</v>
      </c>
      <c r="AZ187" s="1" t="s">
        <v>239</v>
      </c>
      <c r="BA187" s="1" t="s">
        <v>121</v>
      </c>
    </row>
    <row r="188">
      <c r="A188" s="1" t="s">
        <v>1392</v>
      </c>
      <c r="B188" s="1" t="s">
        <v>53</v>
      </c>
      <c r="C188" s="1">
        <v>2007.0</v>
      </c>
      <c r="D188" s="1" t="s">
        <v>1393</v>
      </c>
      <c r="E188" s="1" t="s">
        <v>1394</v>
      </c>
      <c r="F188" s="1" t="s">
        <v>1395</v>
      </c>
      <c r="G188" s="1" t="s">
        <v>1396</v>
      </c>
      <c r="H188" s="1" t="s">
        <v>1397</v>
      </c>
      <c r="I188" s="1">
        <v>104.0</v>
      </c>
      <c r="J188" s="1">
        <v>16.0</v>
      </c>
      <c r="K188" s="2" t="s">
        <v>1398</v>
      </c>
      <c r="L188" s="2" t="s">
        <v>76</v>
      </c>
      <c r="M188" s="1" t="s">
        <v>1392</v>
      </c>
      <c r="N188" s="1" t="s">
        <v>62</v>
      </c>
      <c r="O188" s="1" t="s">
        <v>92</v>
      </c>
      <c r="P188" s="1" t="s">
        <v>1399</v>
      </c>
      <c r="Q188" s="1">
        <v>18.332135</v>
      </c>
      <c r="R188" s="1">
        <v>-93.30773</v>
      </c>
      <c r="S188" s="1" t="s">
        <v>148</v>
      </c>
      <c r="T188" s="2" t="s">
        <v>293</v>
      </c>
      <c r="U188" s="1" t="s">
        <v>823</v>
      </c>
      <c r="V188" s="3" t="s">
        <v>68</v>
      </c>
      <c r="W188" s="1" t="s">
        <v>1400</v>
      </c>
      <c r="X188" s="1" t="s">
        <v>70</v>
      </c>
      <c r="Y188" s="5" t="s">
        <v>60</v>
      </c>
      <c r="Z188" s="3" t="s">
        <v>345</v>
      </c>
      <c r="AB188" s="1">
        <v>4.0</v>
      </c>
      <c r="AI188" s="2" t="s">
        <v>72</v>
      </c>
      <c r="AJ188" s="1">
        <v>-5173.0</v>
      </c>
      <c r="AK188" s="1">
        <v>1950.0</v>
      </c>
      <c r="AL188" s="2" t="s">
        <v>100</v>
      </c>
      <c r="AM188" s="2" t="s">
        <v>72</v>
      </c>
      <c r="AN188" s="1" t="s">
        <v>74</v>
      </c>
      <c r="AO188" s="2" t="s">
        <v>72</v>
      </c>
      <c r="AQ188" s="2" t="s">
        <v>102</v>
      </c>
      <c r="AR188" s="2" t="s">
        <v>76</v>
      </c>
      <c r="AS188" s="1">
        <v>1823.0</v>
      </c>
      <c r="AT188" s="1">
        <v>1823.0</v>
      </c>
      <c r="AU188" s="1">
        <v>822.0</v>
      </c>
      <c r="AV188" s="1">
        <v>42.0</v>
      </c>
      <c r="AW188" s="1">
        <v>144.0</v>
      </c>
      <c r="AX188" s="1">
        <v>5987.0</v>
      </c>
      <c r="AY188" s="1">
        <v>5.0</v>
      </c>
      <c r="AZ188" s="1" t="s">
        <v>1401</v>
      </c>
      <c r="BA188" s="1" t="s">
        <v>121</v>
      </c>
    </row>
    <row r="189">
      <c r="A189" s="1" t="s">
        <v>1574</v>
      </c>
      <c r="B189" s="1" t="s">
        <v>53</v>
      </c>
      <c r="C189" s="1">
        <v>2007.0</v>
      </c>
      <c r="D189" s="1" t="s">
        <v>1575</v>
      </c>
      <c r="E189" s="1" t="s">
        <v>1576</v>
      </c>
      <c r="F189" s="1" t="s">
        <v>303</v>
      </c>
      <c r="G189" s="1" t="s">
        <v>1577</v>
      </c>
      <c r="H189" s="1" t="s">
        <v>1578</v>
      </c>
      <c r="I189" s="1">
        <v>68.0</v>
      </c>
      <c r="K189" s="2" t="s">
        <v>1579</v>
      </c>
      <c r="L189" s="2" t="s">
        <v>76</v>
      </c>
      <c r="M189" s="1" t="s">
        <v>1574</v>
      </c>
      <c r="N189" s="1" t="s">
        <v>62</v>
      </c>
      <c r="O189" s="1" t="s">
        <v>187</v>
      </c>
      <c r="P189" s="1" t="s">
        <v>1580</v>
      </c>
      <c r="Q189" s="1">
        <v>16.89</v>
      </c>
      <c r="R189" s="1">
        <v>-89.118889</v>
      </c>
      <c r="S189" s="1" t="s">
        <v>1581</v>
      </c>
      <c r="T189" s="2" t="s">
        <v>135</v>
      </c>
      <c r="U189" s="3" t="s">
        <v>1582</v>
      </c>
      <c r="V189" s="3" t="s">
        <v>171</v>
      </c>
      <c r="W189" s="1" t="s">
        <v>1583</v>
      </c>
      <c r="X189" s="2" t="s">
        <v>728</v>
      </c>
      <c r="Y189" s="6" t="s">
        <v>76</v>
      </c>
      <c r="Z189" s="3" t="s">
        <v>411</v>
      </c>
      <c r="AB189" s="1">
        <v>9.0</v>
      </c>
      <c r="AI189" s="1" t="s">
        <v>1584</v>
      </c>
      <c r="AJ189" s="1">
        <v>-650.0</v>
      </c>
      <c r="AK189" s="1">
        <v>1950.0</v>
      </c>
      <c r="AL189" s="2" t="s">
        <v>73</v>
      </c>
      <c r="AM189" s="2" t="s">
        <v>60</v>
      </c>
      <c r="AN189" s="2" t="s">
        <v>72</v>
      </c>
      <c r="AO189" s="2" t="s">
        <v>72</v>
      </c>
      <c r="AQ189" s="2" t="s">
        <v>102</v>
      </c>
      <c r="AR189" s="2" t="s">
        <v>76</v>
      </c>
      <c r="AS189" s="1">
        <v>2136.0</v>
      </c>
      <c r="AT189" s="1">
        <v>2136.0</v>
      </c>
      <c r="AU189" s="1">
        <v>878.0</v>
      </c>
      <c r="AV189" s="1">
        <v>51.0</v>
      </c>
      <c r="AW189" s="1">
        <v>183.0</v>
      </c>
      <c r="AX189" s="1">
        <v>5491.0</v>
      </c>
      <c r="AY189" s="1">
        <v>481.0</v>
      </c>
      <c r="AZ189" s="1" t="s">
        <v>133</v>
      </c>
      <c r="BA189" s="1" t="s">
        <v>121</v>
      </c>
    </row>
    <row r="190">
      <c r="A190" s="1" t="s">
        <v>580</v>
      </c>
      <c r="B190" s="1" t="s">
        <v>53</v>
      </c>
      <c r="C190" s="1">
        <v>2007.0</v>
      </c>
      <c r="D190" s="1" t="s">
        <v>581</v>
      </c>
      <c r="E190" s="1" t="s">
        <v>582</v>
      </c>
      <c r="F190" s="1" t="s">
        <v>583</v>
      </c>
      <c r="G190" s="1" t="s">
        <v>584</v>
      </c>
      <c r="H190" s="1" t="s">
        <v>585</v>
      </c>
      <c r="I190" s="1">
        <v>17.0</v>
      </c>
      <c r="J190" s="1">
        <v>6.0</v>
      </c>
      <c r="K190" s="2" t="s">
        <v>586</v>
      </c>
      <c r="L190" s="2" t="s">
        <v>60</v>
      </c>
      <c r="M190" s="1" t="s">
        <v>587</v>
      </c>
      <c r="N190" s="1" t="s">
        <v>62</v>
      </c>
      <c r="O190" s="1" t="s">
        <v>167</v>
      </c>
      <c r="P190" s="1" t="s">
        <v>588</v>
      </c>
      <c r="Q190" s="1">
        <v>17.533333</v>
      </c>
      <c r="R190" s="1">
        <v>-90.183333</v>
      </c>
      <c r="S190" s="1" t="s">
        <v>148</v>
      </c>
      <c r="T190" s="2" t="s">
        <v>66</v>
      </c>
      <c r="U190" s="3" t="s">
        <v>67</v>
      </c>
      <c r="V190" s="3" t="s">
        <v>171</v>
      </c>
      <c r="W190" s="1" t="s">
        <v>589</v>
      </c>
      <c r="X190" s="1" t="s">
        <v>70</v>
      </c>
      <c r="Y190" s="5" t="s">
        <v>60</v>
      </c>
      <c r="Z190" s="3" t="s">
        <v>345</v>
      </c>
      <c r="AB190" s="1">
        <v>6.0</v>
      </c>
      <c r="AI190" s="1" t="s">
        <v>590</v>
      </c>
      <c r="AJ190" s="1">
        <v>-2700.0</v>
      </c>
      <c r="AK190" s="1">
        <v>2001.0</v>
      </c>
      <c r="AL190" s="2" t="s">
        <v>73</v>
      </c>
      <c r="AM190" s="2" t="s">
        <v>76</v>
      </c>
      <c r="AN190" s="1" t="s">
        <v>400</v>
      </c>
      <c r="AO190" s="2" t="s">
        <v>72</v>
      </c>
      <c r="AQ190" s="2" t="s">
        <v>102</v>
      </c>
      <c r="AR190" s="2" t="s">
        <v>76</v>
      </c>
      <c r="AS190" s="1">
        <v>1598.0</v>
      </c>
      <c r="AT190" s="1">
        <v>1598.0</v>
      </c>
      <c r="AU190" s="1">
        <v>686.0</v>
      </c>
      <c r="AV190" s="1">
        <v>33.0</v>
      </c>
      <c r="AW190" s="1">
        <v>119.0</v>
      </c>
      <c r="AX190" s="1">
        <v>6059.0</v>
      </c>
      <c r="AY190" s="1">
        <v>238.0</v>
      </c>
      <c r="AZ190" s="1" t="s">
        <v>133</v>
      </c>
      <c r="BA190" s="1" t="s">
        <v>121</v>
      </c>
    </row>
    <row r="191">
      <c r="A191" s="1" t="s">
        <v>580</v>
      </c>
      <c r="B191" s="1" t="s">
        <v>53</v>
      </c>
      <c r="C191" s="1">
        <v>2007.0</v>
      </c>
      <c r="D191" s="1" t="s">
        <v>581</v>
      </c>
      <c r="E191" s="1" t="s">
        <v>582</v>
      </c>
      <c r="F191" s="1" t="s">
        <v>583</v>
      </c>
      <c r="G191" s="1" t="s">
        <v>584</v>
      </c>
      <c r="H191" s="1" t="s">
        <v>585</v>
      </c>
      <c r="I191" s="1">
        <v>17.0</v>
      </c>
      <c r="J191" s="1">
        <v>6.0</v>
      </c>
      <c r="K191" s="2" t="s">
        <v>586</v>
      </c>
      <c r="L191" s="2" t="s">
        <v>60</v>
      </c>
      <c r="M191" s="1" t="s">
        <v>603</v>
      </c>
      <c r="N191" s="1" t="s">
        <v>62</v>
      </c>
      <c r="O191" s="1" t="s">
        <v>167</v>
      </c>
      <c r="P191" s="1" t="s">
        <v>588</v>
      </c>
      <c r="Q191" s="1">
        <v>17.533333</v>
      </c>
      <c r="R191" s="1">
        <v>-90.183333</v>
      </c>
      <c r="S191" s="1" t="s">
        <v>148</v>
      </c>
      <c r="T191" s="2" t="s">
        <v>189</v>
      </c>
      <c r="U191" s="7" t="s">
        <v>173</v>
      </c>
      <c r="V191" s="3" t="s">
        <v>116</v>
      </c>
      <c r="W191" s="1" t="s">
        <v>286</v>
      </c>
      <c r="X191" s="1" t="s">
        <v>70</v>
      </c>
      <c r="Y191" s="6" t="s">
        <v>76</v>
      </c>
      <c r="Z191" s="3" t="s">
        <v>173</v>
      </c>
      <c r="AB191" s="1">
        <v>6.0</v>
      </c>
      <c r="AI191" s="1" t="s">
        <v>590</v>
      </c>
      <c r="AJ191" s="1">
        <v>-2700.0</v>
      </c>
      <c r="AK191" s="1">
        <v>2001.0</v>
      </c>
      <c r="AL191" s="2" t="s">
        <v>73</v>
      </c>
      <c r="AM191" s="2" t="s">
        <v>76</v>
      </c>
      <c r="AN191" s="1" t="s">
        <v>400</v>
      </c>
      <c r="AO191" s="2" t="s">
        <v>72</v>
      </c>
      <c r="AQ191" s="2" t="s">
        <v>102</v>
      </c>
      <c r="AR191" s="2" t="s">
        <v>76</v>
      </c>
      <c r="AS191" s="1">
        <v>1598.0</v>
      </c>
      <c r="AT191" s="1">
        <v>1598.0</v>
      </c>
      <c r="AU191" s="1">
        <v>686.0</v>
      </c>
      <c r="AV191" s="1">
        <v>33.0</v>
      </c>
      <c r="AW191" s="1">
        <v>119.0</v>
      </c>
      <c r="AX191" s="1">
        <v>6059.0</v>
      </c>
      <c r="AY191" s="1">
        <v>238.0</v>
      </c>
      <c r="AZ191" s="1" t="s">
        <v>133</v>
      </c>
      <c r="BA191" s="1" t="s">
        <v>121</v>
      </c>
    </row>
    <row r="192">
      <c r="A192" s="1" t="s">
        <v>580</v>
      </c>
      <c r="B192" s="1" t="s">
        <v>53</v>
      </c>
      <c r="C192" s="1">
        <v>2007.0</v>
      </c>
      <c r="D192" s="1" t="s">
        <v>581</v>
      </c>
      <c r="E192" s="1" t="s">
        <v>582</v>
      </c>
      <c r="F192" s="1" t="s">
        <v>583</v>
      </c>
      <c r="G192" s="1" t="s">
        <v>584</v>
      </c>
      <c r="H192" s="1" t="s">
        <v>585</v>
      </c>
      <c r="I192" s="1">
        <v>17.0</v>
      </c>
      <c r="J192" s="1">
        <v>6.0</v>
      </c>
      <c r="K192" s="2" t="s">
        <v>586</v>
      </c>
      <c r="L192" s="2" t="s">
        <v>60</v>
      </c>
      <c r="M192" s="1" t="s">
        <v>604</v>
      </c>
      <c r="N192" s="1" t="s">
        <v>62</v>
      </c>
      <c r="O192" s="1" t="s">
        <v>167</v>
      </c>
      <c r="P192" s="1" t="s">
        <v>588</v>
      </c>
      <c r="Q192" s="1">
        <v>17.533333</v>
      </c>
      <c r="R192" s="1">
        <v>-90.183333</v>
      </c>
      <c r="S192" s="1" t="s">
        <v>148</v>
      </c>
      <c r="T192" s="2" t="s">
        <v>194</v>
      </c>
      <c r="U192" s="7" t="s">
        <v>173</v>
      </c>
      <c r="V192" s="3" t="s">
        <v>116</v>
      </c>
      <c r="W192" s="1" t="s">
        <v>284</v>
      </c>
      <c r="X192" s="1" t="s">
        <v>70</v>
      </c>
      <c r="Y192" s="6" t="s">
        <v>76</v>
      </c>
      <c r="Z192" s="3" t="s">
        <v>173</v>
      </c>
      <c r="AB192" s="1">
        <v>6.0</v>
      </c>
      <c r="AI192" s="1" t="s">
        <v>590</v>
      </c>
      <c r="AJ192" s="1">
        <v>-2700.0</v>
      </c>
      <c r="AK192" s="1">
        <v>2001.0</v>
      </c>
      <c r="AL192" s="2" t="s">
        <v>73</v>
      </c>
      <c r="AM192" s="2" t="s">
        <v>76</v>
      </c>
      <c r="AN192" s="1" t="s">
        <v>400</v>
      </c>
      <c r="AO192" s="2" t="s">
        <v>72</v>
      </c>
      <c r="AQ192" s="2" t="s">
        <v>102</v>
      </c>
      <c r="AR192" s="2" t="s">
        <v>76</v>
      </c>
      <c r="AS192" s="1">
        <v>1598.0</v>
      </c>
      <c r="AT192" s="1">
        <v>1598.0</v>
      </c>
      <c r="AU192" s="1">
        <v>686.0</v>
      </c>
      <c r="AV192" s="1">
        <v>33.0</v>
      </c>
      <c r="AW192" s="1">
        <v>119.0</v>
      </c>
      <c r="AX192" s="1">
        <v>6059.0</v>
      </c>
      <c r="AY192" s="1">
        <v>238.0</v>
      </c>
      <c r="AZ192" s="1" t="s">
        <v>133</v>
      </c>
      <c r="BA192" s="1" t="s">
        <v>121</v>
      </c>
    </row>
    <row r="193">
      <c r="A193" s="1" t="s">
        <v>580</v>
      </c>
      <c r="B193" s="1" t="s">
        <v>53</v>
      </c>
      <c r="C193" s="1">
        <v>2007.0</v>
      </c>
      <c r="D193" s="1" t="s">
        <v>581</v>
      </c>
      <c r="E193" s="1" t="s">
        <v>582</v>
      </c>
      <c r="F193" s="1" t="s">
        <v>583</v>
      </c>
      <c r="G193" s="1" t="s">
        <v>584</v>
      </c>
      <c r="H193" s="1" t="s">
        <v>585</v>
      </c>
      <c r="I193" s="1">
        <v>17.0</v>
      </c>
      <c r="J193" s="1">
        <v>6.0</v>
      </c>
      <c r="K193" s="2" t="s">
        <v>586</v>
      </c>
      <c r="L193" s="2" t="s">
        <v>60</v>
      </c>
      <c r="M193" s="1" t="s">
        <v>605</v>
      </c>
      <c r="N193" s="1" t="s">
        <v>62</v>
      </c>
      <c r="O193" s="1" t="s">
        <v>167</v>
      </c>
      <c r="P193" s="1" t="s">
        <v>588</v>
      </c>
      <c r="Q193" s="1">
        <v>17.533333</v>
      </c>
      <c r="R193" s="1">
        <v>-90.183333</v>
      </c>
      <c r="S193" s="1" t="s">
        <v>148</v>
      </c>
      <c r="T193" s="2" t="s">
        <v>382</v>
      </c>
      <c r="U193" s="7" t="s">
        <v>173</v>
      </c>
      <c r="V193" s="3" t="s">
        <v>116</v>
      </c>
      <c r="W193" s="1" t="s">
        <v>606</v>
      </c>
      <c r="X193" s="1" t="s">
        <v>544</v>
      </c>
      <c r="Y193" s="6" t="s">
        <v>76</v>
      </c>
      <c r="Z193" s="3" t="s">
        <v>173</v>
      </c>
      <c r="AB193" s="1">
        <v>6.0</v>
      </c>
      <c r="AI193" s="1" t="s">
        <v>590</v>
      </c>
      <c r="AJ193" s="1">
        <v>-2700.0</v>
      </c>
      <c r="AK193" s="1">
        <v>2001.0</v>
      </c>
      <c r="AL193" s="2" t="s">
        <v>73</v>
      </c>
      <c r="AM193" s="2" t="s">
        <v>76</v>
      </c>
      <c r="AN193" s="1" t="s">
        <v>400</v>
      </c>
      <c r="AO193" s="2" t="s">
        <v>72</v>
      </c>
      <c r="AQ193" s="2" t="s">
        <v>102</v>
      </c>
      <c r="AR193" s="2" t="s">
        <v>76</v>
      </c>
      <c r="AS193" s="1">
        <v>1598.0</v>
      </c>
      <c r="AT193" s="1">
        <v>1598.0</v>
      </c>
      <c r="AU193" s="1">
        <v>686.0</v>
      </c>
      <c r="AV193" s="1">
        <v>33.0</v>
      </c>
      <c r="AW193" s="1">
        <v>119.0</v>
      </c>
      <c r="AX193" s="1">
        <v>6059.0</v>
      </c>
      <c r="AY193" s="1">
        <v>238.0</v>
      </c>
      <c r="AZ193" s="1" t="s">
        <v>133</v>
      </c>
      <c r="BA193" s="1" t="s">
        <v>121</v>
      </c>
    </row>
    <row r="194">
      <c r="A194" s="1" t="s">
        <v>993</v>
      </c>
      <c r="B194" s="1" t="s">
        <v>53</v>
      </c>
      <c r="C194" s="1">
        <v>2007.0</v>
      </c>
      <c r="D194" s="1" t="s">
        <v>994</v>
      </c>
      <c r="E194" s="1" t="s">
        <v>995</v>
      </c>
      <c r="F194" s="1" t="s">
        <v>631</v>
      </c>
      <c r="G194" s="1" t="s">
        <v>996</v>
      </c>
      <c r="H194" s="1" t="s">
        <v>997</v>
      </c>
      <c r="I194" s="1">
        <v>18.0</v>
      </c>
      <c r="J194" s="1">
        <v>2.0</v>
      </c>
      <c r="K194" s="2" t="s">
        <v>998</v>
      </c>
      <c r="L194" s="2" t="s">
        <v>60</v>
      </c>
      <c r="M194" s="1" t="s">
        <v>1217</v>
      </c>
      <c r="N194" s="1" t="s">
        <v>62</v>
      </c>
      <c r="O194" s="1" t="s">
        <v>167</v>
      </c>
      <c r="P194" s="1" t="s">
        <v>1000</v>
      </c>
      <c r="Q194" s="1">
        <v>17.669071</v>
      </c>
      <c r="R194" s="1">
        <v>-89.792832</v>
      </c>
      <c r="S194" s="1" t="s">
        <v>148</v>
      </c>
      <c r="T194" s="2" t="s">
        <v>66</v>
      </c>
      <c r="U194" s="3" t="s">
        <v>67</v>
      </c>
      <c r="V194" s="3" t="s">
        <v>171</v>
      </c>
      <c r="W194" s="1" t="s">
        <v>589</v>
      </c>
      <c r="X194" s="1" t="s">
        <v>70</v>
      </c>
      <c r="Y194" s="5" t="s">
        <v>60</v>
      </c>
      <c r="Z194" s="3" t="s">
        <v>345</v>
      </c>
      <c r="AB194" s="1">
        <v>2.0</v>
      </c>
      <c r="AI194" s="2" t="s">
        <v>72</v>
      </c>
      <c r="AJ194" s="1">
        <v>1690.0</v>
      </c>
      <c r="AK194" s="1">
        <v>1988.0</v>
      </c>
      <c r="AL194" s="2" t="s">
        <v>100</v>
      </c>
      <c r="AM194" s="2" t="s">
        <v>76</v>
      </c>
      <c r="AN194" s="1" t="s">
        <v>238</v>
      </c>
      <c r="AO194" s="2" t="s">
        <v>76</v>
      </c>
      <c r="AQ194" s="2" t="s">
        <v>75</v>
      </c>
      <c r="AR194" s="2" t="s">
        <v>76</v>
      </c>
      <c r="AS194" s="1">
        <v>1436.0</v>
      </c>
      <c r="AT194" s="1">
        <v>1436.0</v>
      </c>
      <c r="AU194" s="1">
        <v>608.0</v>
      </c>
      <c r="AV194" s="1">
        <v>34.0</v>
      </c>
      <c r="AW194" s="1">
        <v>112.0</v>
      </c>
      <c r="AX194" s="1">
        <v>5881.0</v>
      </c>
      <c r="AY194" s="1">
        <v>298.0</v>
      </c>
      <c r="AZ194" s="1" t="s">
        <v>133</v>
      </c>
      <c r="BA194" s="1" t="s">
        <v>121</v>
      </c>
    </row>
    <row r="195">
      <c r="A195" s="1" t="s">
        <v>993</v>
      </c>
      <c r="B195" s="1" t="s">
        <v>53</v>
      </c>
      <c r="C195" s="1">
        <v>2007.0</v>
      </c>
      <c r="D195" s="1" t="s">
        <v>994</v>
      </c>
      <c r="E195" s="1" t="s">
        <v>995</v>
      </c>
      <c r="F195" s="1" t="s">
        <v>631</v>
      </c>
      <c r="G195" s="1" t="s">
        <v>996</v>
      </c>
      <c r="H195" s="1" t="s">
        <v>997</v>
      </c>
      <c r="I195" s="1">
        <v>18.0</v>
      </c>
      <c r="J195" s="1">
        <v>2.0</v>
      </c>
      <c r="K195" s="2" t="s">
        <v>998</v>
      </c>
      <c r="L195" s="2" t="s">
        <v>60</v>
      </c>
      <c r="M195" s="1" t="s">
        <v>1218</v>
      </c>
      <c r="N195" s="1" t="s">
        <v>62</v>
      </c>
      <c r="O195" s="1" t="s">
        <v>167</v>
      </c>
      <c r="P195" s="1" t="s">
        <v>1000</v>
      </c>
      <c r="Q195" s="1">
        <v>17.669071</v>
      </c>
      <c r="R195" s="1">
        <v>-89.792832</v>
      </c>
      <c r="S195" s="1" t="s">
        <v>148</v>
      </c>
      <c r="T195" s="2" t="s">
        <v>80</v>
      </c>
      <c r="U195" s="3" t="s">
        <v>81</v>
      </c>
      <c r="V195" s="3" t="s">
        <v>68</v>
      </c>
      <c r="W195" s="1" t="s">
        <v>1219</v>
      </c>
      <c r="X195" s="2" t="s">
        <v>158</v>
      </c>
      <c r="Y195" s="6" t="s">
        <v>76</v>
      </c>
      <c r="Z195" s="3" t="s">
        <v>84</v>
      </c>
      <c r="AB195" s="1">
        <v>2.0</v>
      </c>
      <c r="AI195" s="2" t="s">
        <v>72</v>
      </c>
      <c r="AJ195" s="1">
        <v>690.0</v>
      </c>
      <c r="AK195" s="1">
        <v>1988.0</v>
      </c>
      <c r="AL195" s="2" t="s">
        <v>100</v>
      </c>
      <c r="AM195" s="2" t="s">
        <v>76</v>
      </c>
      <c r="AN195" s="1" t="s">
        <v>238</v>
      </c>
      <c r="AO195" s="2" t="s">
        <v>76</v>
      </c>
      <c r="AQ195" s="2" t="s">
        <v>75</v>
      </c>
      <c r="AR195" s="2" t="s">
        <v>76</v>
      </c>
      <c r="AS195" s="1">
        <v>1436.0</v>
      </c>
      <c r="AT195" s="1">
        <v>1436.0</v>
      </c>
      <c r="AU195" s="1">
        <v>608.0</v>
      </c>
      <c r="AV195" s="1">
        <v>34.0</v>
      </c>
      <c r="AW195" s="1">
        <v>112.0</v>
      </c>
      <c r="AX195" s="1">
        <v>5881.0</v>
      </c>
      <c r="AY195" s="1">
        <v>298.0</v>
      </c>
      <c r="AZ195" s="1" t="s">
        <v>133</v>
      </c>
      <c r="BA195" s="1" t="s">
        <v>121</v>
      </c>
    </row>
    <row r="196">
      <c r="A196" s="1" t="s">
        <v>993</v>
      </c>
      <c r="B196" s="1" t="s">
        <v>53</v>
      </c>
      <c r="C196" s="1">
        <v>2007.0</v>
      </c>
      <c r="D196" s="1" t="s">
        <v>994</v>
      </c>
      <c r="E196" s="1" t="s">
        <v>995</v>
      </c>
      <c r="F196" s="1" t="s">
        <v>631</v>
      </c>
      <c r="G196" s="1" t="s">
        <v>996</v>
      </c>
      <c r="H196" s="1" t="s">
        <v>997</v>
      </c>
      <c r="I196" s="1">
        <v>18.0</v>
      </c>
      <c r="J196" s="1">
        <v>2.0</v>
      </c>
      <c r="K196" s="2" t="s">
        <v>998</v>
      </c>
      <c r="L196" s="2" t="s">
        <v>60</v>
      </c>
      <c r="M196" s="1" t="s">
        <v>1220</v>
      </c>
      <c r="N196" s="1" t="s">
        <v>62</v>
      </c>
      <c r="O196" s="1" t="s">
        <v>167</v>
      </c>
      <c r="P196" s="1" t="s">
        <v>1000</v>
      </c>
      <c r="Q196" s="1">
        <v>17.669071</v>
      </c>
      <c r="R196" s="1">
        <v>-89.792832</v>
      </c>
      <c r="S196" s="1" t="s">
        <v>148</v>
      </c>
      <c r="T196" s="2" t="s">
        <v>194</v>
      </c>
      <c r="U196" s="7" t="s">
        <v>454</v>
      </c>
      <c r="V196" s="3" t="s">
        <v>116</v>
      </c>
      <c r="W196" s="1" t="s">
        <v>286</v>
      </c>
      <c r="X196" s="1" t="s">
        <v>70</v>
      </c>
      <c r="Y196" s="6" t="s">
        <v>76</v>
      </c>
      <c r="Z196" s="1" t="s">
        <v>173</v>
      </c>
      <c r="AB196" s="1">
        <v>2.0</v>
      </c>
      <c r="AI196" s="2" t="s">
        <v>72</v>
      </c>
      <c r="AJ196" s="1">
        <v>1690.0</v>
      </c>
      <c r="AK196" s="1">
        <v>1988.0</v>
      </c>
      <c r="AL196" s="2" t="s">
        <v>100</v>
      </c>
      <c r="AM196" s="2" t="s">
        <v>76</v>
      </c>
      <c r="AN196" s="1" t="s">
        <v>238</v>
      </c>
      <c r="AO196" s="2" t="s">
        <v>76</v>
      </c>
      <c r="AQ196" s="2" t="s">
        <v>75</v>
      </c>
      <c r="AR196" s="2" t="s">
        <v>76</v>
      </c>
      <c r="AS196" s="1">
        <v>1436.0</v>
      </c>
      <c r="AT196" s="1">
        <v>1436.0</v>
      </c>
      <c r="AU196" s="1">
        <v>608.0</v>
      </c>
      <c r="AV196" s="1">
        <v>34.0</v>
      </c>
      <c r="AW196" s="1">
        <v>112.0</v>
      </c>
      <c r="AX196" s="1">
        <v>5881.0</v>
      </c>
      <c r="AY196" s="1">
        <v>298.0</v>
      </c>
      <c r="AZ196" s="1" t="s">
        <v>133</v>
      </c>
      <c r="BA196" s="1" t="s">
        <v>121</v>
      </c>
    </row>
    <row r="197">
      <c r="A197" s="1" t="s">
        <v>2012</v>
      </c>
      <c r="B197" s="1" t="s">
        <v>53</v>
      </c>
      <c r="C197" s="1">
        <v>2007.0</v>
      </c>
      <c r="D197" s="1" t="s">
        <v>2013</v>
      </c>
      <c r="E197" s="1" t="s">
        <v>2014</v>
      </c>
      <c r="L197" s="2" t="s">
        <v>60</v>
      </c>
      <c r="M197" s="1" t="s">
        <v>2015</v>
      </c>
      <c r="N197" s="1" t="s">
        <v>62</v>
      </c>
      <c r="O197" s="1" t="s">
        <v>187</v>
      </c>
      <c r="P197" s="1" t="s">
        <v>1317</v>
      </c>
      <c r="Q197" s="1">
        <v>16.883</v>
      </c>
      <c r="R197" s="1">
        <v>-89.108</v>
      </c>
      <c r="S197" s="1" t="s">
        <v>94</v>
      </c>
      <c r="T197" s="2" t="s">
        <v>95</v>
      </c>
      <c r="U197" s="2" t="s">
        <v>96</v>
      </c>
      <c r="V197" s="3" t="s">
        <v>97</v>
      </c>
      <c r="W197" s="1" t="s">
        <v>2016</v>
      </c>
      <c r="X197" s="2" t="s">
        <v>728</v>
      </c>
      <c r="Y197" s="6" t="s">
        <v>76</v>
      </c>
      <c r="Z197" s="3" t="s">
        <v>76</v>
      </c>
      <c r="AB197" s="1">
        <v>8.0</v>
      </c>
      <c r="AD197" s="1">
        <v>3.0</v>
      </c>
      <c r="AF197" s="1">
        <v>13.0</v>
      </c>
      <c r="AI197" s="2" t="s">
        <v>72</v>
      </c>
      <c r="AJ197" s="1">
        <v>-1300.0</v>
      </c>
      <c r="AK197" s="1">
        <v>2000.0</v>
      </c>
      <c r="AL197" s="2" t="s">
        <v>153</v>
      </c>
      <c r="AM197" s="2" t="s">
        <v>60</v>
      </c>
      <c r="AN197" s="2" t="s">
        <v>72</v>
      </c>
      <c r="AO197" s="2" t="s">
        <v>101</v>
      </c>
      <c r="AQ197" s="2" t="s">
        <v>576</v>
      </c>
      <c r="AR197" s="2" t="s">
        <v>76</v>
      </c>
      <c r="AS197" s="1">
        <v>2142.0</v>
      </c>
      <c r="AT197" s="1">
        <v>2142.0</v>
      </c>
      <c r="AU197" s="1">
        <v>878.0</v>
      </c>
      <c r="AV197" s="1">
        <v>52.0</v>
      </c>
      <c r="AW197" s="1">
        <v>184.0</v>
      </c>
      <c r="AX197" s="1">
        <v>5497.0</v>
      </c>
      <c r="AY197" s="1">
        <v>500.0</v>
      </c>
      <c r="AZ197" s="1" t="s">
        <v>133</v>
      </c>
      <c r="BA197" s="1" t="s">
        <v>121</v>
      </c>
    </row>
    <row r="198">
      <c r="A198" s="1" t="s">
        <v>2012</v>
      </c>
      <c r="B198" s="1" t="s">
        <v>53</v>
      </c>
      <c r="C198" s="1">
        <v>2007.0</v>
      </c>
      <c r="D198" s="1" t="s">
        <v>2013</v>
      </c>
      <c r="E198" s="1" t="s">
        <v>2014</v>
      </c>
      <c r="L198" s="2" t="s">
        <v>60</v>
      </c>
      <c r="M198" s="1" t="s">
        <v>2017</v>
      </c>
      <c r="N198" s="1" t="s">
        <v>62</v>
      </c>
      <c r="O198" s="1" t="s">
        <v>187</v>
      </c>
      <c r="P198" s="1" t="s">
        <v>1317</v>
      </c>
      <c r="Q198" s="1">
        <v>16.883</v>
      </c>
      <c r="R198" s="1">
        <v>-89.108</v>
      </c>
      <c r="S198" s="1" t="s">
        <v>94</v>
      </c>
      <c r="T198" s="2" t="s">
        <v>135</v>
      </c>
      <c r="U198" s="2" t="s">
        <v>96</v>
      </c>
      <c r="V198" s="3" t="s">
        <v>97</v>
      </c>
      <c r="W198" s="1" t="s">
        <v>2016</v>
      </c>
      <c r="X198" s="2" t="s">
        <v>728</v>
      </c>
      <c r="Y198" s="6" t="s">
        <v>76</v>
      </c>
      <c r="Z198" s="3" t="s">
        <v>76</v>
      </c>
      <c r="AB198" s="1">
        <v>8.0</v>
      </c>
      <c r="AD198" s="1">
        <v>3.0</v>
      </c>
      <c r="AF198" s="1">
        <v>13.0</v>
      </c>
      <c r="AI198" s="2" t="s">
        <v>72</v>
      </c>
      <c r="AJ198" s="1">
        <v>-1300.0</v>
      </c>
      <c r="AK198" s="1">
        <v>2000.0</v>
      </c>
      <c r="AL198" s="2" t="s">
        <v>153</v>
      </c>
      <c r="AM198" s="2" t="s">
        <v>60</v>
      </c>
      <c r="AN198" s="2" t="s">
        <v>72</v>
      </c>
      <c r="AO198" s="2" t="s">
        <v>101</v>
      </c>
      <c r="AQ198" s="2" t="s">
        <v>576</v>
      </c>
      <c r="AR198" s="2" t="s">
        <v>76</v>
      </c>
      <c r="AS198" s="1">
        <v>2142.0</v>
      </c>
      <c r="AT198" s="1">
        <v>2142.0</v>
      </c>
      <c r="AU198" s="1">
        <v>878.0</v>
      </c>
      <c r="AV198" s="1">
        <v>52.0</v>
      </c>
      <c r="AW198" s="1">
        <v>184.0</v>
      </c>
      <c r="AX198" s="1">
        <v>5497.0</v>
      </c>
      <c r="AY198" s="1">
        <v>500.0</v>
      </c>
      <c r="AZ198" s="1" t="s">
        <v>133</v>
      </c>
      <c r="BA198" s="1" t="s">
        <v>121</v>
      </c>
    </row>
    <row r="199">
      <c r="A199" s="1" t="s">
        <v>772</v>
      </c>
      <c r="B199" s="1" t="s">
        <v>53</v>
      </c>
      <c r="C199" s="1">
        <v>2008.0</v>
      </c>
      <c r="D199" s="1" t="s">
        <v>773</v>
      </c>
      <c r="E199" s="1" t="s">
        <v>774</v>
      </c>
      <c r="F199" s="1" t="s">
        <v>775</v>
      </c>
      <c r="G199" s="1" t="s">
        <v>776</v>
      </c>
      <c r="H199" s="1" t="s">
        <v>777</v>
      </c>
      <c r="I199" s="1">
        <v>113.0</v>
      </c>
      <c r="J199" s="1">
        <v>3.0</v>
      </c>
      <c r="L199" s="2" t="s">
        <v>76</v>
      </c>
      <c r="M199" s="1" t="s">
        <v>772</v>
      </c>
      <c r="N199" s="1" t="s">
        <v>62</v>
      </c>
      <c r="O199" s="1" t="s">
        <v>112</v>
      </c>
      <c r="P199" s="1" t="s">
        <v>778</v>
      </c>
      <c r="Q199" s="1">
        <v>10.2</v>
      </c>
      <c r="R199" s="1">
        <v>-85.35</v>
      </c>
      <c r="S199" s="1" t="s">
        <v>225</v>
      </c>
      <c r="T199" s="2" t="s">
        <v>225</v>
      </c>
      <c r="U199" s="2" t="s">
        <v>96</v>
      </c>
      <c r="V199" s="3" t="s">
        <v>97</v>
      </c>
      <c r="W199" s="2" t="s">
        <v>72</v>
      </c>
      <c r="X199" s="1" t="s">
        <v>483</v>
      </c>
      <c r="Y199" s="6" t="s">
        <v>76</v>
      </c>
      <c r="Z199" s="3" t="s">
        <v>76</v>
      </c>
      <c r="AG199" s="1">
        <v>1.0</v>
      </c>
      <c r="AI199" s="2" t="s">
        <v>72</v>
      </c>
      <c r="AJ199" s="1">
        <v>1988.0</v>
      </c>
      <c r="AK199" s="1">
        <v>2004.0</v>
      </c>
      <c r="AL199" s="2" t="s">
        <v>153</v>
      </c>
      <c r="AM199" s="2" t="s">
        <v>72</v>
      </c>
      <c r="AN199" s="2" t="s">
        <v>72</v>
      </c>
      <c r="AO199" s="2" t="s">
        <v>101</v>
      </c>
      <c r="AQ199" s="2" t="s">
        <v>102</v>
      </c>
      <c r="AR199" s="2" t="s">
        <v>76</v>
      </c>
      <c r="AS199" s="1">
        <v>1892.0</v>
      </c>
      <c r="AT199" s="1">
        <v>1892.0</v>
      </c>
      <c r="AU199" s="1">
        <v>928.0</v>
      </c>
      <c r="AV199" s="1">
        <v>3.0</v>
      </c>
      <c r="AW199" s="1">
        <v>22.0</v>
      </c>
      <c r="AX199" s="1">
        <v>8663.0</v>
      </c>
      <c r="AY199" s="1">
        <v>328.0</v>
      </c>
      <c r="AZ199" s="1" t="s">
        <v>525</v>
      </c>
      <c r="BA199" s="1" t="s">
        <v>104</v>
      </c>
    </row>
    <row r="200">
      <c r="A200" s="1" t="s">
        <v>1881</v>
      </c>
      <c r="B200" s="1" t="s">
        <v>53</v>
      </c>
      <c r="C200" s="1">
        <v>2008.0</v>
      </c>
      <c r="D200" s="1" t="s">
        <v>1882</v>
      </c>
      <c r="E200" s="1" t="s">
        <v>1883</v>
      </c>
      <c r="F200" s="1" t="s">
        <v>1884</v>
      </c>
      <c r="G200" s="1" t="s">
        <v>1885</v>
      </c>
      <c r="H200" s="1" t="s">
        <v>1886</v>
      </c>
      <c r="I200" s="1">
        <v>17.0</v>
      </c>
      <c r="J200" s="1">
        <v>3.0</v>
      </c>
      <c r="K200" s="2" t="s">
        <v>1887</v>
      </c>
      <c r="L200" s="2" t="s">
        <v>76</v>
      </c>
      <c r="M200" s="1" t="s">
        <v>1881</v>
      </c>
      <c r="N200" s="1" t="s">
        <v>62</v>
      </c>
      <c r="O200" s="1" t="s">
        <v>92</v>
      </c>
      <c r="P200" s="1" t="s">
        <v>1888</v>
      </c>
      <c r="Q200" s="1">
        <v>16.991</v>
      </c>
      <c r="R200" s="1">
        <v>-91.59156</v>
      </c>
      <c r="S200" s="1" t="s">
        <v>148</v>
      </c>
      <c r="T200" s="2" t="s">
        <v>66</v>
      </c>
      <c r="U200" s="1" t="s">
        <v>1287</v>
      </c>
      <c r="V200" s="3" t="s">
        <v>138</v>
      </c>
      <c r="W200" s="1" t="s">
        <v>1889</v>
      </c>
      <c r="X200" s="1" t="s">
        <v>70</v>
      </c>
      <c r="Y200" s="5" t="s">
        <v>76</v>
      </c>
      <c r="Z200" s="3" t="s">
        <v>76</v>
      </c>
      <c r="AB200" s="1">
        <v>6.0</v>
      </c>
      <c r="AI200" s="2" t="s">
        <v>72</v>
      </c>
      <c r="AJ200" s="1">
        <v>-70.0</v>
      </c>
      <c r="AK200" s="1">
        <v>1950.0</v>
      </c>
      <c r="AL200" s="2" t="s">
        <v>73</v>
      </c>
      <c r="AM200" s="2" t="s">
        <v>60</v>
      </c>
      <c r="AN200" s="1" t="s">
        <v>74</v>
      </c>
      <c r="AO200" s="2" t="s">
        <v>72</v>
      </c>
      <c r="AQ200" s="2" t="s">
        <v>75</v>
      </c>
      <c r="AR200" s="2" t="s">
        <v>76</v>
      </c>
      <c r="AS200" s="1">
        <v>2106.0</v>
      </c>
      <c r="AT200" s="1">
        <v>2106.0</v>
      </c>
      <c r="AU200" s="1">
        <v>892.0</v>
      </c>
      <c r="AV200" s="1">
        <v>57.0</v>
      </c>
      <c r="AW200" s="1">
        <v>187.0</v>
      </c>
      <c r="AX200" s="1">
        <v>6177.0</v>
      </c>
      <c r="AY200" s="1">
        <v>835.0</v>
      </c>
      <c r="AZ200" s="1" t="s">
        <v>133</v>
      </c>
      <c r="BA200" s="1" t="s">
        <v>121</v>
      </c>
    </row>
    <row r="201">
      <c r="A201" s="1" t="s">
        <v>1656</v>
      </c>
      <c r="B201" s="1" t="s">
        <v>53</v>
      </c>
      <c r="C201" s="1">
        <v>2008.0</v>
      </c>
      <c r="D201" s="1" t="s">
        <v>1657</v>
      </c>
      <c r="E201" s="1" t="s">
        <v>1658</v>
      </c>
      <c r="F201" s="1" t="s">
        <v>1386</v>
      </c>
      <c r="G201" s="1" t="s">
        <v>1659</v>
      </c>
      <c r="H201" s="1" t="s">
        <v>1660</v>
      </c>
      <c r="I201" s="1">
        <v>27.0</v>
      </c>
      <c r="J201" s="1">
        <v>44176.0</v>
      </c>
      <c r="K201" s="2" t="s">
        <v>1661</v>
      </c>
      <c r="L201" s="2" t="s">
        <v>60</v>
      </c>
      <c r="M201" s="1" t="s">
        <v>1662</v>
      </c>
      <c r="N201" s="1" t="s">
        <v>62</v>
      </c>
      <c r="O201" s="1" t="s">
        <v>167</v>
      </c>
      <c r="P201" s="1" t="s">
        <v>512</v>
      </c>
      <c r="Q201" s="1">
        <v>16.916667</v>
      </c>
      <c r="R201" s="1">
        <v>-89.833333</v>
      </c>
      <c r="S201" s="1" t="s">
        <v>148</v>
      </c>
      <c r="T201" s="2" t="s">
        <v>382</v>
      </c>
      <c r="U201" s="2" t="s">
        <v>1266</v>
      </c>
      <c r="V201" s="3" t="s">
        <v>97</v>
      </c>
      <c r="W201" s="1" t="s">
        <v>1663</v>
      </c>
      <c r="X201" s="2" t="s">
        <v>968</v>
      </c>
      <c r="Y201" s="6" t="s">
        <v>76</v>
      </c>
      <c r="Z201" s="3" t="s">
        <v>76</v>
      </c>
      <c r="AB201" s="1">
        <v>23.0</v>
      </c>
      <c r="AH201" s="1">
        <v>4.0</v>
      </c>
      <c r="AI201" s="2" t="s">
        <v>72</v>
      </c>
      <c r="AJ201" s="1">
        <v>-83000.0</v>
      </c>
      <c r="AK201" s="1">
        <v>1950.0</v>
      </c>
      <c r="AL201" s="3" t="s">
        <v>73</v>
      </c>
      <c r="AM201" s="3" t="s">
        <v>72</v>
      </c>
      <c r="AN201" s="1" t="s">
        <v>1391</v>
      </c>
      <c r="AO201" s="2" t="s">
        <v>76</v>
      </c>
      <c r="AQ201" s="2" t="s">
        <v>75</v>
      </c>
      <c r="AR201" s="2" t="s">
        <v>76</v>
      </c>
      <c r="AS201" s="1">
        <v>1738.0</v>
      </c>
      <c r="AT201" s="1">
        <v>1738.0</v>
      </c>
      <c r="AU201" s="1">
        <v>690.0</v>
      </c>
      <c r="AV201" s="1">
        <v>36.0</v>
      </c>
      <c r="AW201" s="1">
        <v>144.0</v>
      </c>
      <c r="AX201" s="1">
        <v>5677.0</v>
      </c>
      <c r="AY201" s="1">
        <v>131.0</v>
      </c>
      <c r="AZ201" s="1" t="s">
        <v>133</v>
      </c>
      <c r="BA201" s="1" t="s">
        <v>121</v>
      </c>
    </row>
    <row r="202">
      <c r="A202" s="1" t="s">
        <v>1656</v>
      </c>
      <c r="B202" s="1" t="s">
        <v>53</v>
      </c>
      <c r="C202" s="1">
        <v>2008.0</v>
      </c>
      <c r="D202" s="1" t="s">
        <v>1657</v>
      </c>
      <c r="E202" s="1" t="s">
        <v>1658</v>
      </c>
      <c r="F202" s="1" t="s">
        <v>1386</v>
      </c>
      <c r="G202" s="1" t="s">
        <v>1659</v>
      </c>
      <c r="H202" s="1" t="s">
        <v>1660</v>
      </c>
      <c r="I202" s="1">
        <v>27.0</v>
      </c>
      <c r="J202" s="1">
        <v>44176.0</v>
      </c>
      <c r="K202" s="2" t="s">
        <v>1661</v>
      </c>
      <c r="L202" s="2" t="s">
        <v>60</v>
      </c>
      <c r="M202" s="1" t="s">
        <v>1664</v>
      </c>
      <c r="N202" s="1" t="s">
        <v>62</v>
      </c>
      <c r="O202" s="1" t="s">
        <v>167</v>
      </c>
      <c r="P202" s="1" t="s">
        <v>512</v>
      </c>
      <c r="Q202" s="1">
        <v>16.916667</v>
      </c>
      <c r="R202" s="1">
        <v>-89.833333</v>
      </c>
      <c r="S202" s="1" t="s">
        <v>148</v>
      </c>
      <c r="T202" s="2" t="s">
        <v>275</v>
      </c>
      <c r="U202" s="2" t="s">
        <v>1266</v>
      </c>
      <c r="V202" s="3" t="s">
        <v>97</v>
      </c>
      <c r="W202" s="1" t="s">
        <v>278</v>
      </c>
      <c r="X202" s="1" t="s">
        <v>279</v>
      </c>
      <c r="Y202" s="6" t="s">
        <v>76</v>
      </c>
      <c r="Z202" s="3" t="s">
        <v>76</v>
      </c>
      <c r="AB202" s="1">
        <v>23.0</v>
      </c>
      <c r="AH202" s="1">
        <v>4.0</v>
      </c>
      <c r="AI202" s="2" t="s">
        <v>72</v>
      </c>
      <c r="AJ202" s="1">
        <v>-83000.0</v>
      </c>
      <c r="AK202" s="1">
        <v>1950.0</v>
      </c>
      <c r="AL202" s="3" t="s">
        <v>73</v>
      </c>
      <c r="AM202" s="3" t="s">
        <v>72</v>
      </c>
      <c r="AN202" s="1" t="s">
        <v>1391</v>
      </c>
      <c r="AO202" s="2" t="s">
        <v>76</v>
      </c>
      <c r="AQ202" s="2" t="s">
        <v>75</v>
      </c>
      <c r="AR202" s="2" t="s">
        <v>76</v>
      </c>
      <c r="AS202" s="1">
        <v>1738.0</v>
      </c>
      <c r="AT202" s="1">
        <v>1738.0</v>
      </c>
      <c r="AU202" s="1">
        <v>690.0</v>
      </c>
      <c r="AV202" s="1">
        <v>36.0</v>
      </c>
      <c r="AW202" s="1">
        <v>144.0</v>
      </c>
      <c r="AX202" s="1">
        <v>5677.0</v>
      </c>
      <c r="AY202" s="1">
        <v>131.0</v>
      </c>
      <c r="AZ202" s="1" t="s">
        <v>133</v>
      </c>
      <c r="BA202" s="1" t="s">
        <v>121</v>
      </c>
    </row>
    <row r="203">
      <c r="A203" s="1" t="s">
        <v>1010</v>
      </c>
      <c r="B203" s="1" t="s">
        <v>268</v>
      </c>
      <c r="C203" s="1">
        <v>2008.0</v>
      </c>
      <c r="D203" s="1" t="s">
        <v>1011</v>
      </c>
      <c r="E203" s="1" t="s">
        <v>1012</v>
      </c>
      <c r="H203" s="1" t="s">
        <v>1013</v>
      </c>
      <c r="I203" s="1">
        <v>40.0</v>
      </c>
      <c r="K203" s="2" t="s">
        <v>1014</v>
      </c>
      <c r="L203" s="2" t="s">
        <v>60</v>
      </c>
      <c r="M203" s="1" t="s">
        <v>2018</v>
      </c>
      <c r="N203" s="1" t="s">
        <v>62</v>
      </c>
      <c r="O203" s="1" t="s">
        <v>112</v>
      </c>
      <c r="P203" s="1" t="s">
        <v>1016</v>
      </c>
      <c r="Q203" s="1">
        <v>10.43972</v>
      </c>
      <c r="R203" s="1">
        <v>-84.00667</v>
      </c>
      <c r="S203" s="1" t="s">
        <v>114</v>
      </c>
      <c r="T203" s="2" t="s">
        <v>80</v>
      </c>
      <c r="U203" s="3" t="s">
        <v>81</v>
      </c>
      <c r="V203" s="3" t="s">
        <v>68</v>
      </c>
      <c r="W203" s="1" t="s">
        <v>1534</v>
      </c>
      <c r="X203" s="1" t="s">
        <v>1151</v>
      </c>
      <c r="Y203" s="6" t="s">
        <v>76</v>
      </c>
      <c r="Z203" s="3" t="s">
        <v>84</v>
      </c>
      <c r="AB203" s="1">
        <v>5.0</v>
      </c>
      <c r="AI203" s="2" t="s">
        <v>1018</v>
      </c>
      <c r="AJ203" s="1">
        <v>-1350.0</v>
      </c>
      <c r="AK203" s="1">
        <v>1950.0</v>
      </c>
      <c r="AL203" s="2" t="s">
        <v>73</v>
      </c>
      <c r="AM203" s="2" t="s">
        <v>72</v>
      </c>
      <c r="AN203" s="1" t="s">
        <v>74</v>
      </c>
      <c r="AO203" s="2" t="s">
        <v>72</v>
      </c>
      <c r="AQ203" s="2" t="s">
        <v>75</v>
      </c>
      <c r="AR203" s="2" t="s">
        <v>76</v>
      </c>
      <c r="AS203" s="1">
        <v>3680.0</v>
      </c>
      <c r="AT203" s="1">
        <v>3680.0</v>
      </c>
      <c r="AU203" s="1">
        <v>1257.0</v>
      </c>
      <c r="AV203" s="1">
        <v>131.0</v>
      </c>
      <c r="AW203" s="1">
        <v>422.0</v>
      </c>
      <c r="AX203" s="1">
        <v>3892.0</v>
      </c>
      <c r="AY203" s="1">
        <v>51.0</v>
      </c>
      <c r="AZ203" s="1" t="s">
        <v>120</v>
      </c>
      <c r="BA203" s="1" t="s">
        <v>121</v>
      </c>
    </row>
    <row r="204">
      <c r="A204" s="1" t="s">
        <v>1010</v>
      </c>
      <c r="B204" s="1" t="s">
        <v>268</v>
      </c>
      <c r="C204" s="1">
        <v>2008.0</v>
      </c>
      <c r="D204" s="1" t="s">
        <v>1011</v>
      </c>
      <c r="E204" s="1" t="s">
        <v>1012</v>
      </c>
      <c r="H204" s="1" t="s">
        <v>1013</v>
      </c>
      <c r="I204" s="1">
        <v>40.0</v>
      </c>
      <c r="K204" s="2" t="s">
        <v>1014</v>
      </c>
      <c r="L204" s="2" t="s">
        <v>60</v>
      </c>
      <c r="M204" s="1" t="s">
        <v>2019</v>
      </c>
      <c r="N204" s="1" t="s">
        <v>62</v>
      </c>
      <c r="O204" s="1" t="s">
        <v>112</v>
      </c>
      <c r="P204" s="1" t="s">
        <v>1016</v>
      </c>
      <c r="Q204" s="1">
        <v>10.43972</v>
      </c>
      <c r="R204" s="1">
        <v>-84.00667</v>
      </c>
      <c r="S204" s="1" t="s">
        <v>114</v>
      </c>
      <c r="T204" s="2" t="s">
        <v>66</v>
      </c>
      <c r="U204" s="2" t="s">
        <v>1455</v>
      </c>
      <c r="V204" s="3" t="s">
        <v>171</v>
      </c>
      <c r="W204" s="1" t="s">
        <v>2020</v>
      </c>
      <c r="X204" s="1" t="s">
        <v>70</v>
      </c>
      <c r="Y204" s="5" t="s">
        <v>60</v>
      </c>
      <c r="Z204" s="3" t="s">
        <v>625</v>
      </c>
      <c r="AB204" s="1">
        <v>5.0</v>
      </c>
      <c r="AI204" s="2" t="s">
        <v>1018</v>
      </c>
      <c r="AJ204" s="1">
        <v>-1350.0</v>
      </c>
      <c r="AK204" s="1">
        <v>1950.0</v>
      </c>
      <c r="AL204" s="2" t="s">
        <v>73</v>
      </c>
      <c r="AM204" s="2" t="s">
        <v>72</v>
      </c>
      <c r="AN204" s="1" t="s">
        <v>74</v>
      </c>
      <c r="AO204" s="2" t="s">
        <v>72</v>
      </c>
      <c r="AQ204" s="2" t="s">
        <v>75</v>
      </c>
      <c r="AR204" s="2" t="s">
        <v>76</v>
      </c>
      <c r="AS204" s="1">
        <v>3680.0</v>
      </c>
      <c r="AT204" s="1">
        <v>3680.0</v>
      </c>
      <c r="AU204" s="1">
        <v>1257.0</v>
      </c>
      <c r="AV204" s="1">
        <v>131.0</v>
      </c>
      <c r="AW204" s="1">
        <v>422.0</v>
      </c>
      <c r="AX204" s="1">
        <v>3892.0</v>
      </c>
      <c r="AY204" s="1">
        <v>51.0</v>
      </c>
      <c r="AZ204" s="1" t="s">
        <v>120</v>
      </c>
      <c r="BA204" s="1" t="s">
        <v>121</v>
      </c>
    </row>
    <row r="205">
      <c r="A205" s="1" t="s">
        <v>1010</v>
      </c>
      <c r="B205" s="1" t="s">
        <v>268</v>
      </c>
      <c r="C205" s="1">
        <v>2008.0</v>
      </c>
      <c r="D205" s="1" t="s">
        <v>1011</v>
      </c>
      <c r="E205" s="1" t="s">
        <v>1012</v>
      </c>
      <c r="H205" s="1" t="s">
        <v>1013</v>
      </c>
      <c r="I205" s="1">
        <v>40.0</v>
      </c>
      <c r="K205" s="2" t="s">
        <v>1014</v>
      </c>
      <c r="L205" s="2" t="s">
        <v>60</v>
      </c>
      <c r="M205" s="1" t="s">
        <v>2021</v>
      </c>
      <c r="N205" s="1" t="s">
        <v>62</v>
      </c>
      <c r="O205" s="1" t="s">
        <v>112</v>
      </c>
      <c r="P205" s="1" t="s">
        <v>1016</v>
      </c>
      <c r="Q205" s="1">
        <v>10.43972</v>
      </c>
      <c r="R205" s="1">
        <v>-84.00667</v>
      </c>
      <c r="S205" s="1" t="s">
        <v>114</v>
      </c>
      <c r="T205" s="2" t="s">
        <v>194</v>
      </c>
      <c r="U205" s="2" t="s">
        <v>96</v>
      </c>
      <c r="V205" s="3" t="s">
        <v>97</v>
      </c>
      <c r="W205" s="2" t="s">
        <v>1814</v>
      </c>
      <c r="X205" s="1" t="s">
        <v>70</v>
      </c>
      <c r="Y205" s="6" t="s">
        <v>76</v>
      </c>
      <c r="Z205" s="3" t="s">
        <v>76</v>
      </c>
      <c r="AB205" s="1">
        <v>5.0</v>
      </c>
      <c r="AI205" s="2" t="s">
        <v>1018</v>
      </c>
      <c r="AJ205" s="1">
        <v>-1350.0</v>
      </c>
      <c r="AK205" s="1">
        <v>1950.0</v>
      </c>
      <c r="AL205" s="2" t="s">
        <v>73</v>
      </c>
      <c r="AM205" s="2" t="s">
        <v>72</v>
      </c>
      <c r="AN205" s="1" t="s">
        <v>74</v>
      </c>
      <c r="AO205" s="2" t="s">
        <v>72</v>
      </c>
      <c r="AQ205" s="2" t="s">
        <v>75</v>
      </c>
      <c r="AR205" s="2" t="s">
        <v>76</v>
      </c>
      <c r="AS205" s="1">
        <v>3680.0</v>
      </c>
      <c r="AT205" s="1">
        <v>3680.0</v>
      </c>
      <c r="AU205" s="1">
        <v>1257.0</v>
      </c>
      <c r="AV205" s="1">
        <v>131.0</v>
      </c>
      <c r="AW205" s="1">
        <v>422.0</v>
      </c>
      <c r="AX205" s="1">
        <v>3892.0</v>
      </c>
      <c r="AY205" s="1">
        <v>51.0</v>
      </c>
      <c r="AZ205" s="1" t="s">
        <v>120</v>
      </c>
      <c r="BA205" s="1" t="s">
        <v>121</v>
      </c>
    </row>
    <row r="206">
      <c r="A206" s="1" t="s">
        <v>1010</v>
      </c>
      <c r="B206" s="1" t="s">
        <v>268</v>
      </c>
      <c r="C206" s="1">
        <v>2008.0</v>
      </c>
      <c r="D206" s="1" t="s">
        <v>1011</v>
      </c>
      <c r="E206" s="1" t="s">
        <v>1012</v>
      </c>
      <c r="H206" s="1" t="s">
        <v>1013</v>
      </c>
      <c r="I206" s="1">
        <v>40.0</v>
      </c>
      <c r="K206" s="2" t="s">
        <v>1014</v>
      </c>
      <c r="L206" s="2" t="s">
        <v>60</v>
      </c>
      <c r="M206" s="1" t="s">
        <v>2022</v>
      </c>
      <c r="N206" s="1" t="s">
        <v>62</v>
      </c>
      <c r="O206" s="1" t="s">
        <v>112</v>
      </c>
      <c r="P206" s="1" t="s">
        <v>1016</v>
      </c>
      <c r="Q206" s="1">
        <v>10.43972</v>
      </c>
      <c r="R206" s="1">
        <v>-84.00667</v>
      </c>
      <c r="S206" s="1" t="s">
        <v>114</v>
      </c>
      <c r="T206" s="2" t="s">
        <v>189</v>
      </c>
      <c r="U206" s="2" t="s">
        <v>96</v>
      </c>
      <c r="V206" s="3" t="s">
        <v>97</v>
      </c>
      <c r="W206" s="2" t="s">
        <v>1814</v>
      </c>
      <c r="X206" s="1" t="s">
        <v>70</v>
      </c>
      <c r="Y206" s="6" t="s">
        <v>76</v>
      </c>
      <c r="Z206" s="3" t="s">
        <v>76</v>
      </c>
      <c r="AB206" s="1">
        <v>5.0</v>
      </c>
      <c r="AI206" s="2" t="s">
        <v>1018</v>
      </c>
      <c r="AJ206" s="1">
        <v>-1350.0</v>
      </c>
      <c r="AK206" s="1">
        <v>1950.0</v>
      </c>
      <c r="AL206" s="2" t="s">
        <v>73</v>
      </c>
      <c r="AM206" s="2" t="s">
        <v>72</v>
      </c>
      <c r="AN206" s="1" t="s">
        <v>74</v>
      </c>
      <c r="AO206" s="2" t="s">
        <v>72</v>
      </c>
      <c r="AQ206" s="2" t="s">
        <v>75</v>
      </c>
      <c r="AR206" s="2" t="s">
        <v>76</v>
      </c>
      <c r="AS206" s="1">
        <v>3680.0</v>
      </c>
      <c r="AT206" s="1">
        <v>3680.0</v>
      </c>
      <c r="AU206" s="1">
        <v>1257.0</v>
      </c>
      <c r="AV206" s="1">
        <v>131.0</v>
      </c>
      <c r="AW206" s="1">
        <v>422.0</v>
      </c>
      <c r="AX206" s="1">
        <v>3892.0</v>
      </c>
      <c r="AY206" s="1">
        <v>51.0</v>
      </c>
      <c r="AZ206" s="1" t="s">
        <v>120</v>
      </c>
      <c r="BA206" s="1" t="s">
        <v>121</v>
      </c>
    </row>
    <row r="207">
      <c r="A207" s="1" t="s">
        <v>905</v>
      </c>
      <c r="B207" s="1" t="s">
        <v>53</v>
      </c>
      <c r="C207" s="1">
        <v>2009.0</v>
      </c>
      <c r="D207" s="1" t="s">
        <v>906</v>
      </c>
      <c r="E207" s="1" t="s">
        <v>907</v>
      </c>
      <c r="F207" s="1" t="s">
        <v>732</v>
      </c>
      <c r="G207" s="1" t="s">
        <v>908</v>
      </c>
      <c r="H207" s="1" t="s">
        <v>909</v>
      </c>
      <c r="I207" s="1">
        <v>42.0</v>
      </c>
      <c r="J207" s="1">
        <v>2.0</v>
      </c>
      <c r="K207" s="2" t="s">
        <v>910</v>
      </c>
      <c r="L207" s="2" t="s">
        <v>60</v>
      </c>
      <c r="M207" s="1" t="s">
        <v>911</v>
      </c>
      <c r="N207" s="1" t="s">
        <v>62</v>
      </c>
      <c r="O207" s="1" t="s">
        <v>92</v>
      </c>
      <c r="P207" s="1" t="s">
        <v>912</v>
      </c>
      <c r="Q207" s="1">
        <v>20.274287</v>
      </c>
      <c r="R207" s="1">
        <v>-87.486249</v>
      </c>
      <c r="S207" s="1" t="s">
        <v>148</v>
      </c>
      <c r="T207" s="2" t="s">
        <v>66</v>
      </c>
      <c r="U207" s="2" t="s">
        <v>913</v>
      </c>
      <c r="V207" s="3" t="s">
        <v>788</v>
      </c>
      <c r="W207" s="1" t="s">
        <v>914</v>
      </c>
      <c r="X207" s="1" t="s">
        <v>70</v>
      </c>
      <c r="Y207" s="5" t="s">
        <v>76</v>
      </c>
      <c r="Z207" s="3" t="s">
        <v>76</v>
      </c>
      <c r="AI207" s="1" t="s">
        <v>915</v>
      </c>
      <c r="AJ207" s="2" t="s">
        <v>72</v>
      </c>
      <c r="AK207" s="2" t="s">
        <v>72</v>
      </c>
      <c r="AL207" s="2" t="s">
        <v>100</v>
      </c>
      <c r="AM207" s="2" t="s">
        <v>76</v>
      </c>
      <c r="AN207" s="1" t="s">
        <v>238</v>
      </c>
      <c r="AO207" s="2" t="s">
        <v>101</v>
      </c>
      <c r="AQ207" s="2" t="s">
        <v>75</v>
      </c>
      <c r="AR207" s="2" t="s">
        <v>76</v>
      </c>
      <c r="AS207" s="1">
        <v>1209.0</v>
      </c>
      <c r="AT207" s="1">
        <v>1209.0</v>
      </c>
      <c r="AU207" s="1">
        <v>495.0</v>
      </c>
      <c r="AV207" s="1">
        <v>39.0</v>
      </c>
      <c r="AW207" s="1">
        <v>132.0</v>
      </c>
      <c r="AX207" s="1">
        <v>5135.0</v>
      </c>
      <c r="AY207" s="1">
        <v>5.0</v>
      </c>
      <c r="AZ207" s="1" t="s">
        <v>239</v>
      </c>
      <c r="BA207" s="1" t="s">
        <v>121</v>
      </c>
    </row>
    <row r="208">
      <c r="A208" s="1" t="s">
        <v>905</v>
      </c>
      <c r="B208" s="1" t="s">
        <v>53</v>
      </c>
      <c r="C208" s="1">
        <v>2009.0</v>
      </c>
      <c r="D208" s="1" t="s">
        <v>906</v>
      </c>
      <c r="E208" s="1" t="s">
        <v>907</v>
      </c>
      <c r="F208" s="1" t="s">
        <v>732</v>
      </c>
      <c r="G208" s="1" t="s">
        <v>908</v>
      </c>
      <c r="H208" s="1" t="s">
        <v>909</v>
      </c>
      <c r="I208" s="1">
        <v>42.0</v>
      </c>
      <c r="J208" s="1">
        <v>2.0</v>
      </c>
      <c r="K208" s="2" t="s">
        <v>910</v>
      </c>
      <c r="L208" s="2" t="s">
        <v>60</v>
      </c>
      <c r="M208" s="1" t="s">
        <v>916</v>
      </c>
      <c r="N208" s="1" t="s">
        <v>62</v>
      </c>
      <c r="O208" s="1" t="s">
        <v>92</v>
      </c>
      <c r="P208" s="1" t="s">
        <v>912</v>
      </c>
      <c r="Q208" s="1">
        <v>20.274287</v>
      </c>
      <c r="R208" s="1">
        <v>-87.486249</v>
      </c>
      <c r="S208" s="1" t="s">
        <v>148</v>
      </c>
      <c r="T208" s="2" t="s">
        <v>95</v>
      </c>
      <c r="U208" s="2" t="s">
        <v>917</v>
      </c>
      <c r="V208" s="3" t="s">
        <v>97</v>
      </c>
      <c r="W208" s="1" t="s">
        <v>918</v>
      </c>
      <c r="X208" s="2" t="s">
        <v>99</v>
      </c>
      <c r="Y208" s="6" t="s">
        <v>76</v>
      </c>
      <c r="Z208" s="3" t="s">
        <v>76</v>
      </c>
      <c r="AB208" s="1">
        <v>3.0</v>
      </c>
      <c r="AI208" s="1" t="s">
        <v>915</v>
      </c>
      <c r="AJ208" s="1">
        <v>-4890.0</v>
      </c>
      <c r="AK208" s="1">
        <v>-4630.0</v>
      </c>
      <c r="AL208" s="2" t="s">
        <v>73</v>
      </c>
      <c r="AM208" s="2" t="s">
        <v>76</v>
      </c>
      <c r="AN208" s="1" t="s">
        <v>238</v>
      </c>
      <c r="AO208" s="2" t="s">
        <v>60</v>
      </c>
      <c r="AQ208" s="2" t="s">
        <v>75</v>
      </c>
      <c r="AR208" s="2" t="s">
        <v>76</v>
      </c>
      <c r="AS208" s="1">
        <v>1209.0</v>
      </c>
      <c r="AT208" s="1">
        <v>1209.0</v>
      </c>
      <c r="AU208" s="1">
        <v>495.0</v>
      </c>
      <c r="AV208" s="1">
        <v>39.0</v>
      </c>
      <c r="AW208" s="1">
        <v>132.0</v>
      </c>
      <c r="AX208" s="1">
        <v>5135.0</v>
      </c>
      <c r="AY208" s="1">
        <v>5.0</v>
      </c>
      <c r="AZ208" s="1" t="s">
        <v>239</v>
      </c>
      <c r="BA208" s="1" t="s">
        <v>121</v>
      </c>
    </row>
    <row r="209">
      <c r="A209" s="1" t="s">
        <v>905</v>
      </c>
      <c r="B209" s="1" t="s">
        <v>53</v>
      </c>
      <c r="C209" s="1">
        <v>2009.0</v>
      </c>
      <c r="D209" s="1" t="s">
        <v>906</v>
      </c>
      <c r="E209" s="1" t="s">
        <v>907</v>
      </c>
      <c r="F209" s="1" t="s">
        <v>732</v>
      </c>
      <c r="G209" s="1" t="s">
        <v>908</v>
      </c>
      <c r="H209" s="1" t="s">
        <v>909</v>
      </c>
      <c r="I209" s="1">
        <v>42.0</v>
      </c>
      <c r="J209" s="1">
        <v>2.0</v>
      </c>
      <c r="K209" s="2" t="s">
        <v>910</v>
      </c>
      <c r="L209" s="2" t="s">
        <v>60</v>
      </c>
      <c r="M209" s="1" t="s">
        <v>924</v>
      </c>
      <c r="N209" s="1" t="s">
        <v>62</v>
      </c>
      <c r="O209" s="1" t="s">
        <v>92</v>
      </c>
      <c r="P209" s="1" t="s">
        <v>912</v>
      </c>
      <c r="Q209" s="1">
        <v>20.274287</v>
      </c>
      <c r="R209" s="1">
        <v>-87.486249</v>
      </c>
      <c r="S209" s="1" t="s">
        <v>148</v>
      </c>
      <c r="T209" s="2" t="s">
        <v>135</v>
      </c>
      <c r="U209" s="2" t="s">
        <v>917</v>
      </c>
      <c r="V209" s="3" t="s">
        <v>97</v>
      </c>
      <c r="W209" s="1" t="s">
        <v>918</v>
      </c>
      <c r="X209" s="2" t="s">
        <v>99</v>
      </c>
      <c r="Y209" s="6" t="s">
        <v>76</v>
      </c>
      <c r="Z209" s="3" t="s">
        <v>76</v>
      </c>
      <c r="AI209" s="1" t="s">
        <v>915</v>
      </c>
      <c r="AJ209" s="2" t="s">
        <v>72</v>
      </c>
      <c r="AK209" s="2" t="s">
        <v>72</v>
      </c>
      <c r="AL209" s="2" t="s">
        <v>100</v>
      </c>
      <c r="AM209" s="2" t="s">
        <v>76</v>
      </c>
      <c r="AN209" s="1" t="s">
        <v>238</v>
      </c>
      <c r="AO209" s="2" t="s">
        <v>101</v>
      </c>
      <c r="AQ209" s="2" t="s">
        <v>75</v>
      </c>
      <c r="AR209" s="2" t="s">
        <v>76</v>
      </c>
      <c r="AS209" s="1">
        <v>1209.0</v>
      </c>
      <c r="AT209" s="1">
        <v>1209.0</v>
      </c>
      <c r="AU209" s="1">
        <v>495.0</v>
      </c>
      <c r="AV209" s="1">
        <v>39.0</v>
      </c>
      <c r="AW209" s="1">
        <v>132.0</v>
      </c>
      <c r="AX209" s="1">
        <v>5135.0</v>
      </c>
      <c r="AY209" s="1">
        <v>5.0</v>
      </c>
      <c r="AZ209" s="1" t="s">
        <v>239</v>
      </c>
      <c r="BA209" s="1" t="s">
        <v>121</v>
      </c>
    </row>
    <row r="210">
      <c r="A210" s="1" t="s">
        <v>905</v>
      </c>
      <c r="B210" s="1" t="s">
        <v>53</v>
      </c>
      <c r="C210" s="1">
        <v>2009.0</v>
      </c>
      <c r="D210" s="1" t="s">
        <v>906</v>
      </c>
      <c r="E210" s="1" t="s">
        <v>907</v>
      </c>
      <c r="F210" s="1" t="s">
        <v>732</v>
      </c>
      <c r="G210" s="1" t="s">
        <v>908</v>
      </c>
      <c r="H210" s="1" t="s">
        <v>909</v>
      </c>
      <c r="I210" s="1">
        <v>42.0</v>
      </c>
      <c r="J210" s="1">
        <v>2.0</v>
      </c>
      <c r="K210" s="2" t="s">
        <v>910</v>
      </c>
      <c r="L210" s="2" t="s">
        <v>60</v>
      </c>
      <c r="M210" s="1" t="s">
        <v>926</v>
      </c>
      <c r="N210" s="1" t="s">
        <v>62</v>
      </c>
      <c r="O210" s="1" t="s">
        <v>92</v>
      </c>
      <c r="P210" s="1" t="s">
        <v>912</v>
      </c>
      <c r="Q210" s="1">
        <v>20.274287</v>
      </c>
      <c r="R210" s="1">
        <v>-87.486249</v>
      </c>
      <c r="S210" s="1" t="s">
        <v>148</v>
      </c>
      <c r="T210" s="2" t="s">
        <v>927</v>
      </c>
      <c r="U210" s="2" t="s">
        <v>917</v>
      </c>
      <c r="V210" s="3" t="s">
        <v>97</v>
      </c>
      <c r="W210" s="2" t="s">
        <v>72</v>
      </c>
      <c r="X210" s="1" t="s">
        <v>928</v>
      </c>
      <c r="Y210" s="6" t="s">
        <v>76</v>
      </c>
      <c r="Z210" s="3" t="s">
        <v>76</v>
      </c>
      <c r="AI210" s="1" t="s">
        <v>915</v>
      </c>
      <c r="AJ210" s="2" t="s">
        <v>72</v>
      </c>
      <c r="AK210" s="2" t="s">
        <v>72</v>
      </c>
      <c r="AL210" s="2" t="s">
        <v>100</v>
      </c>
      <c r="AM210" s="2" t="s">
        <v>76</v>
      </c>
      <c r="AN210" s="1" t="s">
        <v>238</v>
      </c>
      <c r="AO210" s="2" t="s">
        <v>101</v>
      </c>
      <c r="AQ210" s="2" t="s">
        <v>75</v>
      </c>
      <c r="AR210" s="2" t="s">
        <v>76</v>
      </c>
      <c r="AS210" s="1">
        <v>1209.0</v>
      </c>
      <c r="AT210" s="1">
        <v>1209.0</v>
      </c>
      <c r="AU210" s="1">
        <v>495.0</v>
      </c>
      <c r="AV210" s="1">
        <v>39.0</v>
      </c>
      <c r="AW210" s="1">
        <v>132.0</v>
      </c>
      <c r="AX210" s="1">
        <v>5135.0</v>
      </c>
      <c r="AY210" s="1">
        <v>5.0</v>
      </c>
      <c r="AZ210" s="1" t="s">
        <v>239</v>
      </c>
      <c r="BA210" s="1" t="s">
        <v>121</v>
      </c>
    </row>
    <row r="211">
      <c r="A211" s="1" t="s">
        <v>905</v>
      </c>
      <c r="B211" s="1" t="s">
        <v>53</v>
      </c>
      <c r="C211" s="1">
        <v>2009.0</v>
      </c>
      <c r="D211" s="1" t="s">
        <v>906</v>
      </c>
      <c r="E211" s="1" t="s">
        <v>907</v>
      </c>
      <c r="F211" s="1" t="s">
        <v>732</v>
      </c>
      <c r="G211" s="1" t="s">
        <v>908</v>
      </c>
      <c r="H211" s="1" t="s">
        <v>909</v>
      </c>
      <c r="I211" s="1">
        <v>42.0</v>
      </c>
      <c r="J211" s="1">
        <v>2.0</v>
      </c>
      <c r="K211" s="2" t="s">
        <v>910</v>
      </c>
      <c r="L211" s="2" t="s">
        <v>60</v>
      </c>
      <c r="M211" s="1" t="s">
        <v>929</v>
      </c>
      <c r="N211" s="1" t="s">
        <v>62</v>
      </c>
      <c r="O211" s="1" t="s">
        <v>92</v>
      </c>
      <c r="P211" s="1" t="s">
        <v>912</v>
      </c>
      <c r="Q211" s="1">
        <v>20.274287</v>
      </c>
      <c r="R211" s="1">
        <v>-87.486249</v>
      </c>
      <c r="S211" s="1" t="s">
        <v>148</v>
      </c>
      <c r="T211" s="2" t="s">
        <v>930</v>
      </c>
      <c r="U211" s="2" t="s">
        <v>917</v>
      </c>
      <c r="V211" s="3" t="s">
        <v>97</v>
      </c>
      <c r="W211" s="2" t="s">
        <v>72</v>
      </c>
      <c r="X211" s="1" t="s">
        <v>928</v>
      </c>
      <c r="Y211" s="6" t="s">
        <v>76</v>
      </c>
      <c r="Z211" s="3" t="s">
        <v>76</v>
      </c>
      <c r="AI211" s="1" t="s">
        <v>915</v>
      </c>
      <c r="AJ211" s="2" t="s">
        <v>72</v>
      </c>
      <c r="AK211" s="2" t="s">
        <v>72</v>
      </c>
      <c r="AL211" s="2" t="s">
        <v>100</v>
      </c>
      <c r="AM211" s="2" t="s">
        <v>76</v>
      </c>
      <c r="AN211" s="1" t="s">
        <v>238</v>
      </c>
      <c r="AO211" s="2" t="s">
        <v>101</v>
      </c>
      <c r="AQ211" s="2" t="s">
        <v>75</v>
      </c>
      <c r="AR211" s="2" t="s">
        <v>76</v>
      </c>
      <c r="AS211" s="1">
        <v>1209.0</v>
      </c>
      <c r="AT211" s="1">
        <v>1209.0</v>
      </c>
      <c r="AU211" s="1">
        <v>495.0</v>
      </c>
      <c r="AV211" s="1">
        <v>39.0</v>
      </c>
      <c r="AW211" s="1">
        <v>132.0</v>
      </c>
      <c r="AX211" s="1">
        <v>5135.0</v>
      </c>
      <c r="AY211" s="1">
        <v>5.0</v>
      </c>
      <c r="AZ211" s="1" t="s">
        <v>239</v>
      </c>
      <c r="BA211" s="1" t="s">
        <v>121</v>
      </c>
    </row>
    <row r="212">
      <c r="A212" s="1" t="s">
        <v>905</v>
      </c>
      <c r="B212" s="1" t="s">
        <v>53</v>
      </c>
      <c r="C212" s="1">
        <v>2009.0</v>
      </c>
      <c r="D212" s="1" t="s">
        <v>906</v>
      </c>
      <c r="E212" s="1" t="s">
        <v>907</v>
      </c>
      <c r="F212" s="1" t="s">
        <v>732</v>
      </c>
      <c r="G212" s="1" t="s">
        <v>908</v>
      </c>
      <c r="H212" s="1" t="s">
        <v>909</v>
      </c>
      <c r="I212" s="1">
        <v>42.0</v>
      </c>
      <c r="J212" s="1">
        <v>2.0</v>
      </c>
      <c r="K212" s="2" t="s">
        <v>910</v>
      </c>
      <c r="L212" s="2" t="s">
        <v>60</v>
      </c>
      <c r="M212" s="1" t="s">
        <v>939</v>
      </c>
      <c r="N212" s="1" t="s">
        <v>62</v>
      </c>
      <c r="O212" s="1" t="s">
        <v>92</v>
      </c>
      <c r="P212" s="1" t="s">
        <v>912</v>
      </c>
      <c r="Q212" s="1">
        <v>20.274287</v>
      </c>
      <c r="R212" s="1">
        <v>-87.486249</v>
      </c>
      <c r="S212" s="1" t="s">
        <v>148</v>
      </c>
      <c r="T212" s="2" t="s">
        <v>614</v>
      </c>
      <c r="U212" s="2" t="s">
        <v>917</v>
      </c>
      <c r="V212" s="3" t="s">
        <v>97</v>
      </c>
      <c r="W212" s="2" t="s">
        <v>72</v>
      </c>
      <c r="X212" s="1" t="s">
        <v>928</v>
      </c>
      <c r="Y212" s="6" t="s">
        <v>76</v>
      </c>
      <c r="Z212" s="3" t="s">
        <v>76</v>
      </c>
      <c r="AI212" s="1" t="s">
        <v>915</v>
      </c>
      <c r="AJ212" s="2" t="s">
        <v>72</v>
      </c>
      <c r="AK212" s="2" t="s">
        <v>72</v>
      </c>
      <c r="AL212" s="2" t="s">
        <v>100</v>
      </c>
      <c r="AM212" s="2" t="s">
        <v>76</v>
      </c>
      <c r="AN212" s="1" t="s">
        <v>238</v>
      </c>
      <c r="AO212" s="2" t="s">
        <v>101</v>
      </c>
      <c r="AQ212" s="2" t="s">
        <v>75</v>
      </c>
      <c r="AR212" s="2" t="s">
        <v>76</v>
      </c>
      <c r="AS212" s="1">
        <v>1209.0</v>
      </c>
      <c r="AT212" s="1">
        <v>1209.0</v>
      </c>
      <c r="AU212" s="1">
        <v>495.0</v>
      </c>
      <c r="AV212" s="1">
        <v>39.0</v>
      </c>
      <c r="AW212" s="1">
        <v>132.0</v>
      </c>
      <c r="AX212" s="1">
        <v>5135.0</v>
      </c>
      <c r="AY212" s="1">
        <v>5.0</v>
      </c>
      <c r="AZ212" s="1" t="s">
        <v>239</v>
      </c>
      <c r="BA212" s="1" t="s">
        <v>121</v>
      </c>
    </row>
    <row r="213">
      <c r="A213" s="1" t="s">
        <v>905</v>
      </c>
      <c r="B213" s="1" t="s">
        <v>53</v>
      </c>
      <c r="C213" s="1">
        <v>2009.0</v>
      </c>
      <c r="D213" s="1" t="s">
        <v>906</v>
      </c>
      <c r="E213" s="1" t="s">
        <v>907</v>
      </c>
      <c r="F213" s="1" t="s">
        <v>732</v>
      </c>
      <c r="G213" s="1" t="s">
        <v>908</v>
      </c>
      <c r="H213" s="1" t="s">
        <v>909</v>
      </c>
      <c r="I213" s="1">
        <v>42.0</v>
      </c>
      <c r="J213" s="1">
        <v>2.0</v>
      </c>
      <c r="K213" s="2" t="s">
        <v>910</v>
      </c>
      <c r="L213" s="2" t="s">
        <v>60</v>
      </c>
      <c r="M213" s="1" t="s">
        <v>940</v>
      </c>
      <c r="N213" s="1" t="s">
        <v>62</v>
      </c>
      <c r="O213" s="1" t="s">
        <v>92</v>
      </c>
      <c r="P213" s="1" t="s">
        <v>912</v>
      </c>
      <c r="Q213" s="1">
        <v>20.274287</v>
      </c>
      <c r="R213" s="1">
        <v>-87.486249</v>
      </c>
      <c r="S213" s="1" t="s">
        <v>148</v>
      </c>
      <c r="T213" s="2" t="s">
        <v>941</v>
      </c>
      <c r="U213" s="2" t="s">
        <v>917</v>
      </c>
      <c r="V213" s="3" t="s">
        <v>97</v>
      </c>
      <c r="W213" s="2" t="s">
        <v>72</v>
      </c>
      <c r="X213" s="1" t="s">
        <v>928</v>
      </c>
      <c r="Y213" s="6" t="s">
        <v>76</v>
      </c>
      <c r="Z213" s="3" t="s">
        <v>76</v>
      </c>
      <c r="AI213" s="1" t="s">
        <v>915</v>
      </c>
      <c r="AJ213" s="2" t="s">
        <v>72</v>
      </c>
      <c r="AK213" s="2" t="s">
        <v>72</v>
      </c>
      <c r="AL213" s="2" t="s">
        <v>100</v>
      </c>
      <c r="AM213" s="2" t="s">
        <v>76</v>
      </c>
      <c r="AN213" s="1" t="s">
        <v>238</v>
      </c>
      <c r="AO213" s="2" t="s">
        <v>101</v>
      </c>
      <c r="AQ213" s="2" t="s">
        <v>75</v>
      </c>
      <c r="AR213" s="2" t="s">
        <v>76</v>
      </c>
      <c r="AS213" s="1">
        <v>1209.0</v>
      </c>
      <c r="AT213" s="1">
        <v>1209.0</v>
      </c>
      <c r="AU213" s="1">
        <v>495.0</v>
      </c>
      <c r="AV213" s="1">
        <v>39.0</v>
      </c>
      <c r="AW213" s="1">
        <v>132.0</v>
      </c>
      <c r="AX213" s="1">
        <v>5135.0</v>
      </c>
      <c r="AY213" s="1">
        <v>5.0</v>
      </c>
      <c r="AZ213" s="1" t="s">
        <v>239</v>
      </c>
      <c r="BA213" s="1" t="s">
        <v>121</v>
      </c>
    </row>
    <row r="214">
      <c r="A214" s="1" t="s">
        <v>905</v>
      </c>
      <c r="B214" s="1" t="s">
        <v>53</v>
      </c>
      <c r="C214" s="1">
        <v>2009.0</v>
      </c>
      <c r="D214" s="1" t="s">
        <v>906</v>
      </c>
      <c r="E214" s="1" t="s">
        <v>907</v>
      </c>
      <c r="F214" s="1" t="s">
        <v>732</v>
      </c>
      <c r="G214" s="1" t="s">
        <v>908</v>
      </c>
      <c r="H214" s="1" t="s">
        <v>909</v>
      </c>
      <c r="I214" s="1">
        <v>42.0</v>
      </c>
      <c r="J214" s="1">
        <v>2.0</v>
      </c>
      <c r="K214" s="2" t="s">
        <v>910</v>
      </c>
      <c r="L214" s="2" t="s">
        <v>60</v>
      </c>
      <c r="M214" s="1" t="s">
        <v>942</v>
      </c>
      <c r="N214" s="1" t="s">
        <v>62</v>
      </c>
      <c r="O214" s="1" t="s">
        <v>92</v>
      </c>
      <c r="P214" s="1" t="s">
        <v>912</v>
      </c>
      <c r="Q214" s="1">
        <v>20.274287</v>
      </c>
      <c r="R214" s="1">
        <v>-87.486249</v>
      </c>
      <c r="S214" s="1" t="s">
        <v>148</v>
      </c>
      <c r="T214" s="2" t="s">
        <v>194</v>
      </c>
      <c r="U214" s="2" t="s">
        <v>917</v>
      </c>
      <c r="V214" s="3" t="s">
        <v>97</v>
      </c>
      <c r="W214" s="1" t="s">
        <v>943</v>
      </c>
      <c r="X214" s="1" t="s">
        <v>70</v>
      </c>
      <c r="Y214" s="6" t="s">
        <v>76</v>
      </c>
      <c r="Z214" s="3" t="s">
        <v>76</v>
      </c>
      <c r="AI214" s="1" t="s">
        <v>915</v>
      </c>
      <c r="AJ214" s="2" t="s">
        <v>72</v>
      </c>
      <c r="AK214" s="2" t="s">
        <v>72</v>
      </c>
      <c r="AL214" s="2" t="s">
        <v>100</v>
      </c>
      <c r="AM214" s="2" t="s">
        <v>76</v>
      </c>
      <c r="AN214" s="1" t="s">
        <v>238</v>
      </c>
      <c r="AO214" s="2" t="s">
        <v>101</v>
      </c>
      <c r="AQ214" s="2" t="s">
        <v>75</v>
      </c>
      <c r="AR214" s="2" t="s">
        <v>76</v>
      </c>
      <c r="AS214" s="1">
        <v>1209.0</v>
      </c>
      <c r="AT214" s="1">
        <v>1209.0</v>
      </c>
      <c r="AU214" s="1">
        <v>495.0</v>
      </c>
      <c r="AV214" s="1">
        <v>39.0</v>
      </c>
      <c r="AW214" s="1">
        <v>132.0</v>
      </c>
      <c r="AX214" s="1">
        <v>5135.0</v>
      </c>
      <c r="AY214" s="1">
        <v>5.0</v>
      </c>
      <c r="AZ214" s="1" t="s">
        <v>239</v>
      </c>
      <c r="BA214" s="1" t="s">
        <v>121</v>
      </c>
    </row>
    <row r="215">
      <c r="A215" s="1" t="s">
        <v>1665</v>
      </c>
      <c r="B215" s="1" t="s">
        <v>53</v>
      </c>
      <c r="C215" s="1">
        <v>2009.0</v>
      </c>
      <c r="D215" s="1" t="s">
        <v>1666</v>
      </c>
      <c r="E215" s="1" t="s">
        <v>1667</v>
      </c>
      <c r="F215" s="1" t="s">
        <v>1386</v>
      </c>
      <c r="G215" s="1" t="s">
        <v>1668</v>
      </c>
      <c r="H215" s="1" t="s">
        <v>1669</v>
      </c>
      <c r="I215" s="1">
        <v>28.0</v>
      </c>
      <c r="J215" s="1" t="s">
        <v>1670</v>
      </c>
      <c r="K215" s="2" t="s">
        <v>1671</v>
      </c>
      <c r="L215" s="2" t="s">
        <v>76</v>
      </c>
      <c r="M215" s="1" t="s">
        <v>1665</v>
      </c>
      <c r="N215" s="1" t="s">
        <v>62</v>
      </c>
      <c r="O215" s="1" t="s">
        <v>112</v>
      </c>
      <c r="P215" s="1" t="s">
        <v>1672</v>
      </c>
      <c r="Q215" s="1">
        <v>10.166667</v>
      </c>
      <c r="R215" s="1">
        <v>-85.333333</v>
      </c>
      <c r="S215" s="1" t="s">
        <v>94</v>
      </c>
      <c r="T215" s="2" t="s">
        <v>95</v>
      </c>
      <c r="U215" s="2" t="s">
        <v>96</v>
      </c>
      <c r="V215" s="3" t="s">
        <v>97</v>
      </c>
      <c r="W215" s="1" t="s">
        <v>1673</v>
      </c>
      <c r="X215" s="1" t="s">
        <v>456</v>
      </c>
      <c r="Y215" s="6" t="s">
        <v>76</v>
      </c>
      <c r="Z215" s="3" t="s">
        <v>76</v>
      </c>
      <c r="AF215" s="1">
        <v>35.0</v>
      </c>
      <c r="AJ215" s="1">
        <v>-6000.0</v>
      </c>
      <c r="AK215" s="1">
        <v>-4400.0</v>
      </c>
      <c r="AL215" s="2" t="s">
        <v>153</v>
      </c>
      <c r="AM215" s="3" t="s">
        <v>60</v>
      </c>
      <c r="AN215" s="3" t="s">
        <v>101</v>
      </c>
      <c r="AO215" s="2" t="s">
        <v>101</v>
      </c>
      <c r="AQ215" s="2" t="s">
        <v>102</v>
      </c>
      <c r="AR215" s="2" t="s">
        <v>60</v>
      </c>
      <c r="AS215" s="1">
        <v>1891.0</v>
      </c>
      <c r="AT215" s="1">
        <v>1891.0</v>
      </c>
      <c r="AU215" s="1">
        <v>915.0</v>
      </c>
      <c r="AV215" s="1">
        <v>2.0</v>
      </c>
      <c r="AW215" s="1">
        <v>14.0</v>
      </c>
      <c r="AX215" s="1">
        <v>8437.0</v>
      </c>
      <c r="AY215" s="1">
        <v>74.0</v>
      </c>
      <c r="AZ215" s="1" t="s">
        <v>525</v>
      </c>
      <c r="BA215" s="1" t="s">
        <v>104</v>
      </c>
    </row>
    <row r="216">
      <c r="A216" s="1" t="s">
        <v>1101</v>
      </c>
      <c r="B216" s="1" t="s">
        <v>268</v>
      </c>
      <c r="C216" s="1">
        <v>2009.0</v>
      </c>
      <c r="D216" s="1" t="s">
        <v>1102</v>
      </c>
      <c r="E216" s="1" t="s">
        <v>1103</v>
      </c>
      <c r="H216" s="1" t="s">
        <v>1104</v>
      </c>
      <c r="I216" s="1">
        <v>24.0</v>
      </c>
      <c r="K216" s="2" t="s">
        <v>1105</v>
      </c>
      <c r="L216" s="2" t="s">
        <v>60</v>
      </c>
      <c r="M216" s="1" t="s">
        <v>2023</v>
      </c>
      <c r="N216" s="1" t="s">
        <v>62</v>
      </c>
      <c r="O216" s="1" t="s">
        <v>187</v>
      </c>
      <c r="P216" s="1" t="s">
        <v>1113</v>
      </c>
      <c r="Q216" s="1">
        <v>17.599365</v>
      </c>
      <c r="R216" s="1">
        <v>-88.69915</v>
      </c>
      <c r="S216" s="1" t="s">
        <v>1108</v>
      </c>
      <c r="T216" s="2" t="s">
        <v>95</v>
      </c>
      <c r="U216" s="2" t="s">
        <v>96</v>
      </c>
      <c r="V216" s="3" t="s">
        <v>97</v>
      </c>
      <c r="W216" s="1" t="s">
        <v>2024</v>
      </c>
      <c r="X216" s="1" t="s">
        <v>256</v>
      </c>
      <c r="Y216" s="6" t="s">
        <v>76</v>
      </c>
      <c r="Z216" s="3" t="s">
        <v>76</v>
      </c>
      <c r="AB216" s="1">
        <v>7.0</v>
      </c>
      <c r="AI216" s="1" t="s">
        <v>1114</v>
      </c>
      <c r="AJ216" s="1">
        <v>-10050.0</v>
      </c>
      <c r="AK216" s="1">
        <v>1950.0</v>
      </c>
      <c r="AL216" s="2" t="s">
        <v>100</v>
      </c>
      <c r="AM216" s="2" t="s">
        <v>76</v>
      </c>
      <c r="AN216" s="1" t="s">
        <v>74</v>
      </c>
      <c r="AO216" s="2" t="s">
        <v>60</v>
      </c>
      <c r="AQ216" s="2" t="s">
        <v>75</v>
      </c>
      <c r="AR216" s="2" t="s">
        <v>76</v>
      </c>
      <c r="AS216" s="1">
        <v>1778.0</v>
      </c>
      <c r="AT216" s="1">
        <v>1778.0</v>
      </c>
      <c r="AU216" s="1">
        <v>697.0</v>
      </c>
      <c r="AV216" s="1">
        <v>45.0</v>
      </c>
      <c r="AW216" s="1">
        <v>158.0</v>
      </c>
      <c r="AX216" s="1">
        <v>5215.0</v>
      </c>
      <c r="AY216" s="1">
        <v>41.0</v>
      </c>
      <c r="AZ216" s="1" t="s">
        <v>133</v>
      </c>
      <c r="BA216" s="1" t="s">
        <v>121</v>
      </c>
    </row>
    <row r="217">
      <c r="A217" s="1" t="s">
        <v>1101</v>
      </c>
      <c r="B217" s="1" t="s">
        <v>268</v>
      </c>
      <c r="C217" s="1">
        <v>2009.0</v>
      </c>
      <c r="D217" s="1" t="s">
        <v>1102</v>
      </c>
      <c r="E217" s="1" t="s">
        <v>1103</v>
      </c>
      <c r="H217" s="1" t="s">
        <v>1104</v>
      </c>
      <c r="I217" s="1">
        <v>24.0</v>
      </c>
      <c r="K217" s="2" t="s">
        <v>1105</v>
      </c>
      <c r="L217" s="2" t="s">
        <v>60</v>
      </c>
      <c r="M217" s="1" t="s">
        <v>2025</v>
      </c>
      <c r="N217" s="1" t="s">
        <v>62</v>
      </c>
      <c r="O217" s="1" t="s">
        <v>187</v>
      </c>
      <c r="P217" s="1" t="s">
        <v>1113</v>
      </c>
      <c r="Q217" s="1">
        <v>17.599365</v>
      </c>
      <c r="R217" s="1">
        <v>-88.69915</v>
      </c>
      <c r="S217" s="1" t="s">
        <v>1108</v>
      </c>
      <c r="T217" s="2" t="s">
        <v>95</v>
      </c>
      <c r="U217" s="2" t="s">
        <v>96</v>
      </c>
      <c r="V217" s="3" t="s">
        <v>97</v>
      </c>
      <c r="W217" s="1" t="s">
        <v>2026</v>
      </c>
      <c r="X217" s="1" t="s">
        <v>256</v>
      </c>
      <c r="Y217" s="6" t="s">
        <v>76</v>
      </c>
      <c r="Z217" s="3" t="s">
        <v>76</v>
      </c>
      <c r="AB217" s="1">
        <v>7.0</v>
      </c>
      <c r="AI217" s="1" t="s">
        <v>1114</v>
      </c>
      <c r="AJ217" s="1">
        <v>-10050.0</v>
      </c>
      <c r="AK217" s="1">
        <v>1950.0</v>
      </c>
      <c r="AL217" s="2" t="s">
        <v>100</v>
      </c>
      <c r="AM217" s="2" t="s">
        <v>76</v>
      </c>
      <c r="AN217" s="1" t="s">
        <v>74</v>
      </c>
      <c r="AO217" s="2" t="s">
        <v>60</v>
      </c>
      <c r="AQ217" s="2" t="s">
        <v>75</v>
      </c>
      <c r="AR217" s="2" t="s">
        <v>76</v>
      </c>
      <c r="AS217" s="1">
        <v>1778.0</v>
      </c>
      <c r="AT217" s="1">
        <v>1778.0</v>
      </c>
      <c r="AU217" s="1">
        <v>697.0</v>
      </c>
      <c r="AV217" s="1">
        <v>45.0</v>
      </c>
      <c r="AW217" s="1">
        <v>158.0</v>
      </c>
      <c r="AX217" s="1">
        <v>5215.0</v>
      </c>
      <c r="AY217" s="1">
        <v>41.0</v>
      </c>
      <c r="AZ217" s="1" t="s">
        <v>133</v>
      </c>
      <c r="BA217" s="1" t="s">
        <v>121</v>
      </c>
    </row>
    <row r="218">
      <c r="A218" s="1" t="s">
        <v>1101</v>
      </c>
      <c r="B218" s="1" t="s">
        <v>268</v>
      </c>
      <c r="C218" s="1">
        <v>2009.0</v>
      </c>
      <c r="D218" s="1" t="s">
        <v>1102</v>
      </c>
      <c r="E218" s="1" t="s">
        <v>1103</v>
      </c>
      <c r="H218" s="1" t="s">
        <v>1104</v>
      </c>
      <c r="I218" s="1">
        <v>24.0</v>
      </c>
      <c r="K218" s="2" t="s">
        <v>1105</v>
      </c>
      <c r="L218" s="2" t="s">
        <v>60</v>
      </c>
      <c r="M218" s="1" t="s">
        <v>2028</v>
      </c>
      <c r="N218" s="1" t="s">
        <v>62</v>
      </c>
      <c r="O218" s="1" t="s">
        <v>187</v>
      </c>
      <c r="P218" s="1" t="s">
        <v>1113</v>
      </c>
      <c r="Q218" s="1">
        <v>17.599365</v>
      </c>
      <c r="R218" s="1">
        <v>-88.69915</v>
      </c>
      <c r="S218" s="1" t="s">
        <v>1108</v>
      </c>
      <c r="T218" s="2" t="s">
        <v>95</v>
      </c>
      <c r="U218" s="2" t="s">
        <v>96</v>
      </c>
      <c r="V218" s="3" t="s">
        <v>97</v>
      </c>
      <c r="W218" s="1" t="s">
        <v>2029</v>
      </c>
      <c r="X218" s="1" t="s">
        <v>256</v>
      </c>
      <c r="Y218" s="6" t="s">
        <v>76</v>
      </c>
      <c r="Z218" s="3" t="s">
        <v>76</v>
      </c>
      <c r="AB218" s="1">
        <v>7.0</v>
      </c>
      <c r="AI218" s="1" t="s">
        <v>1114</v>
      </c>
      <c r="AJ218" s="1">
        <v>-10050.0</v>
      </c>
      <c r="AK218" s="1">
        <v>1950.0</v>
      </c>
      <c r="AL218" s="2" t="s">
        <v>100</v>
      </c>
      <c r="AM218" s="2" t="s">
        <v>76</v>
      </c>
      <c r="AN218" s="1" t="s">
        <v>74</v>
      </c>
      <c r="AO218" s="2" t="s">
        <v>60</v>
      </c>
      <c r="AQ218" s="2" t="s">
        <v>75</v>
      </c>
      <c r="AR218" s="2" t="s">
        <v>76</v>
      </c>
      <c r="AS218" s="1">
        <v>1778.0</v>
      </c>
      <c r="AT218" s="1">
        <v>1778.0</v>
      </c>
      <c r="AU218" s="1">
        <v>697.0</v>
      </c>
      <c r="AV218" s="1">
        <v>45.0</v>
      </c>
      <c r="AW218" s="1">
        <v>158.0</v>
      </c>
      <c r="AX218" s="1">
        <v>5215.0</v>
      </c>
      <c r="AY218" s="1">
        <v>41.0</v>
      </c>
      <c r="AZ218" s="1" t="s">
        <v>133</v>
      </c>
      <c r="BA218" s="1" t="s">
        <v>121</v>
      </c>
    </row>
    <row r="219">
      <c r="A219" s="1" t="s">
        <v>1101</v>
      </c>
      <c r="B219" s="1" t="s">
        <v>268</v>
      </c>
      <c r="C219" s="1">
        <v>2009.0</v>
      </c>
      <c r="D219" s="1" t="s">
        <v>1102</v>
      </c>
      <c r="E219" s="1" t="s">
        <v>1103</v>
      </c>
      <c r="H219" s="1" t="s">
        <v>1104</v>
      </c>
      <c r="I219" s="1">
        <v>24.0</v>
      </c>
      <c r="K219" s="2" t="s">
        <v>1105</v>
      </c>
      <c r="L219" s="2" t="s">
        <v>60</v>
      </c>
      <c r="M219" s="1" t="s">
        <v>2030</v>
      </c>
      <c r="N219" s="1" t="s">
        <v>62</v>
      </c>
      <c r="O219" s="1" t="s">
        <v>187</v>
      </c>
      <c r="P219" s="1" t="s">
        <v>1113</v>
      </c>
      <c r="Q219" s="1">
        <v>17.599365</v>
      </c>
      <c r="R219" s="1">
        <v>-88.69915</v>
      </c>
      <c r="S219" s="1" t="s">
        <v>1108</v>
      </c>
      <c r="T219" s="2" t="s">
        <v>95</v>
      </c>
      <c r="U219" s="2" t="s">
        <v>2031</v>
      </c>
      <c r="V219" s="3" t="s">
        <v>97</v>
      </c>
      <c r="W219" s="1" t="s">
        <v>2032</v>
      </c>
      <c r="X219" s="1" t="s">
        <v>256</v>
      </c>
      <c r="Y219" s="5" t="s">
        <v>76</v>
      </c>
      <c r="Z219" s="3" t="s">
        <v>76</v>
      </c>
      <c r="AB219" s="1">
        <v>7.0</v>
      </c>
      <c r="AI219" s="1" t="s">
        <v>1114</v>
      </c>
      <c r="AJ219" s="1">
        <v>-10050.0</v>
      </c>
      <c r="AK219" s="1">
        <v>1950.0</v>
      </c>
      <c r="AL219" s="2" t="s">
        <v>100</v>
      </c>
      <c r="AM219" s="2" t="s">
        <v>76</v>
      </c>
      <c r="AN219" s="1" t="s">
        <v>74</v>
      </c>
      <c r="AO219" s="2" t="s">
        <v>60</v>
      </c>
      <c r="AQ219" s="2" t="s">
        <v>75</v>
      </c>
      <c r="AR219" s="2" t="s">
        <v>76</v>
      </c>
      <c r="AS219" s="1">
        <v>1778.0</v>
      </c>
      <c r="AT219" s="1">
        <v>1778.0</v>
      </c>
      <c r="AU219" s="1">
        <v>697.0</v>
      </c>
      <c r="AV219" s="1">
        <v>45.0</v>
      </c>
      <c r="AW219" s="1">
        <v>158.0</v>
      </c>
      <c r="AX219" s="1">
        <v>5215.0</v>
      </c>
      <c r="AY219" s="1">
        <v>41.0</v>
      </c>
      <c r="AZ219" s="1" t="s">
        <v>133</v>
      </c>
      <c r="BA219" s="1" t="s">
        <v>121</v>
      </c>
    </row>
    <row r="220">
      <c r="A220" s="1" t="s">
        <v>1101</v>
      </c>
      <c r="B220" s="1" t="s">
        <v>268</v>
      </c>
      <c r="C220" s="1">
        <v>2009.0</v>
      </c>
      <c r="D220" s="1" t="s">
        <v>1102</v>
      </c>
      <c r="E220" s="1" t="s">
        <v>1103</v>
      </c>
      <c r="H220" s="1" t="s">
        <v>1104</v>
      </c>
      <c r="I220" s="1">
        <v>24.0</v>
      </c>
      <c r="K220" s="2" t="s">
        <v>1105</v>
      </c>
      <c r="L220" s="2" t="s">
        <v>60</v>
      </c>
      <c r="M220" s="1" t="s">
        <v>2033</v>
      </c>
      <c r="N220" s="1" t="s">
        <v>62</v>
      </c>
      <c r="O220" s="1" t="s">
        <v>187</v>
      </c>
      <c r="P220" s="1" t="s">
        <v>1111</v>
      </c>
      <c r="Q220" s="1">
        <v>17.751954</v>
      </c>
      <c r="R220" s="1">
        <v>-88.653037</v>
      </c>
      <c r="S220" s="1" t="s">
        <v>1108</v>
      </c>
      <c r="T220" s="2" t="s">
        <v>135</v>
      </c>
      <c r="U220" s="2" t="s">
        <v>96</v>
      </c>
      <c r="V220" s="3" t="s">
        <v>299</v>
      </c>
      <c r="W220" s="1" t="s">
        <v>2034</v>
      </c>
      <c r="X220" s="1" t="s">
        <v>256</v>
      </c>
      <c r="Y220" s="6" t="s">
        <v>76</v>
      </c>
      <c r="Z220" s="3" t="s">
        <v>173</v>
      </c>
      <c r="AB220" s="1">
        <v>1.0</v>
      </c>
      <c r="AI220" s="1" t="s">
        <v>675</v>
      </c>
      <c r="AJ220" s="2" t="s">
        <v>72</v>
      </c>
      <c r="AK220" s="1">
        <v>1950.0</v>
      </c>
      <c r="AL220" s="2" t="s">
        <v>100</v>
      </c>
      <c r="AM220" s="2" t="s">
        <v>76</v>
      </c>
      <c r="AN220" s="1" t="s">
        <v>74</v>
      </c>
      <c r="AO220" s="2" t="s">
        <v>60</v>
      </c>
      <c r="AQ220" s="2" t="s">
        <v>75</v>
      </c>
      <c r="AR220" s="2" t="s">
        <v>76</v>
      </c>
      <c r="AS220" s="1">
        <v>1691.0</v>
      </c>
      <c r="AT220" s="1">
        <v>1691.0</v>
      </c>
      <c r="AU220" s="1">
        <v>664.0</v>
      </c>
      <c r="AV220" s="1">
        <v>45.0</v>
      </c>
      <c r="AW220" s="1">
        <v>148.0</v>
      </c>
      <c r="AX220" s="1">
        <v>5316.0</v>
      </c>
      <c r="AY220" s="1">
        <v>41.0</v>
      </c>
      <c r="AZ220" s="1" t="s">
        <v>445</v>
      </c>
      <c r="BA220" s="1" t="s">
        <v>446</v>
      </c>
    </row>
    <row r="221">
      <c r="A221" s="1" t="s">
        <v>1101</v>
      </c>
      <c r="B221" s="1" t="s">
        <v>268</v>
      </c>
      <c r="C221" s="1">
        <v>2009.0</v>
      </c>
      <c r="D221" s="1" t="s">
        <v>1102</v>
      </c>
      <c r="E221" s="1" t="s">
        <v>1103</v>
      </c>
      <c r="H221" s="1" t="s">
        <v>1104</v>
      </c>
      <c r="I221" s="1">
        <v>24.0</v>
      </c>
      <c r="K221" s="2" t="s">
        <v>1105</v>
      </c>
      <c r="L221" s="2" t="s">
        <v>60</v>
      </c>
      <c r="M221" s="1" t="s">
        <v>2035</v>
      </c>
      <c r="N221" s="1" t="s">
        <v>62</v>
      </c>
      <c r="O221" s="1" t="s">
        <v>187</v>
      </c>
      <c r="P221" s="1" t="s">
        <v>1113</v>
      </c>
      <c r="Q221" s="1">
        <v>17.599365</v>
      </c>
      <c r="R221" s="1">
        <v>-88.69915</v>
      </c>
      <c r="S221" s="1" t="s">
        <v>1108</v>
      </c>
      <c r="T221" s="2" t="s">
        <v>135</v>
      </c>
      <c r="U221" s="3" t="s">
        <v>173</v>
      </c>
      <c r="V221" s="3" t="s">
        <v>299</v>
      </c>
      <c r="W221" s="1" t="s">
        <v>2036</v>
      </c>
      <c r="X221" s="1" t="s">
        <v>256</v>
      </c>
      <c r="Y221" s="6" t="s">
        <v>76</v>
      </c>
      <c r="Z221" s="3" t="s">
        <v>173</v>
      </c>
      <c r="AB221" s="1">
        <v>7.0</v>
      </c>
      <c r="AI221" s="1" t="s">
        <v>1114</v>
      </c>
      <c r="AJ221" s="1">
        <v>-10050.0</v>
      </c>
      <c r="AK221" s="1">
        <v>1950.0</v>
      </c>
      <c r="AL221" s="2" t="s">
        <v>100</v>
      </c>
      <c r="AM221" s="2" t="s">
        <v>76</v>
      </c>
      <c r="AN221" s="1" t="s">
        <v>74</v>
      </c>
      <c r="AO221" s="2" t="s">
        <v>60</v>
      </c>
      <c r="AQ221" s="2" t="s">
        <v>75</v>
      </c>
      <c r="AR221" s="2" t="s">
        <v>76</v>
      </c>
      <c r="AS221" s="1">
        <v>1778.0</v>
      </c>
      <c r="AT221" s="1">
        <v>1778.0</v>
      </c>
      <c r="AU221" s="1">
        <v>697.0</v>
      </c>
      <c r="AV221" s="1">
        <v>45.0</v>
      </c>
      <c r="AW221" s="1">
        <v>158.0</v>
      </c>
      <c r="AX221" s="1">
        <v>5215.0</v>
      </c>
      <c r="AY221" s="1">
        <v>41.0</v>
      </c>
      <c r="AZ221" s="1" t="s">
        <v>133</v>
      </c>
      <c r="BA221" s="1" t="s">
        <v>121</v>
      </c>
    </row>
    <row r="222">
      <c r="A222" s="1" t="s">
        <v>1101</v>
      </c>
      <c r="B222" s="1" t="s">
        <v>268</v>
      </c>
      <c r="C222" s="1">
        <v>2009.0</v>
      </c>
      <c r="D222" s="1" t="s">
        <v>1102</v>
      </c>
      <c r="E222" s="1" t="s">
        <v>1103</v>
      </c>
      <c r="H222" s="1" t="s">
        <v>1104</v>
      </c>
      <c r="I222" s="1">
        <v>24.0</v>
      </c>
      <c r="K222" s="2" t="s">
        <v>1105</v>
      </c>
      <c r="L222" s="2" t="s">
        <v>60</v>
      </c>
      <c r="M222" s="1" t="s">
        <v>2037</v>
      </c>
      <c r="N222" s="1" t="s">
        <v>62</v>
      </c>
      <c r="O222" s="1" t="s">
        <v>187</v>
      </c>
      <c r="P222" s="1" t="s">
        <v>1113</v>
      </c>
      <c r="Q222" s="1">
        <v>17.599365</v>
      </c>
      <c r="R222" s="1">
        <v>-88.69915</v>
      </c>
      <c r="S222" s="1" t="s">
        <v>1108</v>
      </c>
      <c r="T222" s="2" t="s">
        <v>149</v>
      </c>
      <c r="U222" s="2" t="s">
        <v>2038</v>
      </c>
      <c r="V222" s="3" t="s">
        <v>97</v>
      </c>
      <c r="W222" s="1" t="s">
        <v>2039</v>
      </c>
      <c r="X222" s="1" t="s">
        <v>70</v>
      </c>
      <c r="Y222" s="6" t="s">
        <v>76</v>
      </c>
      <c r="Z222" s="3" t="s">
        <v>76</v>
      </c>
      <c r="AB222" s="1">
        <v>7.0</v>
      </c>
      <c r="AI222" s="1" t="s">
        <v>1114</v>
      </c>
      <c r="AJ222" s="1">
        <v>-10050.0</v>
      </c>
      <c r="AK222" s="1">
        <v>1950.0</v>
      </c>
      <c r="AL222" s="2" t="s">
        <v>100</v>
      </c>
      <c r="AM222" s="2" t="s">
        <v>76</v>
      </c>
      <c r="AN222" s="1" t="s">
        <v>74</v>
      </c>
      <c r="AO222" s="2" t="s">
        <v>60</v>
      </c>
      <c r="AQ222" s="2" t="s">
        <v>75</v>
      </c>
      <c r="AR222" s="2" t="s">
        <v>76</v>
      </c>
      <c r="AS222" s="1">
        <v>1778.0</v>
      </c>
      <c r="AT222" s="1">
        <v>1778.0</v>
      </c>
      <c r="AU222" s="1">
        <v>697.0</v>
      </c>
      <c r="AV222" s="1">
        <v>45.0</v>
      </c>
      <c r="AW222" s="1">
        <v>158.0</v>
      </c>
      <c r="AX222" s="1">
        <v>5215.0</v>
      </c>
      <c r="AY222" s="1">
        <v>41.0</v>
      </c>
      <c r="AZ222" s="1" t="s">
        <v>133</v>
      </c>
      <c r="BA222" s="1" t="s">
        <v>121</v>
      </c>
    </row>
    <row r="223">
      <c r="A223" s="1" t="s">
        <v>1101</v>
      </c>
      <c r="B223" s="1" t="s">
        <v>268</v>
      </c>
      <c r="C223" s="1">
        <v>2009.0</v>
      </c>
      <c r="D223" s="1" t="s">
        <v>1102</v>
      </c>
      <c r="E223" s="1" t="s">
        <v>1103</v>
      </c>
      <c r="H223" s="1" t="s">
        <v>1104</v>
      </c>
      <c r="I223" s="1">
        <v>24.0</v>
      </c>
      <c r="K223" s="2" t="s">
        <v>1105</v>
      </c>
      <c r="L223" s="2" t="s">
        <v>60</v>
      </c>
      <c r="M223" s="1" t="s">
        <v>2040</v>
      </c>
      <c r="N223" s="1" t="s">
        <v>62</v>
      </c>
      <c r="O223" s="1" t="s">
        <v>187</v>
      </c>
      <c r="P223" s="1" t="s">
        <v>1111</v>
      </c>
      <c r="Q223" s="1">
        <v>17.751954</v>
      </c>
      <c r="R223" s="1">
        <v>-88.653037</v>
      </c>
      <c r="S223" s="1" t="s">
        <v>1108</v>
      </c>
      <c r="T223" s="2" t="s">
        <v>382</v>
      </c>
      <c r="U223" s="7" t="s">
        <v>173</v>
      </c>
      <c r="V223" s="3" t="s">
        <v>116</v>
      </c>
      <c r="W223" s="1" t="s">
        <v>2041</v>
      </c>
      <c r="X223" s="1" t="s">
        <v>544</v>
      </c>
      <c r="Y223" s="6" t="s">
        <v>76</v>
      </c>
      <c r="Z223" s="3" t="s">
        <v>76</v>
      </c>
      <c r="AB223" s="1">
        <v>1.0</v>
      </c>
      <c r="AI223" s="1" t="s">
        <v>675</v>
      </c>
      <c r="AJ223" s="2" t="s">
        <v>72</v>
      </c>
      <c r="AK223" s="1">
        <v>1950.0</v>
      </c>
      <c r="AL223" s="2" t="s">
        <v>100</v>
      </c>
      <c r="AM223" s="2" t="s">
        <v>76</v>
      </c>
      <c r="AN223" s="1" t="s">
        <v>74</v>
      </c>
      <c r="AO223" s="2" t="s">
        <v>60</v>
      </c>
      <c r="AQ223" s="2" t="s">
        <v>75</v>
      </c>
      <c r="AR223" s="2" t="s">
        <v>76</v>
      </c>
      <c r="AS223" s="1">
        <v>1691.0</v>
      </c>
      <c r="AT223" s="1">
        <v>1691.0</v>
      </c>
      <c r="AU223" s="1">
        <v>664.0</v>
      </c>
      <c r="AV223" s="1">
        <v>45.0</v>
      </c>
      <c r="AW223" s="1">
        <v>148.0</v>
      </c>
      <c r="AX223" s="1">
        <v>5316.0</v>
      </c>
      <c r="AY223" s="1">
        <v>41.0</v>
      </c>
      <c r="AZ223" s="1" t="s">
        <v>445</v>
      </c>
      <c r="BA223" s="1" t="s">
        <v>446</v>
      </c>
    </row>
    <row r="224">
      <c r="A224" s="1" t="s">
        <v>1101</v>
      </c>
      <c r="B224" s="1" t="s">
        <v>268</v>
      </c>
      <c r="C224" s="1">
        <v>2009.0</v>
      </c>
      <c r="D224" s="1" t="s">
        <v>1102</v>
      </c>
      <c r="E224" s="1" t="s">
        <v>1103</v>
      </c>
      <c r="H224" s="1" t="s">
        <v>1104</v>
      </c>
      <c r="I224" s="1">
        <v>24.0</v>
      </c>
      <c r="K224" s="2" t="s">
        <v>1105</v>
      </c>
      <c r="L224" s="2" t="s">
        <v>60</v>
      </c>
      <c r="M224" s="1" t="s">
        <v>2042</v>
      </c>
      <c r="N224" s="1" t="s">
        <v>62</v>
      </c>
      <c r="O224" s="1" t="s">
        <v>187</v>
      </c>
      <c r="P224" s="1" t="s">
        <v>1107</v>
      </c>
      <c r="Q224" s="1">
        <v>17.763331</v>
      </c>
      <c r="R224" s="1">
        <v>-88.651927</v>
      </c>
      <c r="S224" s="1" t="s">
        <v>1108</v>
      </c>
      <c r="T224" s="2" t="s">
        <v>382</v>
      </c>
      <c r="U224" s="7" t="s">
        <v>173</v>
      </c>
      <c r="V224" s="3" t="s">
        <v>116</v>
      </c>
      <c r="W224" s="1" t="s">
        <v>2041</v>
      </c>
      <c r="X224" s="1" t="s">
        <v>544</v>
      </c>
      <c r="Y224" s="6" t="s">
        <v>76</v>
      </c>
      <c r="Z224" s="3" t="s">
        <v>76</v>
      </c>
      <c r="AB224" s="1">
        <v>6.0</v>
      </c>
      <c r="AI224" s="1" t="s">
        <v>1109</v>
      </c>
      <c r="AJ224" s="1">
        <v>-1650.0</v>
      </c>
      <c r="AK224" s="1">
        <v>1950.0</v>
      </c>
      <c r="AL224" s="2" t="s">
        <v>100</v>
      </c>
      <c r="AM224" s="2" t="s">
        <v>76</v>
      </c>
      <c r="AN224" s="1" t="s">
        <v>74</v>
      </c>
      <c r="AO224" s="2" t="s">
        <v>60</v>
      </c>
      <c r="AQ224" s="2" t="s">
        <v>75</v>
      </c>
      <c r="AR224" s="2" t="s">
        <v>76</v>
      </c>
      <c r="AS224" s="1">
        <v>1685.0</v>
      </c>
      <c r="AT224" s="1">
        <v>1685.0</v>
      </c>
      <c r="AU224" s="1">
        <v>661.0</v>
      </c>
      <c r="AV224" s="1">
        <v>44.0</v>
      </c>
      <c r="AW224" s="1">
        <v>146.0</v>
      </c>
      <c r="AX224" s="1">
        <v>5318.0</v>
      </c>
      <c r="AY224" s="1">
        <v>42.0</v>
      </c>
      <c r="AZ224" s="1" t="s">
        <v>445</v>
      </c>
      <c r="BA224" s="1" t="s">
        <v>446</v>
      </c>
    </row>
    <row r="225">
      <c r="A225" s="1" t="s">
        <v>1101</v>
      </c>
      <c r="B225" s="1" t="s">
        <v>268</v>
      </c>
      <c r="C225" s="1">
        <v>2009.0</v>
      </c>
      <c r="D225" s="1" t="s">
        <v>1102</v>
      </c>
      <c r="E225" s="1" t="s">
        <v>1103</v>
      </c>
      <c r="H225" s="1" t="s">
        <v>1104</v>
      </c>
      <c r="I225" s="1">
        <v>24.0</v>
      </c>
      <c r="K225" s="2" t="s">
        <v>1105</v>
      </c>
      <c r="L225" s="2" t="s">
        <v>60</v>
      </c>
      <c r="M225" s="1" t="s">
        <v>2043</v>
      </c>
      <c r="N225" s="1" t="s">
        <v>62</v>
      </c>
      <c r="O225" s="1" t="s">
        <v>187</v>
      </c>
      <c r="P225" s="1" t="s">
        <v>1107</v>
      </c>
      <c r="Q225" s="1">
        <v>17.763331</v>
      </c>
      <c r="R225" s="1">
        <v>-88.651927</v>
      </c>
      <c r="S225" s="1" t="s">
        <v>1108</v>
      </c>
      <c r="T225" s="2" t="s">
        <v>95</v>
      </c>
      <c r="U225" s="2" t="s">
        <v>96</v>
      </c>
      <c r="V225" s="3" t="s">
        <v>97</v>
      </c>
      <c r="W225" s="1" t="s">
        <v>2036</v>
      </c>
      <c r="X225" s="1" t="s">
        <v>256</v>
      </c>
      <c r="Y225" s="6" t="s">
        <v>76</v>
      </c>
      <c r="Z225" s="3" t="s">
        <v>76</v>
      </c>
      <c r="AB225" s="1">
        <v>6.0</v>
      </c>
      <c r="AI225" s="1" t="s">
        <v>1109</v>
      </c>
      <c r="AJ225" s="1">
        <v>-1650.0</v>
      </c>
      <c r="AK225" s="1">
        <v>1950.0</v>
      </c>
      <c r="AL225" s="2" t="s">
        <v>100</v>
      </c>
      <c r="AM225" s="2" t="s">
        <v>76</v>
      </c>
      <c r="AN225" s="1" t="s">
        <v>74</v>
      </c>
      <c r="AO225" s="2" t="s">
        <v>60</v>
      </c>
      <c r="AQ225" s="2" t="s">
        <v>75</v>
      </c>
      <c r="AR225" s="2" t="s">
        <v>76</v>
      </c>
      <c r="AS225" s="1">
        <v>1685.0</v>
      </c>
      <c r="AT225" s="1">
        <v>1685.0</v>
      </c>
      <c r="AU225" s="1">
        <v>661.0</v>
      </c>
      <c r="AV225" s="1">
        <v>44.0</v>
      </c>
      <c r="AW225" s="1">
        <v>146.0</v>
      </c>
      <c r="AX225" s="1">
        <v>5318.0</v>
      </c>
      <c r="AY225" s="1">
        <v>42.0</v>
      </c>
      <c r="AZ225" s="1" t="s">
        <v>445</v>
      </c>
      <c r="BA225" s="1" t="s">
        <v>446</v>
      </c>
    </row>
    <row r="226">
      <c r="A226" s="1" t="s">
        <v>1101</v>
      </c>
      <c r="B226" s="1" t="s">
        <v>268</v>
      </c>
      <c r="C226" s="1">
        <v>2009.0</v>
      </c>
      <c r="D226" s="1" t="s">
        <v>1102</v>
      </c>
      <c r="E226" s="1" t="s">
        <v>1103</v>
      </c>
      <c r="H226" s="1" t="s">
        <v>1104</v>
      </c>
      <c r="I226" s="1">
        <v>24.0</v>
      </c>
      <c r="K226" s="2" t="s">
        <v>1105</v>
      </c>
      <c r="L226" s="2" t="s">
        <v>60</v>
      </c>
      <c r="M226" s="1" t="s">
        <v>2046</v>
      </c>
      <c r="N226" s="1" t="s">
        <v>62</v>
      </c>
      <c r="O226" s="1" t="s">
        <v>187</v>
      </c>
      <c r="P226" s="1" t="s">
        <v>1111</v>
      </c>
      <c r="Q226" s="1">
        <v>17.751954</v>
      </c>
      <c r="R226" s="1">
        <v>-88.653037</v>
      </c>
      <c r="S226" s="1" t="s">
        <v>1108</v>
      </c>
      <c r="T226" s="2" t="s">
        <v>95</v>
      </c>
      <c r="U226" s="2" t="s">
        <v>96</v>
      </c>
      <c r="V226" s="3" t="s">
        <v>97</v>
      </c>
      <c r="W226" s="1" t="s">
        <v>2036</v>
      </c>
      <c r="X226" s="1" t="s">
        <v>256</v>
      </c>
      <c r="Y226" s="6" t="s">
        <v>76</v>
      </c>
      <c r="Z226" s="3" t="s">
        <v>76</v>
      </c>
      <c r="AB226" s="1">
        <v>1.0</v>
      </c>
      <c r="AI226" s="1" t="s">
        <v>675</v>
      </c>
      <c r="AJ226" s="2" t="s">
        <v>72</v>
      </c>
      <c r="AK226" s="1">
        <v>1950.0</v>
      </c>
      <c r="AL226" s="2" t="s">
        <v>100</v>
      </c>
      <c r="AM226" s="2" t="s">
        <v>76</v>
      </c>
      <c r="AN226" s="1" t="s">
        <v>74</v>
      </c>
      <c r="AO226" s="2" t="s">
        <v>60</v>
      </c>
      <c r="AQ226" s="2" t="s">
        <v>75</v>
      </c>
      <c r="AR226" s="2" t="s">
        <v>76</v>
      </c>
      <c r="AS226" s="1">
        <v>1691.0</v>
      </c>
      <c r="AT226" s="1">
        <v>1691.0</v>
      </c>
      <c r="AU226" s="1">
        <v>664.0</v>
      </c>
      <c r="AV226" s="1">
        <v>45.0</v>
      </c>
      <c r="AW226" s="1">
        <v>148.0</v>
      </c>
      <c r="AX226" s="1">
        <v>5316.0</v>
      </c>
      <c r="AY226" s="1">
        <v>41.0</v>
      </c>
      <c r="AZ226" s="1" t="s">
        <v>445</v>
      </c>
      <c r="BA226" s="1" t="s">
        <v>446</v>
      </c>
    </row>
    <row r="227">
      <c r="A227" s="1" t="s">
        <v>1101</v>
      </c>
      <c r="B227" s="1" t="s">
        <v>268</v>
      </c>
      <c r="C227" s="1">
        <v>2009.0</v>
      </c>
      <c r="D227" s="1" t="s">
        <v>1102</v>
      </c>
      <c r="E227" s="1" t="s">
        <v>1103</v>
      </c>
      <c r="H227" s="1" t="s">
        <v>1104</v>
      </c>
      <c r="I227" s="1">
        <v>24.0</v>
      </c>
      <c r="K227" s="2" t="s">
        <v>1105</v>
      </c>
      <c r="L227" s="2" t="s">
        <v>60</v>
      </c>
      <c r="M227" s="1" t="s">
        <v>2047</v>
      </c>
      <c r="N227" s="1" t="s">
        <v>62</v>
      </c>
      <c r="O227" s="1" t="s">
        <v>187</v>
      </c>
      <c r="P227" s="1" t="s">
        <v>1111</v>
      </c>
      <c r="Q227" s="1">
        <v>17.751954</v>
      </c>
      <c r="R227" s="1">
        <v>-88.653037</v>
      </c>
      <c r="S227" s="1" t="s">
        <v>1108</v>
      </c>
      <c r="T227" s="2" t="s">
        <v>95</v>
      </c>
      <c r="U227" s="2" t="s">
        <v>96</v>
      </c>
      <c r="V227" s="3" t="s">
        <v>97</v>
      </c>
      <c r="W227" s="1" t="s">
        <v>2036</v>
      </c>
      <c r="X227" s="1" t="s">
        <v>256</v>
      </c>
      <c r="Y227" s="6" t="s">
        <v>76</v>
      </c>
      <c r="Z227" s="3" t="s">
        <v>76</v>
      </c>
      <c r="AB227" s="1">
        <v>1.0</v>
      </c>
      <c r="AI227" s="1" t="s">
        <v>675</v>
      </c>
      <c r="AJ227" s="2" t="s">
        <v>72</v>
      </c>
      <c r="AK227" s="1">
        <v>1950.0</v>
      </c>
      <c r="AL227" s="2" t="s">
        <v>100</v>
      </c>
      <c r="AM227" s="2" t="s">
        <v>76</v>
      </c>
      <c r="AN227" s="1" t="s">
        <v>74</v>
      </c>
      <c r="AO227" s="2" t="s">
        <v>60</v>
      </c>
      <c r="AQ227" s="2" t="s">
        <v>75</v>
      </c>
      <c r="AR227" s="2" t="s">
        <v>76</v>
      </c>
      <c r="AS227" s="1">
        <v>1691.0</v>
      </c>
      <c r="AT227" s="1">
        <v>1691.0</v>
      </c>
      <c r="AU227" s="1">
        <v>664.0</v>
      </c>
      <c r="AV227" s="1">
        <v>45.0</v>
      </c>
      <c r="AW227" s="1">
        <v>148.0</v>
      </c>
      <c r="AX227" s="1">
        <v>5316.0</v>
      </c>
      <c r="AY227" s="1">
        <v>41.0</v>
      </c>
      <c r="AZ227" s="1" t="s">
        <v>445</v>
      </c>
      <c r="BA227" s="1" t="s">
        <v>446</v>
      </c>
    </row>
    <row r="228">
      <c r="A228" s="1" t="s">
        <v>1101</v>
      </c>
      <c r="B228" s="1" t="s">
        <v>268</v>
      </c>
      <c r="C228" s="1">
        <v>2009.0</v>
      </c>
      <c r="D228" s="1" t="s">
        <v>1102</v>
      </c>
      <c r="E228" s="1" t="s">
        <v>1103</v>
      </c>
      <c r="H228" s="1" t="s">
        <v>1104</v>
      </c>
      <c r="I228" s="1">
        <v>24.0</v>
      </c>
      <c r="K228" s="2" t="s">
        <v>1105</v>
      </c>
      <c r="L228" s="2" t="s">
        <v>60</v>
      </c>
      <c r="M228" s="1" t="s">
        <v>2049</v>
      </c>
      <c r="N228" s="1" t="s">
        <v>62</v>
      </c>
      <c r="O228" s="1" t="s">
        <v>187</v>
      </c>
      <c r="P228" s="1" t="s">
        <v>1111</v>
      </c>
      <c r="Q228" s="1">
        <v>17.751954</v>
      </c>
      <c r="R228" s="1">
        <v>-88.653037</v>
      </c>
      <c r="S228" s="1" t="s">
        <v>1108</v>
      </c>
      <c r="T228" s="2" t="s">
        <v>95</v>
      </c>
      <c r="U228" s="2" t="s">
        <v>96</v>
      </c>
      <c r="V228" s="3" t="s">
        <v>97</v>
      </c>
      <c r="W228" s="1" t="s">
        <v>2036</v>
      </c>
      <c r="X228" s="1" t="s">
        <v>256</v>
      </c>
      <c r="Y228" s="6" t="s">
        <v>76</v>
      </c>
      <c r="Z228" s="3" t="s">
        <v>76</v>
      </c>
      <c r="AB228" s="1">
        <v>1.0</v>
      </c>
      <c r="AI228" s="1" t="s">
        <v>675</v>
      </c>
      <c r="AJ228" s="2" t="s">
        <v>72</v>
      </c>
      <c r="AK228" s="1">
        <v>1950.0</v>
      </c>
      <c r="AL228" s="2" t="s">
        <v>100</v>
      </c>
      <c r="AM228" s="2" t="s">
        <v>76</v>
      </c>
      <c r="AN228" s="1" t="s">
        <v>74</v>
      </c>
      <c r="AO228" s="2" t="s">
        <v>60</v>
      </c>
      <c r="AQ228" s="2" t="s">
        <v>75</v>
      </c>
      <c r="AR228" s="2" t="s">
        <v>76</v>
      </c>
      <c r="AS228" s="1">
        <v>1691.0</v>
      </c>
      <c r="AT228" s="1">
        <v>1691.0</v>
      </c>
      <c r="AU228" s="1">
        <v>664.0</v>
      </c>
      <c r="AV228" s="1">
        <v>45.0</v>
      </c>
      <c r="AW228" s="1">
        <v>148.0</v>
      </c>
      <c r="AX228" s="1">
        <v>5316.0</v>
      </c>
      <c r="AY228" s="1">
        <v>41.0</v>
      </c>
      <c r="AZ228" s="1" t="s">
        <v>445</v>
      </c>
      <c r="BA228" s="1" t="s">
        <v>446</v>
      </c>
    </row>
    <row r="229">
      <c r="A229" s="1" t="s">
        <v>2050</v>
      </c>
      <c r="B229" s="1" t="s">
        <v>268</v>
      </c>
      <c r="C229" s="1">
        <v>2009.0</v>
      </c>
      <c r="D229" s="1" t="s">
        <v>2051</v>
      </c>
      <c r="E229" s="1" t="s">
        <v>2052</v>
      </c>
      <c r="H229" s="1" t="s">
        <v>2053</v>
      </c>
      <c r="I229" s="1">
        <v>280.0</v>
      </c>
      <c r="K229" s="2" t="s">
        <v>1767</v>
      </c>
      <c r="L229" s="2" t="s">
        <v>60</v>
      </c>
      <c r="M229" s="1" t="s">
        <v>2054</v>
      </c>
      <c r="N229" s="1" t="s">
        <v>62</v>
      </c>
      <c r="O229" s="1" t="s">
        <v>187</v>
      </c>
      <c r="P229" s="1" t="s">
        <v>2055</v>
      </c>
      <c r="Q229" s="1">
        <v>17.4</v>
      </c>
      <c r="R229" s="1">
        <v>-88.066667</v>
      </c>
      <c r="S229" s="1" t="s">
        <v>65</v>
      </c>
      <c r="T229" s="2" t="s">
        <v>189</v>
      </c>
      <c r="U229" s="2" t="s">
        <v>917</v>
      </c>
      <c r="V229" s="3" t="s">
        <v>97</v>
      </c>
      <c r="W229" s="1" t="s">
        <v>2056</v>
      </c>
      <c r="X229" s="1" t="s">
        <v>70</v>
      </c>
      <c r="Y229" s="6" t="s">
        <v>76</v>
      </c>
      <c r="Z229" s="3" t="s">
        <v>76</v>
      </c>
      <c r="AB229" s="1">
        <v>7.0</v>
      </c>
      <c r="AI229" s="1" t="s">
        <v>2057</v>
      </c>
      <c r="AJ229" s="1">
        <v>-6150.0</v>
      </c>
      <c r="AK229" s="1">
        <v>1950.0</v>
      </c>
      <c r="AL229" s="2" t="s">
        <v>1278</v>
      </c>
      <c r="AM229" s="2" t="s">
        <v>76</v>
      </c>
      <c r="AN229" s="1" t="s">
        <v>238</v>
      </c>
      <c r="AO229" s="2" t="s">
        <v>72</v>
      </c>
      <c r="AQ229" s="2" t="s">
        <v>75</v>
      </c>
      <c r="AR229" s="2" t="s">
        <v>76</v>
      </c>
      <c r="AS229" s="1">
        <v>1718.0</v>
      </c>
      <c r="AT229" s="1">
        <v>1718.0</v>
      </c>
      <c r="AU229" s="1">
        <v>641.0</v>
      </c>
      <c r="AV229" s="1">
        <v>38.0</v>
      </c>
      <c r="AW229" s="1">
        <v>152.0</v>
      </c>
      <c r="AX229" s="1">
        <v>5103.0</v>
      </c>
      <c r="AY229" s="1">
        <v>1.0</v>
      </c>
      <c r="AZ229" s="1" t="s">
        <v>658</v>
      </c>
      <c r="BA229" s="1" t="s">
        <v>659</v>
      </c>
    </row>
    <row r="230">
      <c r="A230" s="1" t="s">
        <v>2050</v>
      </c>
      <c r="B230" s="1" t="s">
        <v>268</v>
      </c>
      <c r="C230" s="1">
        <v>2009.0</v>
      </c>
      <c r="D230" s="1" t="s">
        <v>2051</v>
      </c>
      <c r="E230" s="1" t="s">
        <v>2052</v>
      </c>
      <c r="H230" s="1" t="s">
        <v>2053</v>
      </c>
      <c r="I230" s="1">
        <v>280.0</v>
      </c>
      <c r="K230" s="2" t="s">
        <v>1767</v>
      </c>
      <c r="L230" s="2" t="s">
        <v>60</v>
      </c>
      <c r="M230" s="1" t="s">
        <v>2058</v>
      </c>
      <c r="N230" s="1" t="s">
        <v>62</v>
      </c>
      <c r="O230" s="1" t="s">
        <v>187</v>
      </c>
      <c r="P230" s="1" t="s">
        <v>2055</v>
      </c>
      <c r="Q230" s="1">
        <v>17.4</v>
      </c>
      <c r="R230" s="1">
        <v>-88.066667</v>
      </c>
      <c r="S230" s="1" t="s">
        <v>65</v>
      </c>
      <c r="T230" s="2" t="s">
        <v>382</v>
      </c>
      <c r="U230" s="2" t="s">
        <v>917</v>
      </c>
      <c r="V230" s="3" t="s">
        <v>97</v>
      </c>
      <c r="W230" s="2" t="s">
        <v>72</v>
      </c>
      <c r="X230" s="1" t="s">
        <v>968</v>
      </c>
      <c r="Y230" s="6" t="s">
        <v>76</v>
      </c>
      <c r="Z230" s="3" t="s">
        <v>76</v>
      </c>
      <c r="AB230" s="1">
        <v>7.0</v>
      </c>
      <c r="AI230" s="1" t="s">
        <v>2057</v>
      </c>
      <c r="AJ230" s="1">
        <v>-6150.0</v>
      </c>
      <c r="AK230" s="1">
        <v>1950.0</v>
      </c>
      <c r="AL230" s="2" t="s">
        <v>1278</v>
      </c>
      <c r="AM230" s="2" t="s">
        <v>76</v>
      </c>
      <c r="AN230" s="1" t="s">
        <v>238</v>
      </c>
      <c r="AO230" s="2" t="s">
        <v>72</v>
      </c>
      <c r="AQ230" s="2" t="s">
        <v>75</v>
      </c>
      <c r="AR230" s="2" t="s">
        <v>76</v>
      </c>
      <c r="AS230" s="1">
        <v>1718.0</v>
      </c>
      <c r="AT230" s="1">
        <v>1718.0</v>
      </c>
      <c r="AU230" s="1">
        <v>641.0</v>
      </c>
      <c r="AV230" s="1">
        <v>38.0</v>
      </c>
      <c r="AW230" s="1">
        <v>152.0</v>
      </c>
      <c r="AX230" s="1">
        <v>5103.0</v>
      </c>
      <c r="AY230" s="1">
        <v>1.0</v>
      </c>
      <c r="AZ230" s="1" t="s">
        <v>658</v>
      </c>
      <c r="BA230" s="1" t="s">
        <v>659</v>
      </c>
    </row>
    <row r="231">
      <c r="A231" s="1" t="s">
        <v>2050</v>
      </c>
      <c r="B231" s="1" t="s">
        <v>268</v>
      </c>
      <c r="C231" s="1">
        <v>2009.0</v>
      </c>
      <c r="D231" s="1" t="s">
        <v>2051</v>
      </c>
      <c r="E231" s="1" t="s">
        <v>2052</v>
      </c>
      <c r="H231" s="1" t="s">
        <v>2053</v>
      </c>
      <c r="I231" s="1">
        <v>280.0</v>
      </c>
      <c r="K231" s="2" t="s">
        <v>1767</v>
      </c>
      <c r="L231" s="2" t="s">
        <v>60</v>
      </c>
      <c r="M231" s="1" t="s">
        <v>2059</v>
      </c>
      <c r="N231" s="1" t="s">
        <v>62</v>
      </c>
      <c r="O231" s="1" t="s">
        <v>187</v>
      </c>
      <c r="P231" s="1" t="s">
        <v>2055</v>
      </c>
      <c r="Q231" s="1">
        <v>17.4</v>
      </c>
      <c r="R231" s="1">
        <v>-88.066667</v>
      </c>
      <c r="S231" s="1" t="s">
        <v>65</v>
      </c>
      <c r="T231" s="2" t="s">
        <v>194</v>
      </c>
      <c r="U231" s="2" t="s">
        <v>917</v>
      </c>
      <c r="V231" s="3" t="s">
        <v>97</v>
      </c>
      <c r="W231" s="1" t="s">
        <v>2060</v>
      </c>
      <c r="X231" s="1" t="s">
        <v>70</v>
      </c>
      <c r="Y231" s="6" t="s">
        <v>76</v>
      </c>
      <c r="Z231" s="3" t="s">
        <v>76</v>
      </c>
      <c r="AB231" s="1">
        <v>7.0</v>
      </c>
      <c r="AI231" s="1" t="s">
        <v>2057</v>
      </c>
      <c r="AJ231" s="1">
        <v>-6150.0</v>
      </c>
      <c r="AK231" s="1">
        <v>1950.0</v>
      </c>
      <c r="AL231" s="2" t="s">
        <v>1278</v>
      </c>
      <c r="AM231" s="2" t="s">
        <v>76</v>
      </c>
      <c r="AN231" s="1" t="s">
        <v>238</v>
      </c>
      <c r="AO231" s="2" t="s">
        <v>72</v>
      </c>
      <c r="AQ231" s="2" t="s">
        <v>75</v>
      </c>
      <c r="AR231" s="2" t="s">
        <v>76</v>
      </c>
      <c r="AS231" s="1">
        <v>1718.0</v>
      </c>
      <c r="AT231" s="1">
        <v>1718.0</v>
      </c>
      <c r="AU231" s="1">
        <v>641.0</v>
      </c>
      <c r="AV231" s="1">
        <v>38.0</v>
      </c>
      <c r="AW231" s="1">
        <v>152.0</v>
      </c>
      <c r="AX231" s="1">
        <v>5103.0</v>
      </c>
      <c r="AY231" s="1">
        <v>1.0</v>
      </c>
      <c r="AZ231" s="1" t="s">
        <v>658</v>
      </c>
      <c r="BA231" s="1" t="s">
        <v>659</v>
      </c>
    </row>
    <row r="232">
      <c r="A232" s="1" t="s">
        <v>2050</v>
      </c>
      <c r="B232" s="1" t="s">
        <v>268</v>
      </c>
      <c r="C232" s="1">
        <v>2009.0</v>
      </c>
      <c r="D232" s="1" t="s">
        <v>2051</v>
      </c>
      <c r="E232" s="1" t="s">
        <v>2052</v>
      </c>
      <c r="H232" s="1" t="s">
        <v>2053</v>
      </c>
      <c r="I232" s="1">
        <v>280.0</v>
      </c>
      <c r="K232" s="2" t="s">
        <v>1767</v>
      </c>
      <c r="L232" s="2" t="s">
        <v>60</v>
      </c>
      <c r="M232" s="1" t="s">
        <v>2061</v>
      </c>
      <c r="N232" s="1" t="s">
        <v>62</v>
      </c>
      <c r="O232" s="1" t="s">
        <v>187</v>
      </c>
      <c r="P232" s="1" t="s">
        <v>2055</v>
      </c>
      <c r="Q232" s="1">
        <v>17.4</v>
      </c>
      <c r="R232" s="1">
        <v>-88.066667</v>
      </c>
      <c r="S232" s="1" t="s">
        <v>65</v>
      </c>
      <c r="T232" s="2" t="s">
        <v>66</v>
      </c>
      <c r="U232" s="2" t="s">
        <v>913</v>
      </c>
      <c r="V232" s="3" t="s">
        <v>788</v>
      </c>
      <c r="W232" s="1" t="s">
        <v>2062</v>
      </c>
      <c r="X232" s="1" t="s">
        <v>70</v>
      </c>
      <c r="Y232" s="5" t="s">
        <v>76</v>
      </c>
      <c r="Z232" s="3" t="s">
        <v>76</v>
      </c>
      <c r="AB232" s="1">
        <v>7.0</v>
      </c>
      <c r="AI232" s="1" t="s">
        <v>2057</v>
      </c>
      <c r="AJ232" s="1">
        <v>-6150.0</v>
      </c>
      <c r="AK232" s="1">
        <v>1950.0</v>
      </c>
      <c r="AL232" s="2" t="s">
        <v>1278</v>
      </c>
      <c r="AM232" s="2" t="s">
        <v>76</v>
      </c>
      <c r="AN232" s="1" t="s">
        <v>238</v>
      </c>
      <c r="AO232" s="2" t="s">
        <v>72</v>
      </c>
      <c r="AQ232" s="2" t="s">
        <v>75</v>
      </c>
      <c r="AR232" s="2" t="s">
        <v>76</v>
      </c>
      <c r="AS232" s="1">
        <v>1718.0</v>
      </c>
      <c r="AT232" s="1">
        <v>1718.0</v>
      </c>
      <c r="AU232" s="1">
        <v>641.0</v>
      </c>
      <c r="AV232" s="1">
        <v>38.0</v>
      </c>
      <c r="AW232" s="1">
        <v>152.0</v>
      </c>
      <c r="AX232" s="1">
        <v>5103.0</v>
      </c>
      <c r="AY232" s="1">
        <v>1.0</v>
      </c>
      <c r="AZ232" s="1" t="s">
        <v>658</v>
      </c>
      <c r="BA232" s="1" t="s">
        <v>659</v>
      </c>
    </row>
    <row r="233">
      <c r="A233" s="1" t="s">
        <v>2050</v>
      </c>
      <c r="B233" s="1" t="s">
        <v>268</v>
      </c>
      <c r="C233" s="1">
        <v>2009.0</v>
      </c>
      <c r="D233" s="1" t="s">
        <v>2051</v>
      </c>
      <c r="E233" s="1" t="s">
        <v>2052</v>
      </c>
      <c r="H233" s="1" t="s">
        <v>2053</v>
      </c>
      <c r="I233" s="1">
        <v>280.0</v>
      </c>
      <c r="K233" s="2" t="s">
        <v>1767</v>
      </c>
      <c r="L233" s="2" t="s">
        <v>60</v>
      </c>
      <c r="M233" s="1" t="s">
        <v>2063</v>
      </c>
      <c r="N233" s="1" t="s">
        <v>62</v>
      </c>
      <c r="O233" s="1" t="s">
        <v>187</v>
      </c>
      <c r="P233" s="1" t="s">
        <v>2055</v>
      </c>
      <c r="Q233" s="1">
        <v>17.4</v>
      </c>
      <c r="R233" s="1">
        <v>-88.066667</v>
      </c>
      <c r="S233" s="1" t="s">
        <v>65</v>
      </c>
      <c r="T233" s="2" t="s">
        <v>95</v>
      </c>
      <c r="U233" s="2" t="s">
        <v>1683</v>
      </c>
      <c r="V233" s="3" t="s">
        <v>97</v>
      </c>
      <c r="W233" s="1" t="s">
        <v>2064</v>
      </c>
      <c r="X233" s="1" t="s">
        <v>483</v>
      </c>
      <c r="Y233" s="6" t="s">
        <v>76</v>
      </c>
      <c r="Z233" s="3" t="s">
        <v>76</v>
      </c>
      <c r="AB233" s="1">
        <v>7.0</v>
      </c>
      <c r="AI233" s="1" t="s">
        <v>2057</v>
      </c>
      <c r="AJ233" s="1">
        <v>-6150.0</v>
      </c>
      <c r="AK233" s="1">
        <v>1950.0</v>
      </c>
      <c r="AL233" s="2" t="s">
        <v>1278</v>
      </c>
      <c r="AM233" s="2" t="s">
        <v>76</v>
      </c>
      <c r="AN233" s="1" t="s">
        <v>238</v>
      </c>
      <c r="AO233" s="2" t="s">
        <v>72</v>
      </c>
      <c r="AQ233" s="2" t="s">
        <v>75</v>
      </c>
      <c r="AR233" s="2" t="s">
        <v>76</v>
      </c>
      <c r="AS233" s="1">
        <v>1718.0</v>
      </c>
      <c r="AT233" s="1">
        <v>1718.0</v>
      </c>
      <c r="AU233" s="1">
        <v>641.0</v>
      </c>
      <c r="AV233" s="1">
        <v>38.0</v>
      </c>
      <c r="AW233" s="1">
        <v>152.0</v>
      </c>
      <c r="AX233" s="1">
        <v>5103.0</v>
      </c>
      <c r="AY233" s="1">
        <v>1.0</v>
      </c>
      <c r="AZ233" s="1" t="s">
        <v>658</v>
      </c>
      <c r="BA233" s="1" t="s">
        <v>659</v>
      </c>
    </row>
    <row r="234">
      <c r="A234" s="1" t="s">
        <v>2050</v>
      </c>
      <c r="B234" s="1" t="s">
        <v>268</v>
      </c>
      <c r="C234" s="1">
        <v>2009.0</v>
      </c>
      <c r="D234" s="1" t="s">
        <v>2051</v>
      </c>
      <c r="E234" s="1" t="s">
        <v>2052</v>
      </c>
      <c r="H234" s="1" t="s">
        <v>2053</v>
      </c>
      <c r="I234" s="1">
        <v>280.0</v>
      </c>
      <c r="K234" s="2" t="s">
        <v>1767</v>
      </c>
      <c r="L234" s="2" t="s">
        <v>60</v>
      </c>
      <c r="M234" s="1" t="s">
        <v>2065</v>
      </c>
      <c r="N234" s="1" t="s">
        <v>62</v>
      </c>
      <c r="O234" s="1" t="s">
        <v>187</v>
      </c>
      <c r="P234" s="1" t="s">
        <v>2055</v>
      </c>
      <c r="Q234" s="1">
        <v>17.4</v>
      </c>
      <c r="R234" s="1">
        <v>-88.066667</v>
      </c>
      <c r="S234" s="1" t="s">
        <v>65</v>
      </c>
      <c r="T234" s="2" t="s">
        <v>135</v>
      </c>
      <c r="U234" s="1" t="s">
        <v>2066</v>
      </c>
      <c r="V234" s="3" t="s">
        <v>138</v>
      </c>
      <c r="W234" s="1" t="s">
        <v>2067</v>
      </c>
      <c r="X234" s="1" t="s">
        <v>483</v>
      </c>
      <c r="Y234" s="6" t="s">
        <v>76</v>
      </c>
      <c r="Z234" s="3" t="s">
        <v>76</v>
      </c>
      <c r="AB234" s="1">
        <v>7.0</v>
      </c>
      <c r="AI234" s="1" t="s">
        <v>2057</v>
      </c>
      <c r="AJ234" s="1">
        <v>-6150.0</v>
      </c>
      <c r="AK234" s="1">
        <v>1950.0</v>
      </c>
      <c r="AL234" s="2" t="s">
        <v>1278</v>
      </c>
      <c r="AM234" s="2" t="s">
        <v>76</v>
      </c>
      <c r="AN234" s="1" t="s">
        <v>238</v>
      </c>
      <c r="AO234" s="2" t="s">
        <v>72</v>
      </c>
      <c r="AQ234" s="2" t="s">
        <v>75</v>
      </c>
      <c r="AR234" s="2" t="s">
        <v>76</v>
      </c>
      <c r="AS234" s="1">
        <v>1718.0</v>
      </c>
      <c r="AT234" s="1">
        <v>1718.0</v>
      </c>
      <c r="AU234" s="1">
        <v>641.0</v>
      </c>
      <c r="AV234" s="1">
        <v>38.0</v>
      </c>
      <c r="AW234" s="1">
        <v>152.0</v>
      </c>
      <c r="AX234" s="1">
        <v>5103.0</v>
      </c>
      <c r="AY234" s="1">
        <v>1.0</v>
      </c>
      <c r="AZ234" s="1" t="s">
        <v>658</v>
      </c>
      <c r="BA234" s="1" t="s">
        <v>659</v>
      </c>
    </row>
    <row r="235">
      <c r="A235" s="1" t="s">
        <v>2050</v>
      </c>
      <c r="B235" s="1" t="s">
        <v>268</v>
      </c>
      <c r="C235" s="1">
        <v>2009.0</v>
      </c>
      <c r="D235" s="1" t="s">
        <v>2051</v>
      </c>
      <c r="E235" s="1" t="s">
        <v>2052</v>
      </c>
      <c r="H235" s="1" t="s">
        <v>2053</v>
      </c>
      <c r="I235" s="1">
        <v>280.0</v>
      </c>
      <c r="K235" s="2" t="s">
        <v>1767</v>
      </c>
      <c r="L235" s="2" t="s">
        <v>60</v>
      </c>
      <c r="M235" s="1" t="s">
        <v>2068</v>
      </c>
      <c r="N235" s="1" t="s">
        <v>62</v>
      </c>
      <c r="O235" s="1" t="s">
        <v>187</v>
      </c>
      <c r="P235" s="1" t="s">
        <v>2055</v>
      </c>
      <c r="Q235" s="1">
        <v>17.4</v>
      </c>
      <c r="R235" s="1">
        <v>-88.066667</v>
      </c>
      <c r="S235" s="1" t="s">
        <v>65</v>
      </c>
      <c r="T235" s="2" t="s">
        <v>388</v>
      </c>
      <c r="U235" s="1" t="s">
        <v>2066</v>
      </c>
      <c r="V235" s="3" t="s">
        <v>138</v>
      </c>
      <c r="W235" s="1" t="s">
        <v>2069</v>
      </c>
      <c r="X235" s="1" t="s">
        <v>483</v>
      </c>
      <c r="Y235" s="6" t="s">
        <v>76</v>
      </c>
      <c r="Z235" s="3" t="s">
        <v>76</v>
      </c>
      <c r="AB235" s="1">
        <v>7.0</v>
      </c>
      <c r="AI235" s="1" t="s">
        <v>2057</v>
      </c>
      <c r="AJ235" s="1">
        <v>-6150.0</v>
      </c>
      <c r="AK235" s="1">
        <v>1950.0</v>
      </c>
      <c r="AL235" s="2" t="s">
        <v>1278</v>
      </c>
      <c r="AM235" s="2" t="s">
        <v>76</v>
      </c>
      <c r="AN235" s="1" t="s">
        <v>238</v>
      </c>
      <c r="AO235" s="2" t="s">
        <v>72</v>
      </c>
      <c r="AQ235" s="2" t="s">
        <v>75</v>
      </c>
      <c r="AR235" s="2" t="s">
        <v>76</v>
      </c>
      <c r="AS235" s="1">
        <v>1718.0</v>
      </c>
      <c r="AT235" s="1">
        <v>1718.0</v>
      </c>
      <c r="AU235" s="1">
        <v>641.0</v>
      </c>
      <c r="AV235" s="1">
        <v>38.0</v>
      </c>
      <c r="AW235" s="1">
        <v>152.0</v>
      </c>
      <c r="AX235" s="1">
        <v>5103.0</v>
      </c>
      <c r="AY235" s="1">
        <v>1.0</v>
      </c>
      <c r="AZ235" s="1" t="s">
        <v>658</v>
      </c>
      <c r="BA235" s="1" t="s">
        <v>659</v>
      </c>
    </row>
    <row r="236">
      <c r="A236" s="1" t="s">
        <v>1168</v>
      </c>
      <c r="B236" s="1" t="s">
        <v>268</v>
      </c>
      <c r="C236" s="1">
        <v>2009.0</v>
      </c>
      <c r="D236" s="1" t="s">
        <v>1169</v>
      </c>
      <c r="E236" s="1" t="s">
        <v>1170</v>
      </c>
      <c r="H236" s="1" t="s">
        <v>1171</v>
      </c>
      <c r="I236" s="1">
        <v>71.0</v>
      </c>
      <c r="K236" s="2" t="s">
        <v>1172</v>
      </c>
      <c r="L236" s="2" t="s">
        <v>60</v>
      </c>
      <c r="M236" s="1" t="s">
        <v>2070</v>
      </c>
      <c r="N236" s="1" t="s">
        <v>62</v>
      </c>
      <c r="O236" s="1" t="s">
        <v>167</v>
      </c>
      <c r="P236" s="1" t="s">
        <v>512</v>
      </c>
      <c r="Q236" s="1">
        <v>17.0</v>
      </c>
      <c r="R236" s="1">
        <v>-89.916667</v>
      </c>
      <c r="S236" s="1" t="s">
        <v>148</v>
      </c>
      <c r="T236" s="2" t="s">
        <v>66</v>
      </c>
      <c r="U236" s="2" t="s">
        <v>2071</v>
      </c>
      <c r="V236" s="3" t="s">
        <v>171</v>
      </c>
      <c r="W236" s="1" t="s">
        <v>2072</v>
      </c>
      <c r="X236" s="1" t="s">
        <v>70</v>
      </c>
      <c r="Y236" s="5" t="s">
        <v>60</v>
      </c>
      <c r="Z236" s="3" t="s">
        <v>345</v>
      </c>
      <c r="AB236" s="1">
        <v>6.0</v>
      </c>
      <c r="AI236" s="1" t="s">
        <v>1174</v>
      </c>
      <c r="AJ236" s="1">
        <v>-9080.0</v>
      </c>
      <c r="AK236" s="1">
        <v>1950.0</v>
      </c>
      <c r="AL236" s="2" t="s">
        <v>73</v>
      </c>
      <c r="AM236" s="2" t="s">
        <v>72</v>
      </c>
      <c r="AN236" s="2" t="s">
        <v>72</v>
      </c>
      <c r="AO236" s="2" t="s">
        <v>72</v>
      </c>
      <c r="AQ236" s="2" t="s">
        <v>75</v>
      </c>
      <c r="AR236" s="2" t="s">
        <v>76</v>
      </c>
      <c r="AS236" s="1">
        <v>1741.0</v>
      </c>
      <c r="AT236" s="1">
        <v>1741.0</v>
      </c>
      <c r="AU236" s="1">
        <v>702.0</v>
      </c>
      <c r="AV236" s="1">
        <v>39.0</v>
      </c>
      <c r="AW236" s="1">
        <v>141.0</v>
      </c>
      <c r="AX236" s="1">
        <v>5771.0</v>
      </c>
      <c r="AY236" s="1">
        <v>197.0</v>
      </c>
      <c r="AZ236" s="1" t="s">
        <v>133</v>
      </c>
      <c r="BA236" s="1" t="s">
        <v>121</v>
      </c>
    </row>
    <row r="237">
      <c r="A237" s="1" t="s">
        <v>1168</v>
      </c>
      <c r="B237" s="1" t="s">
        <v>268</v>
      </c>
      <c r="C237" s="1">
        <v>2009.0</v>
      </c>
      <c r="D237" s="1" t="s">
        <v>1169</v>
      </c>
      <c r="E237" s="1" t="s">
        <v>1170</v>
      </c>
      <c r="H237" s="1" t="s">
        <v>1171</v>
      </c>
      <c r="I237" s="1">
        <v>71.0</v>
      </c>
      <c r="K237" s="2" t="s">
        <v>1172</v>
      </c>
      <c r="L237" s="2" t="s">
        <v>60</v>
      </c>
      <c r="M237" s="1" t="s">
        <v>2073</v>
      </c>
      <c r="N237" s="1" t="s">
        <v>62</v>
      </c>
      <c r="O237" s="1" t="s">
        <v>167</v>
      </c>
      <c r="P237" s="1" t="s">
        <v>512</v>
      </c>
      <c r="Q237" s="1">
        <v>17.0</v>
      </c>
      <c r="R237" s="1">
        <v>-89.916667</v>
      </c>
      <c r="S237" s="1" t="s">
        <v>148</v>
      </c>
      <c r="T237" s="2" t="s">
        <v>95</v>
      </c>
      <c r="U237" s="2" t="s">
        <v>96</v>
      </c>
      <c r="V237" s="3" t="s">
        <v>97</v>
      </c>
      <c r="W237" s="1" t="s">
        <v>264</v>
      </c>
      <c r="X237" s="1" t="s">
        <v>256</v>
      </c>
      <c r="Y237" s="6" t="s">
        <v>76</v>
      </c>
      <c r="Z237" s="3" t="s">
        <v>76</v>
      </c>
      <c r="AB237" s="1">
        <v>2.0</v>
      </c>
      <c r="AI237" s="1" t="s">
        <v>1174</v>
      </c>
      <c r="AJ237" s="1">
        <v>-8870.0</v>
      </c>
      <c r="AK237" s="1">
        <v>1950.0</v>
      </c>
      <c r="AL237" s="2" t="s">
        <v>73</v>
      </c>
      <c r="AM237" s="2" t="s">
        <v>72</v>
      </c>
      <c r="AN237" s="2" t="s">
        <v>72</v>
      </c>
      <c r="AO237" s="2" t="s">
        <v>72</v>
      </c>
      <c r="AQ237" s="2" t="s">
        <v>75</v>
      </c>
      <c r="AR237" s="2" t="s">
        <v>76</v>
      </c>
      <c r="AS237" s="1">
        <v>1741.0</v>
      </c>
      <c r="AT237" s="1">
        <v>1741.0</v>
      </c>
      <c r="AU237" s="1">
        <v>702.0</v>
      </c>
      <c r="AV237" s="1">
        <v>39.0</v>
      </c>
      <c r="AW237" s="1">
        <v>141.0</v>
      </c>
      <c r="AX237" s="1">
        <v>5771.0</v>
      </c>
      <c r="AY237" s="1">
        <v>197.0</v>
      </c>
      <c r="AZ237" s="1" t="s">
        <v>133</v>
      </c>
      <c r="BA237" s="1" t="s">
        <v>121</v>
      </c>
    </row>
    <row r="238">
      <c r="A238" s="1" t="s">
        <v>1168</v>
      </c>
      <c r="B238" s="1" t="s">
        <v>268</v>
      </c>
      <c r="C238" s="1">
        <v>2009.0</v>
      </c>
      <c r="D238" s="1" t="s">
        <v>1169</v>
      </c>
      <c r="E238" s="1" t="s">
        <v>1170</v>
      </c>
      <c r="H238" s="1" t="s">
        <v>1171</v>
      </c>
      <c r="I238" s="1">
        <v>71.0</v>
      </c>
      <c r="K238" s="2" t="s">
        <v>1172</v>
      </c>
      <c r="L238" s="2" t="s">
        <v>60</v>
      </c>
      <c r="M238" s="1" t="s">
        <v>2074</v>
      </c>
      <c r="N238" s="1" t="s">
        <v>62</v>
      </c>
      <c r="O238" s="1" t="s">
        <v>167</v>
      </c>
      <c r="P238" s="1" t="s">
        <v>512</v>
      </c>
      <c r="Q238" s="1">
        <v>17.0</v>
      </c>
      <c r="R238" s="1">
        <v>-89.916667</v>
      </c>
      <c r="S238" s="1" t="s">
        <v>148</v>
      </c>
      <c r="T238" s="2" t="s">
        <v>135</v>
      </c>
      <c r="U238" s="7" t="s">
        <v>823</v>
      </c>
      <c r="V238" s="3" t="s">
        <v>116</v>
      </c>
      <c r="W238" s="1" t="s">
        <v>264</v>
      </c>
      <c r="X238" s="1" t="s">
        <v>256</v>
      </c>
      <c r="Y238" s="6" t="s">
        <v>76</v>
      </c>
      <c r="Z238" s="3" t="s">
        <v>411</v>
      </c>
      <c r="AB238" s="1">
        <v>6.0</v>
      </c>
      <c r="AI238" s="1" t="s">
        <v>1174</v>
      </c>
      <c r="AJ238" s="1">
        <v>-9080.0</v>
      </c>
      <c r="AK238" s="1">
        <v>1950.0</v>
      </c>
      <c r="AL238" s="2" t="s">
        <v>73</v>
      </c>
      <c r="AM238" s="2" t="s">
        <v>72</v>
      </c>
      <c r="AN238" s="2" t="s">
        <v>72</v>
      </c>
      <c r="AO238" s="2" t="s">
        <v>72</v>
      </c>
      <c r="AQ238" s="2" t="s">
        <v>75</v>
      </c>
      <c r="AR238" s="2" t="s">
        <v>76</v>
      </c>
      <c r="AS238" s="1">
        <v>1741.0</v>
      </c>
      <c r="AT238" s="1">
        <v>1741.0</v>
      </c>
      <c r="AU238" s="1">
        <v>702.0</v>
      </c>
      <c r="AV238" s="1">
        <v>39.0</v>
      </c>
      <c r="AW238" s="1">
        <v>141.0</v>
      </c>
      <c r="AX238" s="1">
        <v>5771.0</v>
      </c>
      <c r="AY238" s="1">
        <v>197.0</v>
      </c>
      <c r="AZ238" s="1" t="s">
        <v>133</v>
      </c>
      <c r="BA238" s="1" t="s">
        <v>121</v>
      </c>
    </row>
    <row r="239">
      <c r="A239" s="1" t="s">
        <v>1168</v>
      </c>
      <c r="B239" s="1" t="s">
        <v>268</v>
      </c>
      <c r="C239" s="1">
        <v>2009.0</v>
      </c>
      <c r="D239" s="1" t="s">
        <v>1169</v>
      </c>
      <c r="E239" s="1" t="s">
        <v>1170</v>
      </c>
      <c r="H239" s="1" t="s">
        <v>1171</v>
      </c>
      <c r="I239" s="1">
        <v>71.0</v>
      </c>
      <c r="K239" s="2" t="s">
        <v>1172</v>
      </c>
      <c r="L239" s="2" t="s">
        <v>60</v>
      </c>
      <c r="M239" s="1" t="s">
        <v>2075</v>
      </c>
      <c r="N239" s="1" t="s">
        <v>62</v>
      </c>
      <c r="O239" s="1" t="s">
        <v>167</v>
      </c>
      <c r="P239" s="1" t="s">
        <v>512</v>
      </c>
      <c r="Q239" s="1">
        <v>17.0</v>
      </c>
      <c r="R239" s="1">
        <v>-89.916667</v>
      </c>
      <c r="S239" s="1" t="s">
        <v>148</v>
      </c>
      <c r="T239" s="2" t="s">
        <v>189</v>
      </c>
      <c r="U239" s="2" t="s">
        <v>96</v>
      </c>
      <c r="V239" s="3" t="s">
        <v>97</v>
      </c>
      <c r="W239" s="1" t="s">
        <v>2076</v>
      </c>
      <c r="X239" s="1" t="s">
        <v>70</v>
      </c>
      <c r="Y239" s="6" t="s">
        <v>76</v>
      </c>
      <c r="Z239" s="3" t="s">
        <v>76</v>
      </c>
      <c r="AB239" s="1">
        <v>6.0</v>
      </c>
      <c r="AI239" s="1" t="s">
        <v>1174</v>
      </c>
      <c r="AJ239" s="1">
        <v>-9080.0</v>
      </c>
      <c r="AK239" s="1">
        <v>1950.0</v>
      </c>
      <c r="AL239" s="2" t="s">
        <v>73</v>
      </c>
      <c r="AM239" s="2" t="s">
        <v>72</v>
      </c>
      <c r="AN239" s="2" t="s">
        <v>72</v>
      </c>
      <c r="AO239" s="2" t="s">
        <v>72</v>
      </c>
      <c r="AQ239" s="2" t="s">
        <v>75</v>
      </c>
      <c r="AR239" s="2" t="s">
        <v>76</v>
      </c>
      <c r="AS239" s="1">
        <v>1741.0</v>
      </c>
      <c r="AT239" s="1">
        <v>1741.0</v>
      </c>
      <c r="AU239" s="1">
        <v>702.0</v>
      </c>
      <c r="AV239" s="1">
        <v>39.0</v>
      </c>
      <c r="AW239" s="1">
        <v>141.0</v>
      </c>
      <c r="AX239" s="1">
        <v>5771.0</v>
      </c>
      <c r="AY239" s="1">
        <v>197.0</v>
      </c>
      <c r="AZ239" s="1" t="s">
        <v>133</v>
      </c>
      <c r="BA239" s="1" t="s">
        <v>121</v>
      </c>
    </row>
    <row r="240">
      <c r="A240" s="1" t="s">
        <v>1168</v>
      </c>
      <c r="B240" s="1" t="s">
        <v>268</v>
      </c>
      <c r="C240" s="1">
        <v>2009.0</v>
      </c>
      <c r="D240" s="1" t="s">
        <v>1169</v>
      </c>
      <c r="E240" s="1" t="s">
        <v>1170</v>
      </c>
      <c r="H240" s="1" t="s">
        <v>1171</v>
      </c>
      <c r="I240" s="1">
        <v>71.0</v>
      </c>
      <c r="K240" s="2" t="s">
        <v>1172</v>
      </c>
      <c r="L240" s="2" t="s">
        <v>60</v>
      </c>
      <c r="M240" s="1" t="s">
        <v>2077</v>
      </c>
      <c r="N240" s="1" t="s">
        <v>62</v>
      </c>
      <c r="O240" s="1" t="s">
        <v>167</v>
      </c>
      <c r="P240" s="1" t="s">
        <v>512</v>
      </c>
      <c r="Q240" s="1">
        <v>17.0</v>
      </c>
      <c r="R240" s="1">
        <v>-89.916667</v>
      </c>
      <c r="S240" s="1" t="s">
        <v>148</v>
      </c>
      <c r="T240" s="2" t="s">
        <v>189</v>
      </c>
      <c r="U240" s="2" t="s">
        <v>96</v>
      </c>
      <c r="V240" s="3" t="s">
        <v>97</v>
      </c>
      <c r="W240" s="1" t="s">
        <v>2076</v>
      </c>
      <c r="X240" s="1" t="s">
        <v>70</v>
      </c>
      <c r="Y240" s="6" t="s">
        <v>76</v>
      </c>
      <c r="Z240" s="3" t="s">
        <v>76</v>
      </c>
      <c r="AB240" s="1">
        <v>2.0</v>
      </c>
      <c r="AI240" s="1" t="s">
        <v>1174</v>
      </c>
      <c r="AJ240" s="1">
        <v>-8870.0</v>
      </c>
      <c r="AK240" s="1">
        <v>1950.0</v>
      </c>
      <c r="AL240" s="2" t="s">
        <v>73</v>
      </c>
      <c r="AM240" s="2" t="s">
        <v>72</v>
      </c>
      <c r="AN240" s="2" t="s">
        <v>72</v>
      </c>
      <c r="AO240" s="2" t="s">
        <v>72</v>
      </c>
      <c r="AQ240" s="2" t="s">
        <v>75</v>
      </c>
      <c r="AR240" s="2" t="s">
        <v>76</v>
      </c>
      <c r="AS240" s="1">
        <v>1741.0</v>
      </c>
      <c r="AT240" s="1">
        <v>1741.0</v>
      </c>
      <c r="AU240" s="1">
        <v>702.0</v>
      </c>
      <c r="AV240" s="1">
        <v>39.0</v>
      </c>
      <c r="AW240" s="1">
        <v>141.0</v>
      </c>
      <c r="AX240" s="1">
        <v>5771.0</v>
      </c>
      <c r="AY240" s="1">
        <v>197.0</v>
      </c>
      <c r="AZ240" s="1" t="s">
        <v>133</v>
      </c>
      <c r="BA240" s="1" t="s">
        <v>121</v>
      </c>
    </row>
    <row r="241">
      <c r="A241" s="1" t="s">
        <v>1168</v>
      </c>
      <c r="B241" s="1" t="s">
        <v>268</v>
      </c>
      <c r="C241" s="1">
        <v>2009.0</v>
      </c>
      <c r="D241" s="1" t="s">
        <v>1169</v>
      </c>
      <c r="E241" s="1" t="s">
        <v>1170</v>
      </c>
      <c r="H241" s="1" t="s">
        <v>1171</v>
      </c>
      <c r="I241" s="1">
        <v>71.0</v>
      </c>
      <c r="K241" s="2" t="s">
        <v>1172</v>
      </c>
      <c r="L241" s="2" t="s">
        <v>60</v>
      </c>
      <c r="M241" s="1" t="s">
        <v>2078</v>
      </c>
      <c r="N241" s="1" t="s">
        <v>62</v>
      </c>
      <c r="O241" s="1" t="s">
        <v>167</v>
      </c>
      <c r="P241" s="1" t="s">
        <v>512</v>
      </c>
      <c r="Q241" s="1">
        <v>17.0</v>
      </c>
      <c r="R241" s="1">
        <v>-89.916667</v>
      </c>
      <c r="S241" s="1" t="s">
        <v>148</v>
      </c>
      <c r="T241" s="2" t="s">
        <v>189</v>
      </c>
      <c r="U241" s="2" t="s">
        <v>96</v>
      </c>
      <c r="V241" s="3" t="s">
        <v>97</v>
      </c>
      <c r="W241" s="1" t="s">
        <v>2076</v>
      </c>
      <c r="X241" s="1" t="s">
        <v>70</v>
      </c>
      <c r="Y241" s="6" t="s">
        <v>76</v>
      </c>
      <c r="Z241" s="3" t="s">
        <v>76</v>
      </c>
      <c r="AB241" s="1">
        <v>12.0</v>
      </c>
      <c r="AI241" s="1" t="s">
        <v>1177</v>
      </c>
      <c r="AJ241" s="1">
        <v>-8965.0</v>
      </c>
      <c r="AK241" s="1">
        <v>1950.0</v>
      </c>
      <c r="AL241" s="2" t="s">
        <v>73</v>
      </c>
      <c r="AM241" s="2" t="s">
        <v>72</v>
      </c>
      <c r="AN241" s="2" t="s">
        <v>72</v>
      </c>
      <c r="AO241" s="2" t="s">
        <v>72</v>
      </c>
      <c r="AQ241" s="2" t="s">
        <v>75</v>
      </c>
      <c r="AR241" s="2" t="s">
        <v>76</v>
      </c>
      <c r="AS241" s="1">
        <v>1741.0</v>
      </c>
      <c r="AT241" s="1">
        <v>1741.0</v>
      </c>
      <c r="AU241" s="1">
        <v>702.0</v>
      </c>
      <c r="AV241" s="1">
        <v>39.0</v>
      </c>
      <c r="AW241" s="1">
        <v>141.0</v>
      </c>
      <c r="AX241" s="1">
        <v>5771.0</v>
      </c>
      <c r="AY241" s="1">
        <v>197.0</v>
      </c>
      <c r="AZ241" s="1" t="s">
        <v>133</v>
      </c>
      <c r="BA241" s="1" t="s">
        <v>121</v>
      </c>
    </row>
    <row r="242">
      <c r="A242" s="1" t="s">
        <v>1168</v>
      </c>
      <c r="B242" s="1" t="s">
        <v>268</v>
      </c>
      <c r="C242" s="1">
        <v>2009.0</v>
      </c>
      <c r="D242" s="1" t="s">
        <v>1169</v>
      </c>
      <c r="E242" s="1" t="s">
        <v>1170</v>
      </c>
      <c r="H242" s="1" t="s">
        <v>1171</v>
      </c>
      <c r="I242" s="1">
        <v>71.0</v>
      </c>
      <c r="K242" s="2" t="s">
        <v>1172</v>
      </c>
      <c r="L242" s="2" t="s">
        <v>60</v>
      </c>
      <c r="M242" s="1" t="s">
        <v>2079</v>
      </c>
      <c r="N242" s="1" t="s">
        <v>62</v>
      </c>
      <c r="O242" s="1" t="s">
        <v>167</v>
      </c>
      <c r="P242" s="1" t="s">
        <v>512</v>
      </c>
      <c r="Q242" s="1">
        <v>17.0</v>
      </c>
      <c r="R242" s="1">
        <v>-89.916667</v>
      </c>
      <c r="S242" s="1" t="s">
        <v>148</v>
      </c>
      <c r="T242" s="2" t="s">
        <v>169</v>
      </c>
      <c r="U242" s="2" t="s">
        <v>96</v>
      </c>
      <c r="V242" s="3" t="s">
        <v>97</v>
      </c>
      <c r="W242" s="2" t="s">
        <v>2080</v>
      </c>
      <c r="X242" s="2" t="s">
        <v>2081</v>
      </c>
      <c r="Y242" s="6" t="s">
        <v>76</v>
      </c>
      <c r="Z242" s="3" t="s">
        <v>76</v>
      </c>
      <c r="AB242" s="1">
        <v>2.0</v>
      </c>
      <c r="AI242" s="1" t="s">
        <v>1174</v>
      </c>
      <c r="AJ242" s="1">
        <v>-8870.0</v>
      </c>
      <c r="AK242" s="1">
        <v>1950.0</v>
      </c>
      <c r="AL242" s="2" t="s">
        <v>73</v>
      </c>
      <c r="AM242" s="2" t="s">
        <v>72</v>
      </c>
      <c r="AN242" s="2" t="s">
        <v>72</v>
      </c>
      <c r="AO242" s="2" t="s">
        <v>72</v>
      </c>
      <c r="AQ242" s="2" t="s">
        <v>75</v>
      </c>
      <c r="AR242" s="2" t="s">
        <v>76</v>
      </c>
      <c r="AS242" s="1">
        <v>1741.0</v>
      </c>
      <c r="AT242" s="1">
        <v>1741.0</v>
      </c>
      <c r="AU242" s="1">
        <v>702.0</v>
      </c>
      <c r="AV242" s="1">
        <v>39.0</v>
      </c>
      <c r="AW242" s="1">
        <v>141.0</v>
      </c>
      <c r="AX242" s="1">
        <v>5771.0</v>
      </c>
      <c r="AY242" s="1">
        <v>197.0</v>
      </c>
      <c r="AZ242" s="1" t="s">
        <v>133</v>
      </c>
      <c r="BA242" s="1" t="s">
        <v>121</v>
      </c>
    </row>
    <row r="243">
      <c r="A243" s="1" t="s">
        <v>1183</v>
      </c>
      <c r="B243" s="1" t="s">
        <v>53</v>
      </c>
      <c r="C243" s="1">
        <v>2009.0</v>
      </c>
      <c r="D243" s="1" t="s">
        <v>1184</v>
      </c>
      <c r="E243" s="1" t="s">
        <v>1185</v>
      </c>
      <c r="F243" s="1" t="s">
        <v>1186</v>
      </c>
      <c r="G243" s="1" t="s">
        <v>1187</v>
      </c>
      <c r="H243" s="1" t="s">
        <v>1188</v>
      </c>
      <c r="I243" s="1">
        <v>195.0</v>
      </c>
      <c r="J243" s="1">
        <v>43862.0</v>
      </c>
      <c r="K243" s="2" t="s">
        <v>1189</v>
      </c>
      <c r="L243" s="2" t="s">
        <v>60</v>
      </c>
      <c r="M243" s="1" t="s">
        <v>1439</v>
      </c>
      <c r="N243" s="1" t="s">
        <v>62</v>
      </c>
      <c r="O243" s="1" t="s">
        <v>521</v>
      </c>
      <c r="P243" s="1" t="s">
        <v>1440</v>
      </c>
      <c r="Q243" s="1">
        <v>12.045139</v>
      </c>
      <c r="R243" s="1">
        <v>-83.927561</v>
      </c>
      <c r="S243" s="1" t="s">
        <v>148</v>
      </c>
      <c r="T243" s="2" t="s">
        <v>66</v>
      </c>
      <c r="U243" s="3" t="s">
        <v>1441</v>
      </c>
      <c r="V243" s="3" t="s">
        <v>788</v>
      </c>
      <c r="W243" s="1" t="s">
        <v>1442</v>
      </c>
      <c r="X243" s="1" t="s">
        <v>70</v>
      </c>
      <c r="Y243" s="5" t="s">
        <v>76</v>
      </c>
      <c r="Z243" s="3" t="s">
        <v>76</v>
      </c>
      <c r="AB243" s="1">
        <v>5.0</v>
      </c>
      <c r="AI243" s="1" t="s">
        <v>1192</v>
      </c>
      <c r="AJ243" s="1">
        <v>-6070.0</v>
      </c>
      <c r="AK243" s="1">
        <v>-870.0</v>
      </c>
      <c r="AL243" s="2" t="s">
        <v>153</v>
      </c>
      <c r="AM243" s="2" t="s">
        <v>72</v>
      </c>
      <c r="AN243" s="2" t="s">
        <v>400</v>
      </c>
      <c r="AO243" s="2" t="s">
        <v>72</v>
      </c>
      <c r="AQ243" s="2" t="s">
        <v>75</v>
      </c>
      <c r="AR243" s="2" t="s">
        <v>76</v>
      </c>
      <c r="AS243" s="1">
        <v>3416.0</v>
      </c>
      <c r="AT243" s="1">
        <v>3416.0</v>
      </c>
      <c r="AU243" s="1">
        <v>1440.0</v>
      </c>
      <c r="AV243" s="1">
        <v>70.0</v>
      </c>
      <c r="AW243" s="1">
        <v>259.0</v>
      </c>
      <c r="AX243" s="1">
        <v>5332.0</v>
      </c>
      <c r="AY243" s="1">
        <v>8.0</v>
      </c>
      <c r="AZ243" s="1" t="s">
        <v>120</v>
      </c>
      <c r="BA243" s="1" t="s">
        <v>121</v>
      </c>
    </row>
    <row r="244">
      <c r="A244" s="1" t="s">
        <v>1183</v>
      </c>
      <c r="B244" s="1" t="s">
        <v>53</v>
      </c>
      <c r="C244" s="1">
        <v>2009.0</v>
      </c>
      <c r="D244" s="1" t="s">
        <v>1184</v>
      </c>
      <c r="E244" s="1" t="s">
        <v>1185</v>
      </c>
      <c r="F244" s="1" t="s">
        <v>1186</v>
      </c>
      <c r="G244" s="1" t="s">
        <v>1187</v>
      </c>
      <c r="H244" s="1" t="s">
        <v>1188</v>
      </c>
      <c r="I244" s="1">
        <v>195.0</v>
      </c>
      <c r="J244" s="1">
        <v>43862.0</v>
      </c>
      <c r="K244" s="2" t="s">
        <v>1189</v>
      </c>
      <c r="L244" s="2" t="s">
        <v>60</v>
      </c>
      <c r="M244" s="1" t="s">
        <v>1443</v>
      </c>
      <c r="N244" s="1" t="s">
        <v>62</v>
      </c>
      <c r="O244" s="1" t="s">
        <v>521</v>
      </c>
      <c r="P244" s="1" t="s">
        <v>1191</v>
      </c>
      <c r="Q244" s="1">
        <v>12.045139</v>
      </c>
      <c r="R244" s="1">
        <v>-83.927561</v>
      </c>
      <c r="S244" s="1" t="s">
        <v>148</v>
      </c>
      <c r="T244" s="2" t="s">
        <v>189</v>
      </c>
      <c r="U244" s="2" t="s">
        <v>1266</v>
      </c>
      <c r="V244" s="3" t="s">
        <v>97</v>
      </c>
      <c r="W244" s="1" t="s">
        <v>1444</v>
      </c>
      <c r="X244" s="1" t="s">
        <v>70</v>
      </c>
      <c r="Y244" s="6" t="s">
        <v>76</v>
      </c>
      <c r="Z244" s="3" t="s">
        <v>76</v>
      </c>
      <c r="AB244" s="1">
        <v>5.0</v>
      </c>
      <c r="AI244" s="1" t="s">
        <v>1192</v>
      </c>
      <c r="AJ244" s="1">
        <v>-6070.0</v>
      </c>
      <c r="AK244" s="1">
        <v>-870.0</v>
      </c>
      <c r="AL244" s="2" t="s">
        <v>153</v>
      </c>
      <c r="AM244" s="2" t="s">
        <v>72</v>
      </c>
      <c r="AN244" s="2" t="s">
        <v>400</v>
      </c>
      <c r="AO244" s="2" t="s">
        <v>72</v>
      </c>
      <c r="AQ244" s="2" t="s">
        <v>75</v>
      </c>
      <c r="AR244" s="2" t="s">
        <v>76</v>
      </c>
      <c r="AS244" s="1">
        <v>3416.0</v>
      </c>
      <c r="AT244" s="1">
        <v>3416.0</v>
      </c>
      <c r="AU244" s="1">
        <v>1440.0</v>
      </c>
      <c r="AV244" s="1">
        <v>70.0</v>
      </c>
      <c r="AW244" s="1">
        <v>259.0</v>
      </c>
      <c r="AX244" s="1">
        <v>5332.0</v>
      </c>
      <c r="AY244" s="1">
        <v>8.0</v>
      </c>
      <c r="AZ244" s="1" t="s">
        <v>120</v>
      </c>
      <c r="BA244" s="1" t="s">
        <v>121</v>
      </c>
    </row>
    <row r="245">
      <c r="A245" s="1" t="s">
        <v>1183</v>
      </c>
      <c r="B245" s="1" t="s">
        <v>53</v>
      </c>
      <c r="C245" s="1">
        <v>2009.0</v>
      </c>
      <c r="D245" s="1" t="s">
        <v>1184</v>
      </c>
      <c r="E245" s="1" t="s">
        <v>1185</v>
      </c>
      <c r="F245" s="1" t="s">
        <v>1186</v>
      </c>
      <c r="G245" s="1" t="s">
        <v>1187</v>
      </c>
      <c r="H245" s="1" t="s">
        <v>1188</v>
      </c>
      <c r="I245" s="1">
        <v>195.0</v>
      </c>
      <c r="J245" s="1">
        <v>43862.0</v>
      </c>
      <c r="K245" s="2" t="s">
        <v>1189</v>
      </c>
      <c r="L245" s="2" t="s">
        <v>60</v>
      </c>
      <c r="M245" s="1" t="s">
        <v>1445</v>
      </c>
      <c r="N245" s="1" t="s">
        <v>62</v>
      </c>
      <c r="O245" s="1" t="s">
        <v>521</v>
      </c>
      <c r="P245" s="1" t="s">
        <v>1440</v>
      </c>
      <c r="Q245" s="1">
        <v>12.045139</v>
      </c>
      <c r="R245" s="1">
        <v>-83.927561</v>
      </c>
      <c r="S245" s="1" t="s">
        <v>148</v>
      </c>
      <c r="T245" s="2" t="s">
        <v>599</v>
      </c>
      <c r="U245" s="1" t="s">
        <v>156</v>
      </c>
      <c r="V245" s="3" t="s">
        <v>788</v>
      </c>
      <c r="W245" s="2" t="s">
        <v>72</v>
      </c>
      <c r="X245" s="2" t="s">
        <v>72</v>
      </c>
      <c r="Y245" s="6" t="s">
        <v>76</v>
      </c>
      <c r="Z245" s="3" t="s">
        <v>76</v>
      </c>
      <c r="AB245" s="1">
        <v>5.0</v>
      </c>
      <c r="AI245" s="1" t="s">
        <v>1192</v>
      </c>
      <c r="AJ245" s="1">
        <v>-1880.0</v>
      </c>
      <c r="AK245" s="1">
        <v>-870.0</v>
      </c>
      <c r="AL245" s="2" t="s">
        <v>153</v>
      </c>
      <c r="AM245" s="2" t="s">
        <v>72</v>
      </c>
      <c r="AN245" s="2" t="s">
        <v>400</v>
      </c>
      <c r="AO245" s="2" t="s">
        <v>72</v>
      </c>
      <c r="AQ245" s="2" t="s">
        <v>75</v>
      </c>
      <c r="AR245" s="2" t="s">
        <v>76</v>
      </c>
      <c r="AS245" s="1">
        <v>3416.0</v>
      </c>
      <c r="AT245" s="1">
        <v>3416.0</v>
      </c>
      <c r="AU245" s="1">
        <v>1440.0</v>
      </c>
      <c r="AV245" s="1">
        <v>70.0</v>
      </c>
      <c r="AW245" s="1">
        <v>259.0</v>
      </c>
      <c r="AX245" s="1">
        <v>5332.0</v>
      </c>
      <c r="AY245" s="1">
        <v>8.0</v>
      </c>
      <c r="AZ245" s="1" t="s">
        <v>120</v>
      </c>
      <c r="BA245" s="1" t="s">
        <v>121</v>
      </c>
    </row>
    <row r="246">
      <c r="A246" s="1" t="s">
        <v>2082</v>
      </c>
      <c r="B246" s="1" t="s">
        <v>268</v>
      </c>
      <c r="C246" s="1">
        <v>2010.0</v>
      </c>
      <c r="D246" s="1" t="s">
        <v>2083</v>
      </c>
      <c r="E246" s="1" t="s">
        <v>2084</v>
      </c>
      <c r="H246" s="1" t="s">
        <v>2085</v>
      </c>
      <c r="I246" s="1">
        <v>160.0</v>
      </c>
      <c r="K246" s="2" t="s">
        <v>2086</v>
      </c>
      <c r="L246" s="2" t="s">
        <v>60</v>
      </c>
      <c r="M246" s="1" t="s">
        <v>2087</v>
      </c>
      <c r="N246" s="1" t="s">
        <v>62</v>
      </c>
      <c r="O246" s="1" t="s">
        <v>92</v>
      </c>
      <c r="P246" s="1" t="s">
        <v>2088</v>
      </c>
      <c r="Q246" s="1">
        <v>19.296933</v>
      </c>
      <c r="R246" s="1">
        <v>-88.070139</v>
      </c>
      <c r="S246" s="1" t="s">
        <v>148</v>
      </c>
      <c r="T246" s="2" t="s">
        <v>66</v>
      </c>
      <c r="U246" s="3" t="s">
        <v>2089</v>
      </c>
      <c r="V246" s="3" t="s">
        <v>171</v>
      </c>
      <c r="W246" s="1" t="s">
        <v>2090</v>
      </c>
      <c r="X246" s="1" t="s">
        <v>70</v>
      </c>
      <c r="Y246" s="6" t="s">
        <v>60</v>
      </c>
      <c r="Z246" s="3" t="s">
        <v>345</v>
      </c>
      <c r="AB246" s="1">
        <v>2.0</v>
      </c>
      <c r="AI246" s="1" t="s">
        <v>1684</v>
      </c>
      <c r="AJ246" s="1">
        <v>-5950.0</v>
      </c>
      <c r="AK246" s="1">
        <v>1950.0</v>
      </c>
      <c r="AL246" s="2" t="s">
        <v>100</v>
      </c>
      <c r="AM246" s="2" t="s">
        <v>72</v>
      </c>
      <c r="AN246" s="1" t="s">
        <v>2091</v>
      </c>
      <c r="AO246" s="2" t="s">
        <v>72</v>
      </c>
      <c r="AQ246" s="2" t="s">
        <v>576</v>
      </c>
      <c r="AR246" s="2" t="s">
        <v>76</v>
      </c>
      <c r="AS246" s="1">
        <v>1305.0</v>
      </c>
      <c r="AT246" s="1">
        <v>1305.0</v>
      </c>
      <c r="AU246" s="1">
        <v>517.0</v>
      </c>
      <c r="AV246" s="1">
        <v>37.0</v>
      </c>
      <c r="AW246" s="1">
        <v>131.0</v>
      </c>
      <c r="AX246" s="1">
        <v>5226.0</v>
      </c>
      <c r="AY246" s="1">
        <v>14.0</v>
      </c>
      <c r="AZ246" s="1" t="s">
        <v>239</v>
      </c>
      <c r="BA246" s="1" t="s">
        <v>121</v>
      </c>
    </row>
    <row r="247">
      <c r="A247" s="1" t="s">
        <v>2082</v>
      </c>
      <c r="B247" s="1" t="s">
        <v>268</v>
      </c>
      <c r="C247" s="1">
        <v>2010.0</v>
      </c>
      <c r="D247" s="1" t="s">
        <v>2083</v>
      </c>
      <c r="E247" s="1" t="s">
        <v>2084</v>
      </c>
      <c r="H247" s="1" t="s">
        <v>2085</v>
      </c>
      <c r="I247" s="1">
        <v>160.0</v>
      </c>
      <c r="K247" s="2" t="s">
        <v>2086</v>
      </c>
      <c r="L247" s="2" t="s">
        <v>60</v>
      </c>
      <c r="M247" s="1" t="s">
        <v>2092</v>
      </c>
      <c r="N247" s="1" t="s">
        <v>62</v>
      </c>
      <c r="O247" s="1" t="s">
        <v>92</v>
      </c>
      <c r="P247" s="1" t="s">
        <v>2088</v>
      </c>
      <c r="Q247" s="1">
        <v>19.296933</v>
      </c>
      <c r="R247" s="1">
        <v>-88.070139</v>
      </c>
      <c r="S247" s="1" t="s">
        <v>148</v>
      </c>
      <c r="T247" s="2" t="s">
        <v>95</v>
      </c>
      <c r="U247" s="2" t="s">
        <v>96</v>
      </c>
      <c r="V247" s="3" t="s">
        <v>97</v>
      </c>
      <c r="W247" s="1" t="s">
        <v>2093</v>
      </c>
      <c r="X247" s="2" t="s">
        <v>70</v>
      </c>
      <c r="Y247" s="6" t="s">
        <v>76</v>
      </c>
      <c r="Z247" s="3" t="s">
        <v>76</v>
      </c>
      <c r="AB247" s="1">
        <v>2.0</v>
      </c>
      <c r="AI247" s="1" t="s">
        <v>1684</v>
      </c>
      <c r="AJ247" s="1">
        <v>-2500.0</v>
      </c>
      <c r="AK247" s="1">
        <v>1500.0</v>
      </c>
      <c r="AL247" s="2" t="s">
        <v>100</v>
      </c>
      <c r="AM247" s="2" t="s">
        <v>72</v>
      </c>
      <c r="AN247" s="1" t="s">
        <v>2091</v>
      </c>
      <c r="AO247" s="2" t="s">
        <v>72</v>
      </c>
      <c r="AQ247" s="2" t="s">
        <v>102</v>
      </c>
      <c r="AR247" s="2" t="s">
        <v>76</v>
      </c>
      <c r="AS247" s="1">
        <v>1305.0</v>
      </c>
      <c r="AT247" s="1">
        <v>1305.0</v>
      </c>
      <c r="AU247" s="1">
        <v>517.0</v>
      </c>
      <c r="AV247" s="1">
        <v>37.0</v>
      </c>
      <c r="AW247" s="1">
        <v>131.0</v>
      </c>
      <c r="AX247" s="1">
        <v>5226.0</v>
      </c>
      <c r="AY247" s="1">
        <v>14.0</v>
      </c>
      <c r="AZ247" s="1" t="s">
        <v>239</v>
      </c>
      <c r="BA247" s="1" t="s">
        <v>121</v>
      </c>
    </row>
    <row r="248">
      <c r="A248" s="1" t="s">
        <v>2082</v>
      </c>
      <c r="B248" s="1" t="s">
        <v>268</v>
      </c>
      <c r="C248" s="1">
        <v>2010.0</v>
      </c>
      <c r="D248" s="1" t="s">
        <v>2083</v>
      </c>
      <c r="E248" s="1" t="s">
        <v>2084</v>
      </c>
      <c r="H248" s="1" t="s">
        <v>2085</v>
      </c>
      <c r="I248" s="1">
        <v>160.0</v>
      </c>
      <c r="K248" s="2" t="s">
        <v>2086</v>
      </c>
      <c r="L248" s="2" t="s">
        <v>60</v>
      </c>
      <c r="M248" s="1" t="s">
        <v>2094</v>
      </c>
      <c r="N248" s="1" t="s">
        <v>62</v>
      </c>
      <c r="O248" s="1" t="s">
        <v>92</v>
      </c>
      <c r="P248" s="1" t="s">
        <v>2088</v>
      </c>
      <c r="Q248" s="1">
        <v>19.296933</v>
      </c>
      <c r="R248" s="1">
        <v>-88.070139</v>
      </c>
      <c r="S248" s="1" t="s">
        <v>148</v>
      </c>
      <c r="T248" s="2" t="s">
        <v>95</v>
      </c>
      <c r="U248" s="2" t="s">
        <v>96</v>
      </c>
      <c r="V248" s="3" t="s">
        <v>97</v>
      </c>
      <c r="W248" s="1" t="s">
        <v>2093</v>
      </c>
      <c r="X248" s="2" t="s">
        <v>70</v>
      </c>
      <c r="Y248" s="6" t="s">
        <v>76</v>
      </c>
      <c r="Z248" s="3" t="s">
        <v>76</v>
      </c>
      <c r="AB248" s="1">
        <v>2.0</v>
      </c>
      <c r="AI248" s="1" t="s">
        <v>1684</v>
      </c>
      <c r="AJ248" s="1">
        <v>-1300.0</v>
      </c>
      <c r="AK248" s="1">
        <v>1100.0</v>
      </c>
      <c r="AL248" s="2" t="s">
        <v>100</v>
      </c>
      <c r="AM248" s="2" t="s">
        <v>72</v>
      </c>
      <c r="AN248" s="1" t="s">
        <v>2091</v>
      </c>
      <c r="AO248" s="2" t="s">
        <v>72</v>
      </c>
      <c r="AQ248" s="2" t="s">
        <v>102</v>
      </c>
      <c r="AR248" s="2" t="s">
        <v>76</v>
      </c>
      <c r="AS248" s="1">
        <v>1305.0</v>
      </c>
      <c r="AT248" s="1">
        <v>1305.0</v>
      </c>
      <c r="AU248" s="1">
        <v>517.0</v>
      </c>
      <c r="AV248" s="1">
        <v>37.0</v>
      </c>
      <c r="AW248" s="1">
        <v>131.0</v>
      </c>
      <c r="AX248" s="1">
        <v>5226.0</v>
      </c>
      <c r="AY248" s="1">
        <v>14.0</v>
      </c>
      <c r="AZ248" s="1" t="s">
        <v>239</v>
      </c>
      <c r="BA248" s="1" t="s">
        <v>121</v>
      </c>
    </row>
    <row r="249">
      <c r="A249" s="1" t="s">
        <v>1402</v>
      </c>
      <c r="B249" s="1" t="s">
        <v>53</v>
      </c>
      <c r="C249" s="1">
        <v>2010.0</v>
      </c>
      <c r="D249" s="1" t="s">
        <v>1403</v>
      </c>
      <c r="E249" s="1" t="s">
        <v>1404</v>
      </c>
      <c r="F249" s="1" t="s">
        <v>1395</v>
      </c>
      <c r="G249" s="1" t="s">
        <v>1405</v>
      </c>
      <c r="H249" s="1" t="s">
        <v>1406</v>
      </c>
      <c r="I249" s="1">
        <v>107.0</v>
      </c>
      <c r="J249" s="1">
        <v>3.0</v>
      </c>
      <c r="K249" s="2" t="s">
        <v>1407</v>
      </c>
      <c r="L249" s="2" t="s">
        <v>76</v>
      </c>
      <c r="M249" s="1" t="s">
        <v>1402</v>
      </c>
      <c r="N249" s="1" t="s">
        <v>62</v>
      </c>
      <c r="O249" s="1" t="s">
        <v>63</v>
      </c>
      <c r="P249" s="1" t="s">
        <v>1234</v>
      </c>
      <c r="Q249" s="1">
        <v>14.870485</v>
      </c>
      <c r="R249" s="1">
        <v>-89.117181</v>
      </c>
      <c r="S249" s="1" t="s">
        <v>148</v>
      </c>
      <c r="T249" s="2" t="s">
        <v>66</v>
      </c>
      <c r="U249" s="3" t="s">
        <v>67</v>
      </c>
      <c r="V249" s="3" t="s">
        <v>68</v>
      </c>
      <c r="W249" s="1" t="s">
        <v>69</v>
      </c>
      <c r="X249" s="1" t="s">
        <v>70</v>
      </c>
      <c r="Y249" s="5" t="s">
        <v>60</v>
      </c>
      <c r="Z249" s="3" t="s">
        <v>71</v>
      </c>
      <c r="AB249" s="1">
        <v>6.0</v>
      </c>
      <c r="AH249" s="1">
        <v>1.0</v>
      </c>
      <c r="AI249" s="1" t="s">
        <v>1408</v>
      </c>
      <c r="AJ249" s="1">
        <v>-720.0</v>
      </c>
      <c r="AK249" s="1">
        <v>2001.0</v>
      </c>
      <c r="AL249" s="2" t="s">
        <v>73</v>
      </c>
      <c r="AM249" s="2" t="s">
        <v>60</v>
      </c>
      <c r="AN249" s="2" t="s">
        <v>72</v>
      </c>
      <c r="AO249" s="2" t="s">
        <v>76</v>
      </c>
      <c r="AQ249" s="2" t="s">
        <v>75</v>
      </c>
      <c r="AR249" s="2" t="s">
        <v>60</v>
      </c>
      <c r="AS249" s="1">
        <v>1510.0</v>
      </c>
      <c r="AT249" s="1">
        <v>1510.0</v>
      </c>
      <c r="AU249" s="1">
        <v>719.0</v>
      </c>
      <c r="AV249" s="1">
        <v>20.0</v>
      </c>
      <c r="AW249" s="1">
        <v>74.0</v>
      </c>
      <c r="AX249" s="1">
        <v>7799.0</v>
      </c>
      <c r="AY249" s="1">
        <v>784.0</v>
      </c>
      <c r="AZ249" s="1" t="s">
        <v>77</v>
      </c>
      <c r="BA249" s="1" t="s">
        <v>78</v>
      </c>
    </row>
    <row r="250">
      <c r="A250" s="1" t="s">
        <v>248</v>
      </c>
      <c r="B250" s="1" t="s">
        <v>53</v>
      </c>
      <c r="C250" s="1">
        <v>2010.0</v>
      </c>
      <c r="D250" s="1" t="s">
        <v>249</v>
      </c>
      <c r="E250" s="1" t="s">
        <v>250</v>
      </c>
      <c r="F250" s="1" t="s">
        <v>251</v>
      </c>
      <c r="G250" s="1" t="s">
        <v>252</v>
      </c>
      <c r="H250" s="1" t="s">
        <v>253</v>
      </c>
      <c r="I250" s="1">
        <v>298.0</v>
      </c>
      <c r="J250" s="1">
        <v>43862.0</v>
      </c>
      <c r="K250" s="2" t="s">
        <v>254</v>
      </c>
      <c r="L250" s="2" t="s">
        <v>76</v>
      </c>
      <c r="M250" s="1" t="s">
        <v>248</v>
      </c>
      <c r="N250" s="1" t="s">
        <v>62</v>
      </c>
      <c r="O250" s="1" t="s">
        <v>92</v>
      </c>
      <c r="P250" s="1" t="s">
        <v>255</v>
      </c>
      <c r="Q250" s="1">
        <v>20.75</v>
      </c>
      <c r="R250" s="1">
        <v>-89.466667</v>
      </c>
      <c r="S250" s="1" t="s">
        <v>94</v>
      </c>
      <c r="T250" s="2" t="s">
        <v>95</v>
      </c>
      <c r="U250" s="2" t="s">
        <v>96</v>
      </c>
      <c r="V250" s="3" t="s">
        <v>97</v>
      </c>
      <c r="W250" s="2" t="s">
        <v>72</v>
      </c>
      <c r="X250" s="1" t="s">
        <v>256</v>
      </c>
      <c r="Y250" s="6" t="s">
        <v>76</v>
      </c>
      <c r="Z250" s="3" t="s">
        <v>76</v>
      </c>
      <c r="AF250" s="1">
        <v>12.0</v>
      </c>
      <c r="AJ250" s="1">
        <v>500.0</v>
      </c>
      <c r="AK250" s="1">
        <v>2004.0</v>
      </c>
      <c r="AL250" s="2" t="s">
        <v>153</v>
      </c>
      <c r="AM250" s="2" t="s">
        <v>60</v>
      </c>
      <c r="AN250" s="2" t="s">
        <v>101</v>
      </c>
      <c r="AO250" s="2" t="s">
        <v>101</v>
      </c>
      <c r="AQ250" s="2" t="s">
        <v>102</v>
      </c>
      <c r="AR250" s="2" t="s">
        <v>60</v>
      </c>
      <c r="AS250" s="1">
        <v>1029.0</v>
      </c>
      <c r="AT250" s="1">
        <v>1029.0</v>
      </c>
      <c r="AU250" s="1">
        <v>506.0</v>
      </c>
      <c r="AV250" s="1">
        <v>23.0</v>
      </c>
      <c r="AW250" s="1">
        <v>78.0</v>
      </c>
      <c r="AX250" s="1">
        <v>7200.0</v>
      </c>
      <c r="AY250" s="1">
        <v>15.0</v>
      </c>
      <c r="AZ250" s="1" t="s">
        <v>103</v>
      </c>
      <c r="BA250" s="1" t="s">
        <v>104</v>
      </c>
    </row>
    <row r="251">
      <c r="A251" s="1" t="s">
        <v>505</v>
      </c>
      <c r="B251" s="1" t="s">
        <v>53</v>
      </c>
      <c r="C251" s="1">
        <v>2010.0</v>
      </c>
      <c r="D251" s="1" t="s">
        <v>506</v>
      </c>
      <c r="E251" s="1" t="s">
        <v>507</v>
      </c>
      <c r="F251" s="1" t="s">
        <v>488</v>
      </c>
      <c r="G251" s="1" t="s">
        <v>508</v>
      </c>
      <c r="H251" s="1" t="s">
        <v>509</v>
      </c>
      <c r="I251" s="1">
        <v>38.0</v>
      </c>
      <c r="J251" s="1">
        <v>6.0</v>
      </c>
      <c r="K251" s="2" t="s">
        <v>510</v>
      </c>
      <c r="L251" s="2" t="s">
        <v>60</v>
      </c>
      <c r="M251" s="1" t="s">
        <v>511</v>
      </c>
      <c r="N251" s="1" t="s">
        <v>62</v>
      </c>
      <c r="O251" s="1" t="s">
        <v>167</v>
      </c>
      <c r="P251" s="1" t="s">
        <v>512</v>
      </c>
      <c r="Q251" s="1">
        <v>16.916667</v>
      </c>
      <c r="R251" s="1">
        <v>-89.833333</v>
      </c>
      <c r="S251" s="1" t="s">
        <v>148</v>
      </c>
      <c r="T251" s="2" t="s">
        <v>66</v>
      </c>
      <c r="U251" s="3" t="s">
        <v>513</v>
      </c>
      <c r="V251" s="3" t="s">
        <v>171</v>
      </c>
      <c r="W251" s="2" t="s">
        <v>72</v>
      </c>
      <c r="X251" s="1" t="s">
        <v>70</v>
      </c>
      <c r="Y251" s="5" t="s">
        <v>76</v>
      </c>
      <c r="Z251" s="3" t="s">
        <v>316</v>
      </c>
      <c r="AB251" s="1">
        <v>4.0</v>
      </c>
      <c r="AI251" s="1" t="s">
        <v>514</v>
      </c>
      <c r="AJ251" s="1">
        <v>880.0</v>
      </c>
      <c r="AK251" s="1">
        <v>1999.0</v>
      </c>
      <c r="AL251" s="3" t="s">
        <v>73</v>
      </c>
      <c r="AM251" s="2" t="s">
        <v>72</v>
      </c>
      <c r="AN251" s="2" t="s">
        <v>72</v>
      </c>
      <c r="AO251" s="2" t="s">
        <v>76</v>
      </c>
      <c r="AQ251" s="2" t="s">
        <v>75</v>
      </c>
      <c r="AR251" s="2" t="s">
        <v>76</v>
      </c>
      <c r="AS251" s="1">
        <v>1738.0</v>
      </c>
      <c r="AT251" s="1">
        <v>1738.0</v>
      </c>
      <c r="AU251" s="1">
        <v>690.0</v>
      </c>
      <c r="AV251" s="1">
        <v>36.0</v>
      </c>
      <c r="AW251" s="1">
        <v>144.0</v>
      </c>
      <c r="AX251" s="1">
        <v>5677.0</v>
      </c>
      <c r="AY251" s="1">
        <v>131.0</v>
      </c>
      <c r="AZ251" s="1" t="s">
        <v>133</v>
      </c>
      <c r="BA251" s="1" t="s">
        <v>121</v>
      </c>
    </row>
    <row r="252">
      <c r="A252" s="1" t="s">
        <v>1203</v>
      </c>
      <c r="B252" s="1" t="s">
        <v>53</v>
      </c>
      <c r="C252" s="1">
        <v>2010.0</v>
      </c>
      <c r="D252" s="1" t="s">
        <v>1204</v>
      </c>
      <c r="E252" s="1" t="s">
        <v>1205</v>
      </c>
      <c r="F252" s="1" t="s">
        <v>1206</v>
      </c>
      <c r="H252" s="1" t="s">
        <v>1207</v>
      </c>
      <c r="I252" s="1">
        <v>27.0</v>
      </c>
      <c r="J252" s="1">
        <v>3.0</v>
      </c>
      <c r="K252" s="2" t="s">
        <v>1208</v>
      </c>
      <c r="L252" s="2" t="s">
        <v>60</v>
      </c>
      <c r="M252" s="1" t="s">
        <v>1789</v>
      </c>
      <c r="N252" s="1" t="s">
        <v>62</v>
      </c>
      <c r="O252" s="1" t="s">
        <v>167</v>
      </c>
      <c r="P252" s="1" t="s">
        <v>512</v>
      </c>
      <c r="Q252" s="1">
        <v>16.916667</v>
      </c>
      <c r="R252" s="1">
        <v>-89.833333</v>
      </c>
      <c r="S252" s="1" t="s">
        <v>148</v>
      </c>
      <c r="T252" s="2" t="s">
        <v>614</v>
      </c>
      <c r="U252" s="2" t="s">
        <v>615</v>
      </c>
      <c r="V252" s="3" t="s">
        <v>97</v>
      </c>
      <c r="W252" s="1" t="s">
        <v>1790</v>
      </c>
      <c r="X252" s="1" t="s">
        <v>1791</v>
      </c>
      <c r="Y252" s="6" t="s">
        <v>76</v>
      </c>
      <c r="Z252" s="3" t="s">
        <v>76</v>
      </c>
      <c r="AD252" s="1">
        <v>17.0</v>
      </c>
      <c r="AJ252" s="1">
        <v>1480.0</v>
      </c>
      <c r="AK252" s="1">
        <v>2005.0</v>
      </c>
      <c r="AL252" s="2" t="s">
        <v>153</v>
      </c>
      <c r="AM252" s="2" t="s">
        <v>72</v>
      </c>
      <c r="AN252" s="2" t="s">
        <v>72</v>
      </c>
      <c r="AO252" s="2" t="s">
        <v>101</v>
      </c>
      <c r="AQ252" s="2" t="s">
        <v>75</v>
      </c>
      <c r="AR252" s="2" t="s">
        <v>76</v>
      </c>
      <c r="AS252" s="1">
        <v>1738.0</v>
      </c>
      <c r="AT252" s="1">
        <v>1738.0</v>
      </c>
      <c r="AU252" s="1">
        <v>690.0</v>
      </c>
      <c r="AV252" s="1">
        <v>36.0</v>
      </c>
      <c r="AW252" s="1">
        <v>144.0</v>
      </c>
      <c r="AX252" s="1">
        <v>5677.0</v>
      </c>
      <c r="AY252" s="1">
        <v>131.0</v>
      </c>
      <c r="AZ252" s="1" t="s">
        <v>133</v>
      </c>
      <c r="BA252" s="1" t="s">
        <v>121</v>
      </c>
    </row>
    <row r="253">
      <c r="A253" s="1" t="s">
        <v>1203</v>
      </c>
      <c r="B253" s="1" t="s">
        <v>53</v>
      </c>
      <c r="C253" s="1">
        <v>2010.0</v>
      </c>
      <c r="D253" s="1" t="s">
        <v>1204</v>
      </c>
      <c r="E253" s="1" t="s">
        <v>1205</v>
      </c>
      <c r="F253" s="1" t="s">
        <v>1206</v>
      </c>
      <c r="H253" s="1" t="s">
        <v>1207</v>
      </c>
      <c r="I253" s="1">
        <v>27.0</v>
      </c>
      <c r="J253" s="1">
        <v>3.0</v>
      </c>
      <c r="K253" s="2" t="s">
        <v>1208</v>
      </c>
      <c r="L253" s="2" t="s">
        <v>60</v>
      </c>
      <c r="M253" s="1" t="s">
        <v>1792</v>
      </c>
      <c r="N253" s="1" t="s">
        <v>62</v>
      </c>
      <c r="O253" s="1" t="s">
        <v>167</v>
      </c>
      <c r="P253" s="1" t="s">
        <v>512</v>
      </c>
      <c r="Q253" s="1">
        <v>16.916667</v>
      </c>
      <c r="R253" s="1">
        <v>-89.833333</v>
      </c>
      <c r="S253" s="1" t="s">
        <v>148</v>
      </c>
      <c r="T253" s="2" t="s">
        <v>169</v>
      </c>
      <c r="U253" s="3" t="s">
        <v>1793</v>
      </c>
      <c r="V253" s="3" t="s">
        <v>171</v>
      </c>
      <c r="W253" s="1" t="s">
        <v>1044</v>
      </c>
      <c r="X253" s="1" t="s">
        <v>1794</v>
      </c>
      <c r="Y253" s="6" t="s">
        <v>76</v>
      </c>
      <c r="Z253" s="3" t="s">
        <v>173</v>
      </c>
      <c r="AD253" s="1">
        <v>15.0</v>
      </c>
      <c r="AJ253" s="1">
        <v>1880.0</v>
      </c>
      <c r="AK253" s="1">
        <v>2005.0</v>
      </c>
      <c r="AL253" s="2" t="s">
        <v>153</v>
      </c>
      <c r="AM253" s="2" t="s">
        <v>72</v>
      </c>
      <c r="AN253" s="2" t="s">
        <v>72</v>
      </c>
      <c r="AO253" s="2" t="s">
        <v>101</v>
      </c>
      <c r="AQ253" s="2" t="s">
        <v>75</v>
      </c>
      <c r="AR253" s="2" t="s">
        <v>76</v>
      </c>
      <c r="AS253" s="1">
        <v>1738.0</v>
      </c>
      <c r="AT253" s="1">
        <v>1738.0</v>
      </c>
      <c r="AU253" s="1">
        <v>690.0</v>
      </c>
      <c r="AV253" s="1">
        <v>36.0</v>
      </c>
      <c r="AW253" s="1">
        <v>144.0</v>
      </c>
      <c r="AX253" s="1">
        <v>5677.0</v>
      </c>
      <c r="AY253" s="1">
        <v>131.0</v>
      </c>
      <c r="AZ253" s="1" t="s">
        <v>133</v>
      </c>
      <c r="BA253" s="1" t="s">
        <v>121</v>
      </c>
    </row>
    <row r="254">
      <c r="A254" s="1" t="s">
        <v>1203</v>
      </c>
      <c r="B254" s="1" t="s">
        <v>53</v>
      </c>
      <c r="C254" s="1">
        <v>2010.0</v>
      </c>
      <c r="D254" s="1" t="s">
        <v>1204</v>
      </c>
      <c r="E254" s="1" t="s">
        <v>1205</v>
      </c>
      <c r="F254" s="1" t="s">
        <v>1206</v>
      </c>
      <c r="H254" s="1" t="s">
        <v>1207</v>
      </c>
      <c r="I254" s="1">
        <v>27.0</v>
      </c>
      <c r="J254" s="1">
        <v>3.0</v>
      </c>
      <c r="K254" s="2" t="s">
        <v>1208</v>
      </c>
      <c r="L254" s="2" t="s">
        <v>60</v>
      </c>
      <c r="M254" s="1" t="s">
        <v>1795</v>
      </c>
      <c r="N254" s="1" t="s">
        <v>62</v>
      </c>
      <c r="O254" s="1" t="s">
        <v>167</v>
      </c>
      <c r="P254" s="1" t="s">
        <v>512</v>
      </c>
      <c r="Q254" s="1">
        <v>16.990249</v>
      </c>
      <c r="R254" s="1">
        <v>-89.814246</v>
      </c>
      <c r="S254" s="1" t="s">
        <v>148</v>
      </c>
      <c r="T254" s="2" t="s">
        <v>614</v>
      </c>
      <c r="U254" s="2" t="s">
        <v>615</v>
      </c>
      <c r="V254" s="3" t="s">
        <v>97</v>
      </c>
      <c r="W254" s="1" t="s">
        <v>1790</v>
      </c>
      <c r="X254" s="1" t="s">
        <v>1791</v>
      </c>
      <c r="Y254" s="6" t="s">
        <v>76</v>
      </c>
      <c r="Z254" s="3" t="s">
        <v>76</v>
      </c>
      <c r="AB254" s="1">
        <v>17.0</v>
      </c>
      <c r="AI254" s="2" t="s">
        <v>72</v>
      </c>
      <c r="AJ254" s="1">
        <v>1880.0</v>
      </c>
      <c r="AK254" s="1">
        <v>2005.0</v>
      </c>
      <c r="AL254" s="2" t="s">
        <v>153</v>
      </c>
      <c r="AM254" s="2" t="s">
        <v>72</v>
      </c>
      <c r="AN254" s="2" t="s">
        <v>72</v>
      </c>
      <c r="AO254" s="2" t="s">
        <v>101</v>
      </c>
      <c r="AQ254" s="2" t="s">
        <v>75</v>
      </c>
      <c r="AR254" s="2" t="s">
        <v>76</v>
      </c>
      <c r="AS254" s="1">
        <v>1660.0</v>
      </c>
      <c r="AT254" s="1">
        <v>1660.0</v>
      </c>
      <c r="AU254" s="1">
        <v>674.0</v>
      </c>
      <c r="AV254" s="1">
        <v>36.0</v>
      </c>
      <c r="AW254" s="1">
        <v>132.0</v>
      </c>
      <c r="AX254" s="1">
        <v>5917.0</v>
      </c>
      <c r="AY254" s="1">
        <v>110.0</v>
      </c>
      <c r="AZ254" s="1" t="s">
        <v>133</v>
      </c>
      <c r="BA254" s="1" t="s">
        <v>121</v>
      </c>
    </row>
    <row r="255">
      <c r="A255" s="1" t="s">
        <v>1203</v>
      </c>
      <c r="B255" s="1" t="s">
        <v>53</v>
      </c>
      <c r="C255" s="1">
        <v>2010.0</v>
      </c>
      <c r="D255" s="1" t="s">
        <v>1204</v>
      </c>
      <c r="E255" s="1" t="s">
        <v>1205</v>
      </c>
      <c r="F255" s="1" t="s">
        <v>1206</v>
      </c>
      <c r="H255" s="1" t="s">
        <v>1207</v>
      </c>
      <c r="I255" s="1">
        <v>27.0</v>
      </c>
      <c r="J255" s="1">
        <v>3.0</v>
      </c>
      <c r="K255" s="2" t="s">
        <v>1208</v>
      </c>
      <c r="L255" s="2" t="s">
        <v>60</v>
      </c>
      <c r="M255" s="1" t="s">
        <v>1796</v>
      </c>
      <c r="N255" s="1" t="s">
        <v>62</v>
      </c>
      <c r="O255" s="1" t="s">
        <v>167</v>
      </c>
      <c r="P255" s="1" t="s">
        <v>512</v>
      </c>
      <c r="Q255" s="1">
        <v>16.916667</v>
      </c>
      <c r="R255" s="1">
        <v>-89.833333</v>
      </c>
      <c r="S255" s="1" t="s">
        <v>148</v>
      </c>
      <c r="T255" s="2" t="s">
        <v>135</v>
      </c>
      <c r="U255" s="1" t="s">
        <v>173</v>
      </c>
      <c r="V255" s="3" t="s">
        <v>68</v>
      </c>
      <c r="W255" s="1" t="s">
        <v>1797</v>
      </c>
      <c r="X255" s="1" t="s">
        <v>70</v>
      </c>
      <c r="Y255" s="6" t="s">
        <v>76</v>
      </c>
      <c r="Z255" s="3" t="s">
        <v>76</v>
      </c>
      <c r="AD255" s="1">
        <v>17.0</v>
      </c>
      <c r="AJ255" s="1">
        <v>1480.0</v>
      </c>
      <c r="AK255" s="1">
        <v>2005.0</v>
      </c>
      <c r="AL255" s="2" t="s">
        <v>153</v>
      </c>
      <c r="AM255" s="2" t="s">
        <v>72</v>
      </c>
      <c r="AN255" s="2" t="s">
        <v>72</v>
      </c>
      <c r="AO255" s="2" t="s">
        <v>101</v>
      </c>
      <c r="AQ255" s="2" t="s">
        <v>75</v>
      </c>
      <c r="AR255" s="2" t="s">
        <v>76</v>
      </c>
      <c r="AS255" s="1">
        <v>1738.0</v>
      </c>
      <c r="AT255" s="1">
        <v>1738.0</v>
      </c>
      <c r="AU255" s="1">
        <v>690.0</v>
      </c>
      <c r="AV255" s="1">
        <v>36.0</v>
      </c>
      <c r="AW255" s="1">
        <v>144.0</v>
      </c>
      <c r="AX255" s="1">
        <v>5677.0</v>
      </c>
      <c r="AY255" s="1">
        <v>131.0</v>
      </c>
      <c r="AZ255" s="1" t="s">
        <v>133</v>
      </c>
      <c r="BA255" s="1" t="s">
        <v>121</v>
      </c>
    </row>
    <row r="256">
      <c r="A256" s="1" t="s">
        <v>1203</v>
      </c>
      <c r="B256" s="1" t="s">
        <v>53</v>
      </c>
      <c r="C256" s="1">
        <v>2010.0</v>
      </c>
      <c r="D256" s="1" t="s">
        <v>1204</v>
      </c>
      <c r="E256" s="1" t="s">
        <v>1205</v>
      </c>
      <c r="F256" s="1" t="s">
        <v>1206</v>
      </c>
      <c r="H256" s="1" t="s">
        <v>1207</v>
      </c>
      <c r="I256" s="1">
        <v>27.0</v>
      </c>
      <c r="J256" s="1">
        <v>3.0</v>
      </c>
      <c r="K256" s="2" t="s">
        <v>1208</v>
      </c>
      <c r="L256" s="2" t="s">
        <v>60</v>
      </c>
      <c r="M256" s="1" t="s">
        <v>1798</v>
      </c>
      <c r="N256" s="1" t="s">
        <v>62</v>
      </c>
      <c r="O256" s="1" t="s">
        <v>167</v>
      </c>
      <c r="P256" s="1" t="s">
        <v>512</v>
      </c>
      <c r="Q256" s="1">
        <v>16.916667</v>
      </c>
      <c r="R256" s="1">
        <v>-89.833333</v>
      </c>
      <c r="S256" s="1" t="s">
        <v>148</v>
      </c>
      <c r="T256" s="2" t="s">
        <v>388</v>
      </c>
      <c r="U256" s="1" t="s">
        <v>173</v>
      </c>
      <c r="V256" s="3" t="s">
        <v>68</v>
      </c>
      <c r="W256" s="1" t="s">
        <v>1799</v>
      </c>
      <c r="X256" s="1" t="s">
        <v>1800</v>
      </c>
      <c r="Y256" s="6" t="s">
        <v>76</v>
      </c>
      <c r="Z256" s="3" t="s">
        <v>76</v>
      </c>
      <c r="AD256" s="1">
        <v>17.0</v>
      </c>
      <c r="AJ256" s="1">
        <v>1480.0</v>
      </c>
      <c r="AK256" s="1">
        <v>2005.0</v>
      </c>
      <c r="AL256" s="2" t="s">
        <v>153</v>
      </c>
      <c r="AM256" s="2" t="s">
        <v>72</v>
      </c>
      <c r="AN256" s="2" t="s">
        <v>72</v>
      </c>
      <c r="AO256" s="2" t="s">
        <v>101</v>
      </c>
      <c r="AQ256" s="2" t="s">
        <v>75</v>
      </c>
      <c r="AR256" s="2" t="s">
        <v>76</v>
      </c>
      <c r="AS256" s="1">
        <v>1738.0</v>
      </c>
      <c r="AT256" s="1">
        <v>1738.0</v>
      </c>
      <c r="AU256" s="1">
        <v>690.0</v>
      </c>
      <c r="AV256" s="1">
        <v>36.0</v>
      </c>
      <c r="AW256" s="1">
        <v>144.0</v>
      </c>
      <c r="AX256" s="1">
        <v>5677.0</v>
      </c>
      <c r="AY256" s="1">
        <v>131.0</v>
      </c>
      <c r="AZ256" s="1" t="s">
        <v>133</v>
      </c>
      <c r="BA256" s="1" t="s">
        <v>121</v>
      </c>
    </row>
    <row r="257">
      <c r="A257" s="1" t="s">
        <v>1674</v>
      </c>
      <c r="B257" s="1" t="s">
        <v>53</v>
      </c>
      <c r="C257" s="1">
        <v>2010.0</v>
      </c>
      <c r="D257" s="1" t="s">
        <v>1675</v>
      </c>
      <c r="E257" s="1" t="s">
        <v>1676</v>
      </c>
      <c r="F257" s="1" t="s">
        <v>1386</v>
      </c>
      <c r="G257" s="1" t="s">
        <v>1677</v>
      </c>
      <c r="H257" s="1" t="s">
        <v>1678</v>
      </c>
      <c r="I257" s="1">
        <v>29.0</v>
      </c>
      <c r="J257" s="1" t="s">
        <v>1679</v>
      </c>
      <c r="K257" s="2" t="s">
        <v>1680</v>
      </c>
      <c r="L257" s="2" t="s">
        <v>60</v>
      </c>
      <c r="M257" s="1" t="s">
        <v>1681</v>
      </c>
      <c r="N257" s="1" t="s">
        <v>62</v>
      </c>
      <c r="O257" s="1" t="s">
        <v>92</v>
      </c>
      <c r="P257" s="1" t="s">
        <v>1682</v>
      </c>
      <c r="Q257" s="1">
        <v>20.274178</v>
      </c>
      <c r="R257" s="1">
        <v>-87.486259</v>
      </c>
      <c r="S257" s="1" t="s">
        <v>1581</v>
      </c>
      <c r="T257" s="2" t="s">
        <v>135</v>
      </c>
      <c r="U257" s="2" t="s">
        <v>1683</v>
      </c>
      <c r="V257" s="3" t="s">
        <v>97</v>
      </c>
      <c r="W257" s="1" t="s">
        <v>547</v>
      </c>
      <c r="X257" s="1" t="s">
        <v>265</v>
      </c>
      <c r="Y257" s="6" t="s">
        <v>76</v>
      </c>
      <c r="Z257" s="3" t="s">
        <v>76</v>
      </c>
      <c r="AB257" s="1">
        <v>3.0</v>
      </c>
      <c r="AI257" s="1" t="s">
        <v>1684</v>
      </c>
      <c r="AJ257" s="1">
        <v>-2350.0</v>
      </c>
      <c r="AK257" s="1">
        <v>1950.0</v>
      </c>
      <c r="AL257" s="2" t="s">
        <v>100</v>
      </c>
      <c r="AM257" s="2" t="s">
        <v>72</v>
      </c>
      <c r="AN257" s="1" t="s">
        <v>238</v>
      </c>
      <c r="AO257" s="2" t="s">
        <v>72</v>
      </c>
      <c r="AQ257" s="2" t="s">
        <v>75</v>
      </c>
      <c r="AR257" s="2" t="s">
        <v>60</v>
      </c>
      <c r="AS257" s="1">
        <v>1209.0</v>
      </c>
      <c r="AT257" s="1">
        <v>1209.0</v>
      </c>
      <c r="AU257" s="1">
        <v>495.0</v>
      </c>
      <c r="AV257" s="1">
        <v>39.0</v>
      </c>
      <c r="AW257" s="1">
        <v>132.0</v>
      </c>
      <c r="AX257" s="1">
        <v>5135.0</v>
      </c>
      <c r="AY257" s="1">
        <v>5.0</v>
      </c>
      <c r="AZ257" s="1" t="s">
        <v>239</v>
      </c>
      <c r="BA257" s="1" t="s">
        <v>121</v>
      </c>
    </row>
    <row r="258">
      <c r="A258" s="1" t="s">
        <v>1674</v>
      </c>
      <c r="B258" s="1" t="s">
        <v>53</v>
      </c>
      <c r="C258" s="1">
        <v>2010.0</v>
      </c>
      <c r="D258" s="1" t="s">
        <v>1675</v>
      </c>
      <c r="E258" s="1" t="s">
        <v>1676</v>
      </c>
      <c r="F258" s="1" t="s">
        <v>1386</v>
      </c>
      <c r="G258" s="1" t="s">
        <v>1677</v>
      </c>
      <c r="H258" s="1" t="s">
        <v>1678</v>
      </c>
      <c r="I258" s="1">
        <v>29.0</v>
      </c>
      <c r="J258" s="1" t="s">
        <v>1679</v>
      </c>
      <c r="K258" s="2" t="s">
        <v>1680</v>
      </c>
      <c r="L258" s="2" t="s">
        <v>60</v>
      </c>
      <c r="M258" s="1" t="s">
        <v>1685</v>
      </c>
      <c r="N258" s="1" t="s">
        <v>62</v>
      </c>
      <c r="O258" s="1" t="s">
        <v>92</v>
      </c>
      <c r="P258" s="1" t="s">
        <v>1682</v>
      </c>
      <c r="Q258" s="1">
        <v>20.274178</v>
      </c>
      <c r="R258" s="1">
        <v>-87.486259</v>
      </c>
      <c r="S258" s="1" t="s">
        <v>1581</v>
      </c>
      <c r="T258" s="2" t="s">
        <v>135</v>
      </c>
      <c r="U258" s="2" t="s">
        <v>1683</v>
      </c>
      <c r="V258" s="3" t="s">
        <v>97</v>
      </c>
      <c r="W258" s="1" t="s">
        <v>547</v>
      </c>
      <c r="X258" s="1" t="s">
        <v>265</v>
      </c>
      <c r="Y258" s="6" t="s">
        <v>76</v>
      </c>
      <c r="Z258" s="3" t="s">
        <v>76</v>
      </c>
      <c r="AB258" s="1">
        <v>6.0</v>
      </c>
      <c r="AI258" s="1" t="s">
        <v>1684</v>
      </c>
      <c r="AJ258" s="1">
        <v>-1470.0</v>
      </c>
      <c r="AK258" s="1">
        <v>1950.0</v>
      </c>
      <c r="AL258" s="2" t="s">
        <v>100</v>
      </c>
      <c r="AM258" s="2" t="s">
        <v>72</v>
      </c>
      <c r="AN258" s="1" t="s">
        <v>238</v>
      </c>
      <c r="AO258" s="2" t="s">
        <v>72</v>
      </c>
      <c r="AQ258" s="2" t="s">
        <v>75</v>
      </c>
      <c r="AR258" s="2" t="s">
        <v>60</v>
      </c>
      <c r="AS258" s="1">
        <v>1209.0</v>
      </c>
      <c r="AT258" s="1">
        <v>1209.0</v>
      </c>
      <c r="AU258" s="1">
        <v>495.0</v>
      </c>
      <c r="AV258" s="1">
        <v>39.0</v>
      </c>
      <c r="AW258" s="1">
        <v>132.0</v>
      </c>
      <c r="AX258" s="1">
        <v>5135.0</v>
      </c>
      <c r="AY258" s="1">
        <v>5.0</v>
      </c>
      <c r="AZ258" s="1" t="s">
        <v>239</v>
      </c>
      <c r="BA258" s="1" t="s">
        <v>121</v>
      </c>
    </row>
    <row r="259">
      <c r="A259" s="1" t="s">
        <v>1674</v>
      </c>
      <c r="B259" s="1" t="s">
        <v>53</v>
      </c>
      <c r="C259" s="1">
        <v>2010.0</v>
      </c>
      <c r="D259" s="1" t="s">
        <v>1675</v>
      </c>
      <c r="E259" s="1" t="s">
        <v>1676</v>
      </c>
      <c r="F259" s="1" t="s">
        <v>1386</v>
      </c>
      <c r="G259" s="1" t="s">
        <v>1677</v>
      </c>
      <c r="H259" s="1" t="s">
        <v>1678</v>
      </c>
      <c r="I259" s="1">
        <v>29.0</v>
      </c>
      <c r="J259" s="1" t="s">
        <v>1679</v>
      </c>
      <c r="K259" s="2" t="s">
        <v>1680</v>
      </c>
      <c r="L259" s="2" t="s">
        <v>60</v>
      </c>
      <c r="M259" s="1" t="s">
        <v>1686</v>
      </c>
      <c r="N259" s="1" t="s">
        <v>62</v>
      </c>
      <c r="O259" s="1" t="s">
        <v>92</v>
      </c>
      <c r="P259" s="1" t="s">
        <v>1682</v>
      </c>
      <c r="Q259" s="1">
        <v>20.274178</v>
      </c>
      <c r="R259" s="1">
        <v>-87.486259</v>
      </c>
      <c r="S259" s="1" t="s">
        <v>1581</v>
      </c>
      <c r="T259" s="2" t="s">
        <v>135</v>
      </c>
      <c r="U259" s="2" t="s">
        <v>1683</v>
      </c>
      <c r="V259" s="3" t="s">
        <v>97</v>
      </c>
      <c r="W259" s="1" t="s">
        <v>547</v>
      </c>
      <c r="X259" s="1" t="s">
        <v>265</v>
      </c>
      <c r="Y259" s="6" t="s">
        <v>76</v>
      </c>
      <c r="Z259" s="3" t="s">
        <v>76</v>
      </c>
      <c r="AJ259" s="2" t="s">
        <v>72</v>
      </c>
      <c r="AK259" s="2" t="s">
        <v>72</v>
      </c>
      <c r="AL259" s="2" t="s">
        <v>100</v>
      </c>
      <c r="AM259" s="2" t="s">
        <v>72</v>
      </c>
      <c r="AN259" s="1" t="s">
        <v>238</v>
      </c>
      <c r="AO259" s="2" t="s">
        <v>72</v>
      </c>
      <c r="AQ259" s="2" t="s">
        <v>75</v>
      </c>
      <c r="AR259" s="2" t="s">
        <v>60</v>
      </c>
      <c r="AS259" s="1">
        <v>1209.0</v>
      </c>
      <c r="AT259" s="1">
        <v>1209.0</v>
      </c>
      <c r="AU259" s="1">
        <v>495.0</v>
      </c>
      <c r="AV259" s="1">
        <v>39.0</v>
      </c>
      <c r="AW259" s="1">
        <v>132.0</v>
      </c>
      <c r="AX259" s="1">
        <v>5135.0</v>
      </c>
      <c r="AY259" s="1">
        <v>5.0</v>
      </c>
      <c r="AZ259" s="1" t="s">
        <v>239</v>
      </c>
      <c r="BA259" s="1" t="s">
        <v>121</v>
      </c>
    </row>
    <row r="260">
      <c r="A260" s="1" t="s">
        <v>1674</v>
      </c>
      <c r="B260" s="1" t="s">
        <v>53</v>
      </c>
      <c r="C260" s="1">
        <v>2010.0</v>
      </c>
      <c r="D260" s="1" t="s">
        <v>1675</v>
      </c>
      <c r="E260" s="1" t="s">
        <v>1676</v>
      </c>
      <c r="F260" s="1" t="s">
        <v>1386</v>
      </c>
      <c r="G260" s="1" t="s">
        <v>1677</v>
      </c>
      <c r="H260" s="1" t="s">
        <v>1678</v>
      </c>
      <c r="I260" s="1">
        <v>29.0</v>
      </c>
      <c r="J260" s="1" t="s">
        <v>1679</v>
      </c>
      <c r="K260" s="2" t="s">
        <v>1680</v>
      </c>
      <c r="L260" s="2" t="s">
        <v>60</v>
      </c>
      <c r="M260" s="1" t="s">
        <v>1687</v>
      </c>
      <c r="N260" s="1" t="s">
        <v>62</v>
      </c>
      <c r="O260" s="1" t="s">
        <v>92</v>
      </c>
      <c r="P260" s="1" t="s">
        <v>1682</v>
      </c>
      <c r="Q260" s="1">
        <v>20.274178</v>
      </c>
      <c r="R260" s="1">
        <v>-87.486259</v>
      </c>
      <c r="S260" s="1" t="s">
        <v>1581</v>
      </c>
      <c r="T260" s="2" t="s">
        <v>388</v>
      </c>
      <c r="U260" s="2" t="s">
        <v>1683</v>
      </c>
      <c r="V260" s="3" t="s">
        <v>97</v>
      </c>
      <c r="W260" s="1" t="s">
        <v>547</v>
      </c>
      <c r="X260" s="1" t="s">
        <v>265</v>
      </c>
      <c r="Y260" s="6" t="s">
        <v>76</v>
      </c>
      <c r="Z260" s="3" t="s">
        <v>76</v>
      </c>
      <c r="AB260" s="1">
        <v>3.0</v>
      </c>
      <c r="AI260" s="1" t="s">
        <v>1684</v>
      </c>
      <c r="AJ260" s="1">
        <v>-2350.0</v>
      </c>
      <c r="AK260" s="1">
        <v>1950.0</v>
      </c>
      <c r="AL260" s="2" t="s">
        <v>100</v>
      </c>
      <c r="AM260" s="2" t="s">
        <v>72</v>
      </c>
      <c r="AN260" s="1" t="s">
        <v>238</v>
      </c>
      <c r="AO260" s="2" t="s">
        <v>72</v>
      </c>
      <c r="AQ260" s="2" t="s">
        <v>75</v>
      </c>
      <c r="AR260" s="2" t="s">
        <v>60</v>
      </c>
      <c r="AS260" s="1">
        <v>1209.0</v>
      </c>
      <c r="AT260" s="1">
        <v>1209.0</v>
      </c>
      <c r="AU260" s="1">
        <v>495.0</v>
      </c>
      <c r="AV260" s="1">
        <v>39.0</v>
      </c>
      <c r="AW260" s="1">
        <v>132.0</v>
      </c>
      <c r="AX260" s="1">
        <v>5135.0</v>
      </c>
      <c r="AY260" s="1">
        <v>5.0</v>
      </c>
      <c r="AZ260" s="1" t="s">
        <v>239</v>
      </c>
      <c r="BA260" s="1" t="s">
        <v>121</v>
      </c>
    </row>
    <row r="261">
      <c r="A261" s="1" t="s">
        <v>1674</v>
      </c>
      <c r="B261" s="1" t="s">
        <v>53</v>
      </c>
      <c r="C261" s="1">
        <v>2010.0</v>
      </c>
      <c r="D261" s="1" t="s">
        <v>1675</v>
      </c>
      <c r="E261" s="1" t="s">
        <v>1676</v>
      </c>
      <c r="F261" s="1" t="s">
        <v>1386</v>
      </c>
      <c r="G261" s="1" t="s">
        <v>1677</v>
      </c>
      <c r="H261" s="1" t="s">
        <v>1678</v>
      </c>
      <c r="I261" s="1">
        <v>29.0</v>
      </c>
      <c r="J261" s="1" t="s">
        <v>1679</v>
      </c>
      <c r="K261" s="2" t="s">
        <v>1680</v>
      </c>
      <c r="L261" s="2" t="s">
        <v>60</v>
      </c>
      <c r="M261" s="1" t="s">
        <v>1688</v>
      </c>
      <c r="N261" s="1" t="s">
        <v>62</v>
      </c>
      <c r="O261" s="1" t="s">
        <v>92</v>
      </c>
      <c r="P261" s="1" t="s">
        <v>1682</v>
      </c>
      <c r="Q261" s="1">
        <v>20.274178</v>
      </c>
      <c r="R261" s="1">
        <v>-87.486259</v>
      </c>
      <c r="S261" s="1" t="s">
        <v>1581</v>
      </c>
      <c r="T261" s="2" t="s">
        <v>388</v>
      </c>
      <c r="U261" s="2" t="s">
        <v>1683</v>
      </c>
      <c r="V261" s="3" t="s">
        <v>97</v>
      </c>
      <c r="W261" s="1" t="s">
        <v>547</v>
      </c>
      <c r="X261" s="1" t="s">
        <v>265</v>
      </c>
      <c r="Y261" s="6" t="s">
        <v>76</v>
      </c>
      <c r="Z261" s="3" t="s">
        <v>76</v>
      </c>
      <c r="AB261" s="1">
        <v>6.0</v>
      </c>
      <c r="AI261" s="1" t="s">
        <v>1684</v>
      </c>
      <c r="AJ261" s="1">
        <v>-1470.0</v>
      </c>
      <c r="AK261" s="1">
        <v>1950.0</v>
      </c>
      <c r="AL261" s="2" t="s">
        <v>100</v>
      </c>
      <c r="AM261" s="2" t="s">
        <v>72</v>
      </c>
      <c r="AN261" s="1" t="s">
        <v>238</v>
      </c>
      <c r="AO261" s="2" t="s">
        <v>72</v>
      </c>
      <c r="AQ261" s="2" t="s">
        <v>75</v>
      </c>
      <c r="AR261" s="2" t="s">
        <v>60</v>
      </c>
      <c r="AS261" s="1">
        <v>1209.0</v>
      </c>
      <c r="AT261" s="1">
        <v>1209.0</v>
      </c>
      <c r="AU261" s="1">
        <v>495.0</v>
      </c>
      <c r="AV261" s="1">
        <v>39.0</v>
      </c>
      <c r="AW261" s="1">
        <v>132.0</v>
      </c>
      <c r="AX261" s="1">
        <v>5135.0</v>
      </c>
      <c r="AY261" s="1">
        <v>5.0</v>
      </c>
      <c r="AZ261" s="1" t="s">
        <v>239</v>
      </c>
      <c r="BA261" s="1" t="s">
        <v>121</v>
      </c>
    </row>
    <row r="262">
      <c r="A262" s="1" t="s">
        <v>1674</v>
      </c>
      <c r="B262" s="1" t="s">
        <v>53</v>
      </c>
      <c r="C262" s="1">
        <v>2010.0</v>
      </c>
      <c r="D262" s="1" t="s">
        <v>1675</v>
      </c>
      <c r="E262" s="1" t="s">
        <v>1676</v>
      </c>
      <c r="F262" s="1" t="s">
        <v>1386</v>
      </c>
      <c r="G262" s="1" t="s">
        <v>1677</v>
      </c>
      <c r="H262" s="1" t="s">
        <v>1678</v>
      </c>
      <c r="I262" s="1">
        <v>29.0</v>
      </c>
      <c r="J262" s="1" t="s">
        <v>1679</v>
      </c>
      <c r="K262" s="2" t="s">
        <v>1680</v>
      </c>
      <c r="L262" s="2" t="s">
        <v>60</v>
      </c>
      <c r="M262" s="1" t="s">
        <v>1689</v>
      </c>
      <c r="N262" s="1" t="s">
        <v>62</v>
      </c>
      <c r="O262" s="1" t="s">
        <v>92</v>
      </c>
      <c r="P262" s="1" t="s">
        <v>1682</v>
      </c>
      <c r="Q262" s="1">
        <v>20.274178</v>
      </c>
      <c r="R262" s="1">
        <v>-87.486259</v>
      </c>
      <c r="S262" s="1" t="s">
        <v>1581</v>
      </c>
      <c r="T262" s="2" t="s">
        <v>388</v>
      </c>
      <c r="U262" s="2" t="s">
        <v>1683</v>
      </c>
      <c r="V262" s="3" t="s">
        <v>97</v>
      </c>
      <c r="W262" s="1" t="s">
        <v>547</v>
      </c>
      <c r="X262" s="1" t="s">
        <v>265</v>
      </c>
      <c r="Y262" s="6" t="s">
        <v>76</v>
      </c>
      <c r="Z262" s="3" t="s">
        <v>76</v>
      </c>
      <c r="AJ262" s="2" t="s">
        <v>72</v>
      </c>
      <c r="AK262" s="2" t="s">
        <v>72</v>
      </c>
      <c r="AL262" s="2" t="s">
        <v>100</v>
      </c>
      <c r="AM262" s="2" t="s">
        <v>72</v>
      </c>
      <c r="AN262" s="1" t="s">
        <v>238</v>
      </c>
      <c r="AO262" s="2" t="s">
        <v>72</v>
      </c>
      <c r="AQ262" s="2" t="s">
        <v>75</v>
      </c>
      <c r="AR262" s="2" t="s">
        <v>60</v>
      </c>
      <c r="AS262" s="1">
        <v>1209.0</v>
      </c>
      <c r="AT262" s="1">
        <v>1209.0</v>
      </c>
      <c r="AU262" s="1">
        <v>495.0</v>
      </c>
      <c r="AV262" s="1">
        <v>39.0</v>
      </c>
      <c r="AW262" s="1">
        <v>132.0</v>
      </c>
      <c r="AX262" s="1">
        <v>5135.0</v>
      </c>
      <c r="AY262" s="1">
        <v>5.0</v>
      </c>
      <c r="AZ262" s="1" t="s">
        <v>239</v>
      </c>
      <c r="BA262" s="1" t="s">
        <v>121</v>
      </c>
    </row>
    <row r="263">
      <c r="A263" s="1" t="s">
        <v>1674</v>
      </c>
      <c r="B263" s="1" t="s">
        <v>53</v>
      </c>
      <c r="C263" s="1">
        <v>2010.0</v>
      </c>
      <c r="D263" s="1" t="s">
        <v>1675</v>
      </c>
      <c r="E263" s="1" t="s">
        <v>1676</v>
      </c>
      <c r="F263" s="1" t="s">
        <v>1386</v>
      </c>
      <c r="G263" s="1" t="s">
        <v>1677</v>
      </c>
      <c r="H263" s="1" t="s">
        <v>1678</v>
      </c>
      <c r="I263" s="1">
        <v>29.0</v>
      </c>
      <c r="J263" s="1" t="s">
        <v>1679</v>
      </c>
      <c r="K263" s="2" t="s">
        <v>1680</v>
      </c>
      <c r="L263" s="2" t="s">
        <v>60</v>
      </c>
      <c r="M263" s="1" t="s">
        <v>1690</v>
      </c>
      <c r="N263" s="1" t="s">
        <v>62</v>
      </c>
      <c r="O263" s="1" t="s">
        <v>92</v>
      </c>
      <c r="P263" s="1" t="s">
        <v>1682</v>
      </c>
      <c r="Q263" s="1">
        <v>20.274178</v>
      </c>
      <c r="R263" s="1">
        <v>-87.486259</v>
      </c>
      <c r="S263" s="1" t="s">
        <v>1581</v>
      </c>
      <c r="T263" s="2" t="s">
        <v>927</v>
      </c>
      <c r="U263" s="2" t="s">
        <v>1683</v>
      </c>
      <c r="V263" s="3" t="s">
        <v>97</v>
      </c>
      <c r="W263" s="1" t="s">
        <v>1534</v>
      </c>
      <c r="X263" s="1" t="s">
        <v>70</v>
      </c>
      <c r="Y263" s="6" t="s">
        <v>76</v>
      </c>
      <c r="Z263" s="3" t="s">
        <v>76</v>
      </c>
      <c r="AB263" s="1">
        <v>3.0</v>
      </c>
      <c r="AI263" s="1" t="s">
        <v>1684</v>
      </c>
      <c r="AJ263" s="1">
        <v>-2350.0</v>
      </c>
      <c r="AK263" s="1">
        <v>1950.0</v>
      </c>
      <c r="AL263" s="2" t="s">
        <v>100</v>
      </c>
      <c r="AM263" s="2" t="s">
        <v>72</v>
      </c>
      <c r="AN263" s="1" t="s">
        <v>238</v>
      </c>
      <c r="AO263" s="2" t="s">
        <v>72</v>
      </c>
      <c r="AQ263" s="2" t="s">
        <v>75</v>
      </c>
      <c r="AR263" s="2" t="s">
        <v>60</v>
      </c>
      <c r="AS263" s="1">
        <v>1209.0</v>
      </c>
      <c r="AT263" s="1">
        <v>1209.0</v>
      </c>
      <c r="AU263" s="1">
        <v>495.0</v>
      </c>
      <c r="AV263" s="1">
        <v>39.0</v>
      </c>
      <c r="AW263" s="1">
        <v>132.0</v>
      </c>
      <c r="AX263" s="1">
        <v>5135.0</v>
      </c>
      <c r="AY263" s="1">
        <v>5.0</v>
      </c>
      <c r="AZ263" s="1" t="s">
        <v>239</v>
      </c>
      <c r="BA263" s="1" t="s">
        <v>121</v>
      </c>
    </row>
    <row r="264">
      <c r="A264" s="1" t="s">
        <v>1674</v>
      </c>
      <c r="B264" s="1" t="s">
        <v>53</v>
      </c>
      <c r="C264" s="1">
        <v>2010.0</v>
      </c>
      <c r="D264" s="1" t="s">
        <v>1675</v>
      </c>
      <c r="E264" s="1" t="s">
        <v>1676</v>
      </c>
      <c r="F264" s="1" t="s">
        <v>1386</v>
      </c>
      <c r="G264" s="1" t="s">
        <v>1677</v>
      </c>
      <c r="H264" s="1" t="s">
        <v>1678</v>
      </c>
      <c r="I264" s="1">
        <v>29.0</v>
      </c>
      <c r="J264" s="1" t="s">
        <v>1679</v>
      </c>
      <c r="K264" s="2" t="s">
        <v>1680</v>
      </c>
      <c r="L264" s="2" t="s">
        <v>60</v>
      </c>
      <c r="M264" s="1" t="s">
        <v>1691</v>
      </c>
      <c r="N264" s="1" t="s">
        <v>62</v>
      </c>
      <c r="O264" s="1" t="s">
        <v>92</v>
      </c>
      <c r="P264" s="1" t="s">
        <v>1682</v>
      </c>
      <c r="Q264" s="1">
        <v>20.274178</v>
      </c>
      <c r="R264" s="1">
        <v>-87.486259</v>
      </c>
      <c r="S264" s="1" t="s">
        <v>1581</v>
      </c>
      <c r="T264" s="2" t="s">
        <v>927</v>
      </c>
      <c r="U264" s="2" t="s">
        <v>1683</v>
      </c>
      <c r="V264" s="3" t="s">
        <v>97</v>
      </c>
      <c r="W264" s="1" t="s">
        <v>1534</v>
      </c>
      <c r="X264" s="1" t="s">
        <v>70</v>
      </c>
      <c r="Y264" s="6" t="s">
        <v>76</v>
      </c>
      <c r="Z264" s="3" t="s">
        <v>76</v>
      </c>
      <c r="AB264" s="1">
        <v>6.0</v>
      </c>
      <c r="AI264" s="1" t="s">
        <v>1684</v>
      </c>
      <c r="AJ264" s="1">
        <v>-1470.0</v>
      </c>
      <c r="AK264" s="1">
        <v>1950.0</v>
      </c>
      <c r="AL264" s="2" t="s">
        <v>100</v>
      </c>
      <c r="AM264" s="2" t="s">
        <v>72</v>
      </c>
      <c r="AN264" s="1" t="s">
        <v>238</v>
      </c>
      <c r="AO264" s="2" t="s">
        <v>72</v>
      </c>
      <c r="AQ264" s="2" t="s">
        <v>75</v>
      </c>
      <c r="AR264" s="2" t="s">
        <v>60</v>
      </c>
      <c r="AS264" s="1">
        <v>1209.0</v>
      </c>
      <c r="AT264" s="1">
        <v>1209.0</v>
      </c>
      <c r="AU264" s="1">
        <v>495.0</v>
      </c>
      <c r="AV264" s="1">
        <v>39.0</v>
      </c>
      <c r="AW264" s="1">
        <v>132.0</v>
      </c>
      <c r="AX264" s="1">
        <v>5135.0</v>
      </c>
      <c r="AY264" s="1">
        <v>5.0</v>
      </c>
      <c r="AZ264" s="1" t="s">
        <v>239</v>
      </c>
      <c r="BA264" s="1" t="s">
        <v>121</v>
      </c>
    </row>
    <row r="265">
      <c r="A265" s="1" t="s">
        <v>1674</v>
      </c>
      <c r="B265" s="1" t="s">
        <v>53</v>
      </c>
      <c r="C265" s="1">
        <v>2010.0</v>
      </c>
      <c r="D265" s="1" t="s">
        <v>1675</v>
      </c>
      <c r="E265" s="1" t="s">
        <v>1676</v>
      </c>
      <c r="F265" s="1" t="s">
        <v>1386</v>
      </c>
      <c r="G265" s="1" t="s">
        <v>1677</v>
      </c>
      <c r="H265" s="1" t="s">
        <v>1678</v>
      </c>
      <c r="I265" s="1">
        <v>29.0</v>
      </c>
      <c r="J265" s="1" t="s">
        <v>1679</v>
      </c>
      <c r="K265" s="2" t="s">
        <v>1680</v>
      </c>
      <c r="L265" s="2" t="s">
        <v>60</v>
      </c>
      <c r="M265" s="1" t="s">
        <v>1692</v>
      </c>
      <c r="N265" s="1" t="s">
        <v>62</v>
      </c>
      <c r="O265" s="1" t="s">
        <v>92</v>
      </c>
      <c r="P265" s="1" t="s">
        <v>1682</v>
      </c>
      <c r="Q265" s="1">
        <v>20.274178</v>
      </c>
      <c r="R265" s="1">
        <v>-87.486259</v>
      </c>
      <c r="S265" s="1" t="s">
        <v>1581</v>
      </c>
      <c r="T265" s="2" t="s">
        <v>927</v>
      </c>
      <c r="U265" s="2" t="s">
        <v>1683</v>
      </c>
      <c r="V265" s="3" t="s">
        <v>97</v>
      </c>
      <c r="W265" s="1" t="s">
        <v>1534</v>
      </c>
      <c r="X265" s="1" t="s">
        <v>70</v>
      </c>
      <c r="Y265" s="6" t="s">
        <v>76</v>
      </c>
      <c r="Z265" s="3" t="s">
        <v>76</v>
      </c>
      <c r="AJ265" s="2" t="s">
        <v>72</v>
      </c>
      <c r="AK265" s="2" t="s">
        <v>72</v>
      </c>
      <c r="AL265" s="2" t="s">
        <v>100</v>
      </c>
      <c r="AM265" s="2" t="s">
        <v>72</v>
      </c>
      <c r="AN265" s="1" t="s">
        <v>238</v>
      </c>
      <c r="AO265" s="2" t="s">
        <v>72</v>
      </c>
      <c r="AQ265" s="2" t="s">
        <v>75</v>
      </c>
      <c r="AR265" s="2" t="s">
        <v>60</v>
      </c>
      <c r="AS265" s="1">
        <v>1209.0</v>
      </c>
      <c r="AT265" s="1">
        <v>1209.0</v>
      </c>
      <c r="AU265" s="1">
        <v>495.0</v>
      </c>
      <c r="AV265" s="1">
        <v>39.0</v>
      </c>
      <c r="AW265" s="1">
        <v>132.0</v>
      </c>
      <c r="AX265" s="1">
        <v>5135.0</v>
      </c>
      <c r="AY265" s="1">
        <v>5.0</v>
      </c>
      <c r="AZ265" s="1" t="s">
        <v>239</v>
      </c>
      <c r="BA265" s="1" t="s">
        <v>121</v>
      </c>
    </row>
    <row r="266">
      <c r="A266" s="1" t="s">
        <v>1674</v>
      </c>
      <c r="B266" s="1" t="s">
        <v>53</v>
      </c>
      <c r="C266" s="1">
        <v>2010.0</v>
      </c>
      <c r="D266" s="1" t="s">
        <v>1675</v>
      </c>
      <c r="E266" s="1" t="s">
        <v>1676</v>
      </c>
      <c r="F266" s="1" t="s">
        <v>1386</v>
      </c>
      <c r="G266" s="1" t="s">
        <v>1677</v>
      </c>
      <c r="H266" s="1" t="s">
        <v>1678</v>
      </c>
      <c r="I266" s="1">
        <v>29.0</v>
      </c>
      <c r="J266" s="1" t="s">
        <v>1679</v>
      </c>
      <c r="K266" s="2" t="s">
        <v>1680</v>
      </c>
      <c r="L266" s="2" t="s">
        <v>60</v>
      </c>
      <c r="M266" s="1" t="s">
        <v>1693</v>
      </c>
      <c r="N266" s="1" t="s">
        <v>62</v>
      </c>
      <c r="O266" s="1" t="s">
        <v>92</v>
      </c>
      <c r="P266" s="1" t="s">
        <v>1682</v>
      </c>
      <c r="Q266" s="1">
        <v>20.274178</v>
      </c>
      <c r="R266" s="1">
        <v>-87.486259</v>
      </c>
      <c r="S266" s="1" t="s">
        <v>1581</v>
      </c>
      <c r="T266" s="2" t="s">
        <v>1694</v>
      </c>
      <c r="U266" s="2" t="s">
        <v>1683</v>
      </c>
      <c r="V266" s="3" t="s">
        <v>97</v>
      </c>
      <c r="W266" s="1" t="s">
        <v>1695</v>
      </c>
      <c r="X266" s="1" t="s">
        <v>1696</v>
      </c>
      <c r="Y266" s="6" t="s">
        <v>76</v>
      </c>
      <c r="Z266" s="3" t="s">
        <v>76</v>
      </c>
      <c r="AB266" s="1">
        <v>3.0</v>
      </c>
      <c r="AI266" s="1" t="s">
        <v>1684</v>
      </c>
      <c r="AJ266" s="1">
        <v>-2350.0</v>
      </c>
      <c r="AK266" s="1">
        <v>1950.0</v>
      </c>
      <c r="AL266" s="2" t="s">
        <v>100</v>
      </c>
      <c r="AM266" s="2" t="s">
        <v>72</v>
      </c>
      <c r="AN266" s="1" t="s">
        <v>238</v>
      </c>
      <c r="AO266" s="2" t="s">
        <v>72</v>
      </c>
      <c r="AQ266" s="2" t="s">
        <v>75</v>
      </c>
      <c r="AR266" s="2" t="s">
        <v>60</v>
      </c>
      <c r="AS266" s="1">
        <v>1209.0</v>
      </c>
      <c r="AT266" s="1">
        <v>1209.0</v>
      </c>
      <c r="AU266" s="1">
        <v>495.0</v>
      </c>
      <c r="AV266" s="1">
        <v>39.0</v>
      </c>
      <c r="AW266" s="1">
        <v>132.0</v>
      </c>
      <c r="AX266" s="1">
        <v>5135.0</v>
      </c>
      <c r="AY266" s="1">
        <v>5.0</v>
      </c>
      <c r="AZ266" s="1" t="s">
        <v>239</v>
      </c>
      <c r="BA266" s="1" t="s">
        <v>121</v>
      </c>
    </row>
    <row r="267">
      <c r="A267" s="1" t="s">
        <v>1674</v>
      </c>
      <c r="B267" s="1" t="s">
        <v>53</v>
      </c>
      <c r="C267" s="1">
        <v>2010.0</v>
      </c>
      <c r="D267" s="1" t="s">
        <v>1675</v>
      </c>
      <c r="E267" s="1" t="s">
        <v>1676</v>
      </c>
      <c r="F267" s="1" t="s">
        <v>1386</v>
      </c>
      <c r="G267" s="1" t="s">
        <v>1677</v>
      </c>
      <c r="H267" s="1" t="s">
        <v>1678</v>
      </c>
      <c r="I267" s="1">
        <v>29.0</v>
      </c>
      <c r="J267" s="1" t="s">
        <v>1679</v>
      </c>
      <c r="K267" s="2" t="s">
        <v>1680</v>
      </c>
      <c r="L267" s="2" t="s">
        <v>60</v>
      </c>
      <c r="M267" s="1" t="s">
        <v>1697</v>
      </c>
      <c r="N267" s="1" t="s">
        <v>62</v>
      </c>
      <c r="O267" s="1" t="s">
        <v>92</v>
      </c>
      <c r="P267" s="1" t="s">
        <v>1682</v>
      </c>
      <c r="Q267" s="1">
        <v>20.274178</v>
      </c>
      <c r="R267" s="1">
        <v>-87.486259</v>
      </c>
      <c r="S267" s="1" t="s">
        <v>1581</v>
      </c>
      <c r="T267" s="2" t="s">
        <v>1694</v>
      </c>
      <c r="U267" s="2" t="s">
        <v>1683</v>
      </c>
      <c r="V267" s="3" t="s">
        <v>97</v>
      </c>
      <c r="W267" s="1" t="s">
        <v>1698</v>
      </c>
      <c r="X267" s="1" t="s">
        <v>1696</v>
      </c>
      <c r="Y267" s="6" t="s">
        <v>76</v>
      </c>
      <c r="Z267" s="3" t="s">
        <v>76</v>
      </c>
      <c r="AB267" s="1">
        <v>6.0</v>
      </c>
      <c r="AI267" s="1" t="s">
        <v>1684</v>
      </c>
      <c r="AJ267" s="1">
        <v>-1470.0</v>
      </c>
      <c r="AK267" s="1">
        <v>1950.0</v>
      </c>
      <c r="AL267" s="2" t="s">
        <v>100</v>
      </c>
      <c r="AM267" s="2" t="s">
        <v>72</v>
      </c>
      <c r="AN267" s="1" t="s">
        <v>238</v>
      </c>
      <c r="AO267" s="2" t="s">
        <v>72</v>
      </c>
      <c r="AQ267" s="2" t="s">
        <v>75</v>
      </c>
      <c r="AR267" s="2" t="s">
        <v>60</v>
      </c>
      <c r="AS267" s="1">
        <v>1209.0</v>
      </c>
      <c r="AT267" s="1">
        <v>1209.0</v>
      </c>
      <c r="AU267" s="1">
        <v>495.0</v>
      </c>
      <c r="AV267" s="1">
        <v>39.0</v>
      </c>
      <c r="AW267" s="1">
        <v>132.0</v>
      </c>
      <c r="AX267" s="1">
        <v>5135.0</v>
      </c>
      <c r="AY267" s="1">
        <v>5.0</v>
      </c>
      <c r="AZ267" s="1" t="s">
        <v>239</v>
      </c>
      <c r="BA267" s="1" t="s">
        <v>121</v>
      </c>
    </row>
    <row r="268">
      <c r="A268" s="1" t="s">
        <v>1674</v>
      </c>
      <c r="B268" s="1" t="s">
        <v>53</v>
      </c>
      <c r="C268" s="1">
        <v>2010.0</v>
      </c>
      <c r="D268" s="1" t="s">
        <v>1675</v>
      </c>
      <c r="E268" s="1" t="s">
        <v>1676</v>
      </c>
      <c r="F268" s="1" t="s">
        <v>1386</v>
      </c>
      <c r="G268" s="1" t="s">
        <v>1677</v>
      </c>
      <c r="H268" s="1" t="s">
        <v>1678</v>
      </c>
      <c r="I268" s="1">
        <v>29.0</v>
      </c>
      <c r="J268" s="1" t="s">
        <v>1679</v>
      </c>
      <c r="K268" s="2" t="s">
        <v>1680</v>
      </c>
      <c r="L268" s="2" t="s">
        <v>60</v>
      </c>
      <c r="M268" s="1" t="s">
        <v>1699</v>
      </c>
      <c r="N268" s="1" t="s">
        <v>62</v>
      </c>
      <c r="O268" s="1" t="s">
        <v>92</v>
      </c>
      <c r="P268" s="1" t="s">
        <v>1682</v>
      </c>
      <c r="Q268" s="1">
        <v>20.274178</v>
      </c>
      <c r="R268" s="1">
        <v>-87.486259</v>
      </c>
      <c r="S268" s="1" t="s">
        <v>1581</v>
      </c>
      <c r="T268" s="2" t="s">
        <v>1694</v>
      </c>
      <c r="U268" s="2" t="s">
        <v>1683</v>
      </c>
      <c r="V268" s="3" t="s">
        <v>97</v>
      </c>
      <c r="W268" s="1" t="s">
        <v>1700</v>
      </c>
      <c r="X268" s="1" t="s">
        <v>1696</v>
      </c>
      <c r="Y268" s="6" t="s">
        <v>76</v>
      </c>
      <c r="Z268" s="3" t="s">
        <v>76</v>
      </c>
      <c r="AJ268" s="2" t="s">
        <v>72</v>
      </c>
      <c r="AK268" s="2" t="s">
        <v>72</v>
      </c>
      <c r="AL268" s="2" t="s">
        <v>100</v>
      </c>
      <c r="AM268" s="2" t="s">
        <v>72</v>
      </c>
      <c r="AN268" s="1" t="s">
        <v>238</v>
      </c>
      <c r="AO268" s="2" t="s">
        <v>72</v>
      </c>
      <c r="AQ268" s="2" t="s">
        <v>75</v>
      </c>
      <c r="AR268" s="2" t="s">
        <v>60</v>
      </c>
      <c r="AS268" s="1">
        <v>1209.0</v>
      </c>
      <c r="AT268" s="1">
        <v>1209.0</v>
      </c>
      <c r="AU268" s="1">
        <v>495.0</v>
      </c>
      <c r="AV268" s="1">
        <v>39.0</v>
      </c>
      <c r="AW268" s="1">
        <v>132.0</v>
      </c>
      <c r="AX268" s="1">
        <v>5135.0</v>
      </c>
      <c r="AY268" s="1">
        <v>5.0</v>
      </c>
      <c r="AZ268" s="1" t="s">
        <v>239</v>
      </c>
      <c r="BA268" s="1" t="s">
        <v>121</v>
      </c>
    </row>
    <row r="269">
      <c r="A269" s="1" t="s">
        <v>1674</v>
      </c>
      <c r="B269" s="1" t="s">
        <v>53</v>
      </c>
      <c r="C269" s="1">
        <v>2010.0</v>
      </c>
      <c r="D269" s="1" t="s">
        <v>1675</v>
      </c>
      <c r="E269" s="1" t="s">
        <v>1676</v>
      </c>
      <c r="F269" s="1" t="s">
        <v>1386</v>
      </c>
      <c r="G269" s="1" t="s">
        <v>1677</v>
      </c>
      <c r="H269" s="1" t="s">
        <v>1678</v>
      </c>
      <c r="I269" s="1">
        <v>29.0</v>
      </c>
      <c r="J269" s="1" t="s">
        <v>1679</v>
      </c>
      <c r="K269" s="2" t="s">
        <v>1680</v>
      </c>
      <c r="L269" s="2" t="s">
        <v>60</v>
      </c>
      <c r="M269" s="1" t="s">
        <v>1701</v>
      </c>
      <c r="N269" s="1" t="s">
        <v>62</v>
      </c>
      <c r="O269" s="1" t="s">
        <v>92</v>
      </c>
      <c r="P269" s="1" t="s">
        <v>1682</v>
      </c>
      <c r="Q269" s="1">
        <v>20.274178</v>
      </c>
      <c r="R269" s="1">
        <v>-87.486259</v>
      </c>
      <c r="S269" s="1" t="s">
        <v>1581</v>
      </c>
      <c r="T269" s="2" t="s">
        <v>1047</v>
      </c>
      <c r="U269" s="2" t="s">
        <v>1683</v>
      </c>
      <c r="V269" s="3" t="s">
        <v>97</v>
      </c>
      <c r="W269" s="2" t="s">
        <v>72</v>
      </c>
      <c r="X269" s="1" t="s">
        <v>70</v>
      </c>
      <c r="Y269" s="6" t="s">
        <v>76</v>
      </c>
      <c r="Z269" s="3" t="s">
        <v>76</v>
      </c>
      <c r="AB269" s="1">
        <v>3.0</v>
      </c>
      <c r="AI269" s="1" t="s">
        <v>1684</v>
      </c>
      <c r="AJ269" s="1">
        <v>-2350.0</v>
      </c>
      <c r="AK269" s="1">
        <v>1950.0</v>
      </c>
      <c r="AL269" s="2" t="s">
        <v>100</v>
      </c>
      <c r="AM269" s="2" t="s">
        <v>72</v>
      </c>
      <c r="AN269" s="1" t="s">
        <v>238</v>
      </c>
      <c r="AO269" s="2" t="s">
        <v>72</v>
      </c>
      <c r="AQ269" s="2" t="s">
        <v>75</v>
      </c>
      <c r="AR269" s="2" t="s">
        <v>60</v>
      </c>
      <c r="AS269" s="1">
        <v>1209.0</v>
      </c>
      <c r="AT269" s="1">
        <v>1209.0</v>
      </c>
      <c r="AU269" s="1">
        <v>495.0</v>
      </c>
      <c r="AV269" s="1">
        <v>39.0</v>
      </c>
      <c r="AW269" s="1">
        <v>132.0</v>
      </c>
      <c r="AX269" s="1">
        <v>5135.0</v>
      </c>
      <c r="AY269" s="1">
        <v>5.0</v>
      </c>
      <c r="AZ269" s="1" t="s">
        <v>239</v>
      </c>
      <c r="BA269" s="1" t="s">
        <v>121</v>
      </c>
    </row>
    <row r="270">
      <c r="A270" s="1" t="s">
        <v>1674</v>
      </c>
      <c r="B270" s="1" t="s">
        <v>53</v>
      </c>
      <c r="C270" s="1">
        <v>2010.0</v>
      </c>
      <c r="D270" s="1" t="s">
        <v>1675</v>
      </c>
      <c r="E270" s="1" t="s">
        <v>1676</v>
      </c>
      <c r="F270" s="1" t="s">
        <v>1386</v>
      </c>
      <c r="G270" s="1" t="s">
        <v>1677</v>
      </c>
      <c r="H270" s="1" t="s">
        <v>1678</v>
      </c>
      <c r="I270" s="1">
        <v>29.0</v>
      </c>
      <c r="J270" s="1" t="s">
        <v>1679</v>
      </c>
      <c r="K270" s="2" t="s">
        <v>1680</v>
      </c>
      <c r="L270" s="2" t="s">
        <v>60</v>
      </c>
      <c r="M270" s="1" t="s">
        <v>1703</v>
      </c>
      <c r="N270" s="1" t="s">
        <v>62</v>
      </c>
      <c r="O270" s="1" t="s">
        <v>92</v>
      </c>
      <c r="P270" s="1" t="s">
        <v>1682</v>
      </c>
      <c r="Q270" s="1">
        <v>20.274178</v>
      </c>
      <c r="R270" s="1">
        <v>-87.486259</v>
      </c>
      <c r="S270" s="1" t="s">
        <v>1581</v>
      </c>
      <c r="T270" s="2" t="s">
        <v>1047</v>
      </c>
      <c r="U270" s="2" t="s">
        <v>1683</v>
      </c>
      <c r="V270" s="3" t="s">
        <v>97</v>
      </c>
      <c r="W270" s="2" t="s">
        <v>72</v>
      </c>
      <c r="X270" s="1" t="s">
        <v>70</v>
      </c>
      <c r="Y270" s="6" t="s">
        <v>76</v>
      </c>
      <c r="Z270" s="3" t="s">
        <v>76</v>
      </c>
      <c r="AB270" s="1">
        <v>6.0</v>
      </c>
      <c r="AI270" s="1" t="s">
        <v>1684</v>
      </c>
      <c r="AJ270" s="1">
        <v>-1470.0</v>
      </c>
      <c r="AK270" s="1">
        <v>1950.0</v>
      </c>
      <c r="AL270" s="2" t="s">
        <v>100</v>
      </c>
      <c r="AM270" s="2" t="s">
        <v>72</v>
      </c>
      <c r="AN270" s="1" t="s">
        <v>238</v>
      </c>
      <c r="AO270" s="2" t="s">
        <v>72</v>
      </c>
      <c r="AQ270" s="2" t="s">
        <v>75</v>
      </c>
      <c r="AR270" s="2" t="s">
        <v>60</v>
      </c>
      <c r="AS270" s="1">
        <v>1209.0</v>
      </c>
      <c r="AT270" s="1">
        <v>1209.0</v>
      </c>
      <c r="AU270" s="1">
        <v>495.0</v>
      </c>
      <c r="AV270" s="1">
        <v>39.0</v>
      </c>
      <c r="AW270" s="1">
        <v>132.0</v>
      </c>
      <c r="AX270" s="1">
        <v>5135.0</v>
      </c>
      <c r="AY270" s="1">
        <v>5.0</v>
      </c>
      <c r="AZ270" s="1" t="s">
        <v>239</v>
      </c>
      <c r="BA270" s="1" t="s">
        <v>121</v>
      </c>
    </row>
    <row r="271">
      <c r="A271" s="1" t="s">
        <v>1674</v>
      </c>
      <c r="B271" s="1" t="s">
        <v>53</v>
      </c>
      <c r="C271" s="1">
        <v>2010.0</v>
      </c>
      <c r="D271" s="1" t="s">
        <v>1675</v>
      </c>
      <c r="E271" s="1" t="s">
        <v>1676</v>
      </c>
      <c r="F271" s="1" t="s">
        <v>1386</v>
      </c>
      <c r="G271" s="1" t="s">
        <v>1677</v>
      </c>
      <c r="H271" s="1" t="s">
        <v>1678</v>
      </c>
      <c r="I271" s="1">
        <v>29.0</v>
      </c>
      <c r="J271" s="1" t="s">
        <v>1679</v>
      </c>
      <c r="K271" s="2" t="s">
        <v>1680</v>
      </c>
      <c r="L271" s="2" t="s">
        <v>60</v>
      </c>
      <c r="M271" s="1" t="s">
        <v>1704</v>
      </c>
      <c r="N271" s="1" t="s">
        <v>62</v>
      </c>
      <c r="O271" s="1" t="s">
        <v>92</v>
      </c>
      <c r="P271" s="1" t="s">
        <v>1682</v>
      </c>
      <c r="Q271" s="1">
        <v>20.274178</v>
      </c>
      <c r="R271" s="1">
        <v>-87.486259</v>
      </c>
      <c r="S271" s="1" t="s">
        <v>1581</v>
      </c>
      <c r="T271" s="2" t="s">
        <v>1047</v>
      </c>
      <c r="U271" s="2" t="s">
        <v>1683</v>
      </c>
      <c r="V271" s="3" t="s">
        <v>97</v>
      </c>
      <c r="W271" s="2" t="s">
        <v>72</v>
      </c>
      <c r="X271" s="1" t="s">
        <v>70</v>
      </c>
      <c r="Y271" s="6" t="s">
        <v>76</v>
      </c>
      <c r="Z271" s="3" t="s">
        <v>76</v>
      </c>
      <c r="AJ271" s="2" t="s">
        <v>72</v>
      </c>
      <c r="AK271" s="2" t="s">
        <v>72</v>
      </c>
      <c r="AL271" s="2" t="s">
        <v>100</v>
      </c>
      <c r="AM271" s="2" t="s">
        <v>72</v>
      </c>
      <c r="AN271" s="1" t="s">
        <v>238</v>
      </c>
      <c r="AO271" s="2" t="s">
        <v>72</v>
      </c>
      <c r="AQ271" s="2" t="s">
        <v>75</v>
      </c>
      <c r="AR271" s="2" t="s">
        <v>60</v>
      </c>
      <c r="AS271" s="1">
        <v>1209.0</v>
      </c>
      <c r="AT271" s="1">
        <v>1209.0</v>
      </c>
      <c r="AU271" s="1">
        <v>495.0</v>
      </c>
      <c r="AV271" s="1">
        <v>39.0</v>
      </c>
      <c r="AW271" s="1">
        <v>132.0</v>
      </c>
      <c r="AX271" s="1">
        <v>5135.0</v>
      </c>
      <c r="AY271" s="1">
        <v>5.0</v>
      </c>
      <c r="AZ271" s="1" t="s">
        <v>239</v>
      </c>
      <c r="BA271" s="1" t="s">
        <v>121</v>
      </c>
    </row>
    <row r="272">
      <c r="A272" s="1" t="s">
        <v>2095</v>
      </c>
      <c r="B272" s="1" t="s">
        <v>268</v>
      </c>
      <c r="C272" s="1">
        <v>2011.0</v>
      </c>
      <c r="D272" s="1" t="s">
        <v>2096</v>
      </c>
      <c r="E272" s="1" t="s">
        <v>2097</v>
      </c>
      <c r="H272" s="1" t="s">
        <v>2098</v>
      </c>
      <c r="I272" s="1">
        <v>21.0</v>
      </c>
      <c r="K272" s="2" t="s">
        <v>2099</v>
      </c>
      <c r="L272" s="2" t="s">
        <v>60</v>
      </c>
      <c r="M272" s="1" t="s">
        <v>2100</v>
      </c>
      <c r="N272" s="1" t="s">
        <v>62</v>
      </c>
      <c r="O272" s="1" t="s">
        <v>521</v>
      </c>
      <c r="P272" s="1" t="s">
        <v>2101</v>
      </c>
      <c r="Q272" s="1">
        <v>11.477574</v>
      </c>
      <c r="R272" s="1">
        <v>-85.632578</v>
      </c>
      <c r="S272" s="1" t="s">
        <v>148</v>
      </c>
      <c r="T272" s="2" t="s">
        <v>382</v>
      </c>
      <c r="U272" s="9" t="s">
        <v>1471</v>
      </c>
      <c r="V272" s="3" t="s">
        <v>116</v>
      </c>
      <c r="W272" s="1" t="s">
        <v>2102</v>
      </c>
      <c r="X272" s="1" t="s">
        <v>544</v>
      </c>
      <c r="Y272" s="6" t="s">
        <v>76</v>
      </c>
      <c r="Z272" s="3" t="s">
        <v>173</v>
      </c>
      <c r="AB272" s="1">
        <v>6.0</v>
      </c>
      <c r="AI272" s="1" t="s">
        <v>2103</v>
      </c>
      <c r="AJ272" s="1">
        <v>580.0</v>
      </c>
      <c r="AK272" s="1">
        <v>2000.0</v>
      </c>
      <c r="AL272" s="2" t="s">
        <v>73</v>
      </c>
      <c r="AM272" s="2" t="s">
        <v>72</v>
      </c>
      <c r="AN272" s="1" t="s">
        <v>238</v>
      </c>
      <c r="AO272" s="2" t="s">
        <v>72</v>
      </c>
      <c r="AQ272" s="2" t="s">
        <v>102</v>
      </c>
      <c r="AR272" s="2" t="s">
        <v>76</v>
      </c>
      <c r="AS272" s="1">
        <v>1667.0</v>
      </c>
      <c r="AT272" s="1">
        <v>1667.0</v>
      </c>
      <c r="AU272" s="1">
        <v>848.0</v>
      </c>
      <c r="AV272" s="1">
        <v>4.0</v>
      </c>
      <c r="AW272" s="1">
        <v>23.0</v>
      </c>
      <c r="AX272" s="1">
        <v>9142.0</v>
      </c>
      <c r="AY272" s="1">
        <v>70.0</v>
      </c>
      <c r="AZ272" s="1" t="s">
        <v>627</v>
      </c>
      <c r="BA272" s="1" t="s">
        <v>121</v>
      </c>
    </row>
    <row r="273">
      <c r="A273" s="1" t="s">
        <v>2095</v>
      </c>
      <c r="B273" s="1" t="s">
        <v>268</v>
      </c>
      <c r="C273" s="1">
        <v>2011.0</v>
      </c>
      <c r="D273" s="1" t="s">
        <v>2096</v>
      </c>
      <c r="E273" s="1" t="s">
        <v>2097</v>
      </c>
      <c r="H273" s="1" t="s">
        <v>2098</v>
      </c>
      <c r="I273" s="1">
        <v>21.0</v>
      </c>
      <c r="K273" s="2" t="s">
        <v>2099</v>
      </c>
      <c r="L273" s="2" t="s">
        <v>60</v>
      </c>
      <c r="M273" s="1" t="s">
        <v>2104</v>
      </c>
      <c r="N273" s="1" t="s">
        <v>62</v>
      </c>
      <c r="O273" s="1" t="s">
        <v>521</v>
      </c>
      <c r="P273" s="1" t="s">
        <v>2101</v>
      </c>
      <c r="Q273" s="1">
        <v>11.477574</v>
      </c>
      <c r="R273" s="1">
        <v>-85.632578</v>
      </c>
      <c r="S273" s="1" t="s">
        <v>148</v>
      </c>
      <c r="T273" s="2" t="s">
        <v>194</v>
      </c>
      <c r="U273" s="9" t="s">
        <v>1471</v>
      </c>
      <c r="V273" s="3" t="s">
        <v>116</v>
      </c>
      <c r="W273" s="1" t="s">
        <v>286</v>
      </c>
      <c r="X273" s="1" t="s">
        <v>70</v>
      </c>
      <c r="Y273" s="6" t="s">
        <v>76</v>
      </c>
      <c r="Z273" s="3" t="s">
        <v>173</v>
      </c>
      <c r="AB273" s="1">
        <v>6.0</v>
      </c>
      <c r="AI273" s="1" t="s">
        <v>2103</v>
      </c>
      <c r="AJ273" s="1">
        <v>580.0</v>
      </c>
      <c r="AK273" s="1">
        <v>2000.0</v>
      </c>
      <c r="AL273" s="2" t="s">
        <v>73</v>
      </c>
      <c r="AM273" s="2" t="s">
        <v>72</v>
      </c>
      <c r="AN273" s="1" t="s">
        <v>238</v>
      </c>
      <c r="AO273" s="2" t="s">
        <v>72</v>
      </c>
      <c r="AQ273" s="2" t="s">
        <v>102</v>
      </c>
      <c r="AR273" s="2" t="s">
        <v>76</v>
      </c>
      <c r="AS273" s="1">
        <v>1667.0</v>
      </c>
      <c r="AT273" s="1">
        <v>1667.0</v>
      </c>
      <c r="AU273" s="1">
        <v>848.0</v>
      </c>
      <c r="AV273" s="1">
        <v>4.0</v>
      </c>
      <c r="AW273" s="1">
        <v>23.0</v>
      </c>
      <c r="AX273" s="1">
        <v>9142.0</v>
      </c>
      <c r="AY273" s="1">
        <v>70.0</v>
      </c>
      <c r="AZ273" s="1" t="s">
        <v>627</v>
      </c>
      <c r="BA273" s="1" t="s">
        <v>121</v>
      </c>
    </row>
    <row r="274">
      <c r="A274" s="1" t="s">
        <v>2095</v>
      </c>
      <c r="B274" s="1" t="s">
        <v>268</v>
      </c>
      <c r="C274" s="1">
        <v>2011.0</v>
      </c>
      <c r="D274" s="1" t="s">
        <v>2096</v>
      </c>
      <c r="E274" s="1" t="s">
        <v>2097</v>
      </c>
      <c r="H274" s="1" t="s">
        <v>2098</v>
      </c>
      <c r="I274" s="1">
        <v>21.0</v>
      </c>
      <c r="K274" s="2" t="s">
        <v>2099</v>
      </c>
      <c r="L274" s="2" t="s">
        <v>60</v>
      </c>
      <c r="M274" s="1" t="s">
        <v>2105</v>
      </c>
      <c r="N274" s="1" t="s">
        <v>62</v>
      </c>
      <c r="O274" s="1" t="s">
        <v>521</v>
      </c>
      <c r="P274" s="1" t="s">
        <v>2101</v>
      </c>
      <c r="Q274" s="1">
        <v>11.477574</v>
      </c>
      <c r="R274" s="1">
        <v>-85.632578</v>
      </c>
      <c r="S274" s="1" t="s">
        <v>148</v>
      </c>
      <c r="T274" s="2" t="s">
        <v>599</v>
      </c>
      <c r="U274" s="10" t="s">
        <v>81</v>
      </c>
      <c r="V274" s="3" t="s">
        <v>116</v>
      </c>
      <c r="W274" s="1" t="s">
        <v>1463</v>
      </c>
      <c r="X274" s="2" t="s">
        <v>355</v>
      </c>
      <c r="Y274" s="6" t="s">
        <v>76</v>
      </c>
      <c r="Z274" s="3" t="s">
        <v>84</v>
      </c>
      <c r="AB274" s="1">
        <v>6.0</v>
      </c>
      <c r="AI274" s="1" t="s">
        <v>2103</v>
      </c>
      <c r="AJ274" s="1">
        <v>580.0</v>
      </c>
      <c r="AK274" s="1">
        <v>2000.0</v>
      </c>
      <c r="AL274" s="2" t="s">
        <v>73</v>
      </c>
      <c r="AM274" s="2" t="s">
        <v>72</v>
      </c>
      <c r="AN274" s="1" t="s">
        <v>238</v>
      </c>
      <c r="AO274" s="2" t="s">
        <v>72</v>
      </c>
      <c r="AQ274" s="2" t="s">
        <v>102</v>
      </c>
      <c r="AR274" s="2" t="s">
        <v>76</v>
      </c>
      <c r="AS274" s="1">
        <v>1667.0</v>
      </c>
      <c r="AT274" s="1">
        <v>1667.0</v>
      </c>
      <c r="AU274" s="1">
        <v>848.0</v>
      </c>
      <c r="AV274" s="1">
        <v>4.0</v>
      </c>
      <c r="AW274" s="1">
        <v>23.0</v>
      </c>
      <c r="AX274" s="1">
        <v>9142.0</v>
      </c>
      <c r="AY274" s="1">
        <v>70.0</v>
      </c>
      <c r="AZ274" s="1" t="s">
        <v>627</v>
      </c>
      <c r="BA274" s="1" t="s">
        <v>121</v>
      </c>
    </row>
    <row r="275">
      <c r="A275" s="1" t="s">
        <v>779</v>
      </c>
      <c r="B275" s="1" t="s">
        <v>53</v>
      </c>
      <c r="C275" s="1">
        <v>2011.0</v>
      </c>
      <c r="D275" s="1" t="s">
        <v>780</v>
      </c>
      <c r="E275" s="1" t="s">
        <v>781</v>
      </c>
      <c r="F275" s="1" t="s">
        <v>782</v>
      </c>
      <c r="G275" s="1" t="s">
        <v>783</v>
      </c>
      <c r="H275" s="1" t="s">
        <v>784</v>
      </c>
      <c r="I275" s="1">
        <v>10.0</v>
      </c>
      <c r="J275" s="1">
        <v>2.0</v>
      </c>
      <c r="K275" s="2" t="s">
        <v>785</v>
      </c>
      <c r="L275" s="2" t="s">
        <v>60</v>
      </c>
      <c r="M275" s="1" t="s">
        <v>786</v>
      </c>
      <c r="N275" s="1" t="s">
        <v>62</v>
      </c>
      <c r="O275" s="1" t="s">
        <v>167</v>
      </c>
      <c r="P275" s="1" t="s">
        <v>787</v>
      </c>
      <c r="Q275" s="1">
        <v>15.423444</v>
      </c>
      <c r="R275" s="1">
        <v>-91.438694</v>
      </c>
      <c r="S275" s="1" t="s">
        <v>148</v>
      </c>
      <c r="T275" s="3" t="s">
        <v>1150</v>
      </c>
      <c r="U275" s="1" t="s">
        <v>156</v>
      </c>
      <c r="V275" s="3" t="s">
        <v>788</v>
      </c>
      <c r="W275" s="1" t="s">
        <v>264</v>
      </c>
      <c r="X275" s="2" t="s">
        <v>83</v>
      </c>
      <c r="Y275" s="6" t="s">
        <v>76</v>
      </c>
      <c r="Z275" s="3" t="s">
        <v>76</v>
      </c>
      <c r="AB275" s="1">
        <v>3.0</v>
      </c>
      <c r="AI275" s="1" t="s">
        <v>789</v>
      </c>
      <c r="AJ275" s="1">
        <v>-10000.0</v>
      </c>
      <c r="AK275" s="1">
        <v>-150.0</v>
      </c>
      <c r="AL275" s="2" t="s">
        <v>100</v>
      </c>
      <c r="AM275" s="2" t="s">
        <v>76</v>
      </c>
      <c r="AN275" s="1" t="s">
        <v>238</v>
      </c>
      <c r="AO275" s="2" t="s">
        <v>60</v>
      </c>
      <c r="AQ275" s="2" t="s">
        <v>102</v>
      </c>
      <c r="AR275" s="2" t="s">
        <v>76</v>
      </c>
      <c r="AS275" s="1">
        <v>1420.0</v>
      </c>
      <c r="AT275" s="1">
        <v>1420.0</v>
      </c>
      <c r="AU275" s="1">
        <v>672.0</v>
      </c>
      <c r="AV275" s="1">
        <v>10.0</v>
      </c>
      <c r="AW275" s="1">
        <v>40.0</v>
      </c>
      <c r="AX275" s="1">
        <v>8358.0</v>
      </c>
      <c r="AY275" s="1">
        <v>3077.0</v>
      </c>
      <c r="AZ275" s="1" t="s">
        <v>758</v>
      </c>
      <c r="BA275" s="1" t="s">
        <v>121</v>
      </c>
    </row>
    <row r="276">
      <c r="A276" s="1" t="s">
        <v>779</v>
      </c>
      <c r="B276" s="1" t="s">
        <v>53</v>
      </c>
      <c r="C276" s="1">
        <v>2011.0</v>
      </c>
      <c r="D276" s="1" t="s">
        <v>780</v>
      </c>
      <c r="E276" s="1" t="s">
        <v>781</v>
      </c>
      <c r="F276" s="1" t="s">
        <v>782</v>
      </c>
      <c r="G276" s="1" t="s">
        <v>783</v>
      </c>
      <c r="H276" s="1" t="s">
        <v>784</v>
      </c>
      <c r="I276" s="1">
        <v>10.0</v>
      </c>
      <c r="J276" s="1">
        <v>2.0</v>
      </c>
      <c r="K276" s="2" t="s">
        <v>785</v>
      </c>
      <c r="L276" s="2" t="s">
        <v>60</v>
      </c>
      <c r="M276" s="1" t="s">
        <v>802</v>
      </c>
      <c r="N276" s="1" t="s">
        <v>62</v>
      </c>
      <c r="O276" s="1" t="s">
        <v>167</v>
      </c>
      <c r="P276" s="1" t="s">
        <v>787</v>
      </c>
      <c r="Q276" s="1">
        <v>15.423444</v>
      </c>
      <c r="R276" s="1">
        <v>-91.438694</v>
      </c>
      <c r="S276" s="1" t="s">
        <v>148</v>
      </c>
      <c r="T276" s="2" t="s">
        <v>66</v>
      </c>
      <c r="U276" s="2" t="s">
        <v>803</v>
      </c>
      <c r="V276" s="3" t="s">
        <v>788</v>
      </c>
      <c r="W276" s="1" t="s">
        <v>804</v>
      </c>
      <c r="X276" s="1" t="s">
        <v>70</v>
      </c>
      <c r="Y276" s="5" t="s">
        <v>76</v>
      </c>
      <c r="Z276" s="3" t="s">
        <v>76</v>
      </c>
      <c r="AB276" s="1">
        <v>3.0</v>
      </c>
      <c r="AI276" s="1" t="s">
        <v>789</v>
      </c>
      <c r="AJ276" s="1">
        <v>-10000.0</v>
      </c>
      <c r="AK276" s="1">
        <v>1950.0</v>
      </c>
      <c r="AL276" s="2" t="s">
        <v>100</v>
      </c>
      <c r="AM276" s="2" t="s">
        <v>76</v>
      </c>
      <c r="AN276" s="1" t="s">
        <v>238</v>
      </c>
      <c r="AO276" s="2" t="s">
        <v>60</v>
      </c>
      <c r="AQ276" s="2" t="s">
        <v>102</v>
      </c>
      <c r="AR276" s="2" t="s">
        <v>76</v>
      </c>
      <c r="AS276" s="1">
        <v>1420.0</v>
      </c>
      <c r="AT276" s="1">
        <v>1420.0</v>
      </c>
      <c r="AU276" s="1">
        <v>672.0</v>
      </c>
      <c r="AV276" s="1">
        <v>10.0</v>
      </c>
      <c r="AW276" s="1">
        <v>40.0</v>
      </c>
      <c r="AX276" s="1">
        <v>8358.0</v>
      </c>
      <c r="AY276" s="1">
        <v>3077.0</v>
      </c>
      <c r="AZ276" s="1" t="s">
        <v>758</v>
      </c>
      <c r="BA276" s="1" t="s">
        <v>121</v>
      </c>
    </row>
    <row r="277">
      <c r="A277" s="1" t="s">
        <v>944</v>
      </c>
      <c r="B277" s="1" t="s">
        <v>53</v>
      </c>
      <c r="C277" s="1">
        <v>2011.0</v>
      </c>
      <c r="D277" s="1" t="s">
        <v>945</v>
      </c>
      <c r="E277" s="1" t="s">
        <v>946</v>
      </c>
      <c r="F277" s="1" t="s">
        <v>732</v>
      </c>
      <c r="G277" s="1" t="s">
        <v>947</v>
      </c>
      <c r="H277" s="1" t="s">
        <v>948</v>
      </c>
      <c r="I277" s="1">
        <v>45.0</v>
      </c>
      <c r="J277" s="1">
        <v>3.0</v>
      </c>
      <c r="K277" s="2" t="s">
        <v>949</v>
      </c>
      <c r="L277" s="2" t="s">
        <v>76</v>
      </c>
      <c r="M277" s="1" t="s">
        <v>944</v>
      </c>
      <c r="N277" s="1" t="s">
        <v>62</v>
      </c>
      <c r="O277" s="1" t="s">
        <v>112</v>
      </c>
      <c r="P277" s="1" t="s">
        <v>308</v>
      </c>
      <c r="Q277" s="1">
        <v>9.494444</v>
      </c>
      <c r="R277" s="1">
        <v>-83.487222</v>
      </c>
      <c r="S277" s="1" t="s">
        <v>148</v>
      </c>
      <c r="T277" s="2" t="s">
        <v>135</v>
      </c>
      <c r="U277" s="1" t="s">
        <v>823</v>
      </c>
      <c r="V277" s="3" t="s">
        <v>97</v>
      </c>
      <c r="W277" s="1" t="s">
        <v>547</v>
      </c>
      <c r="X277" s="1" t="s">
        <v>265</v>
      </c>
      <c r="Y277" s="5" t="s">
        <v>76</v>
      </c>
      <c r="Z277" s="3" t="s">
        <v>76</v>
      </c>
      <c r="AB277" s="1">
        <v>6.0</v>
      </c>
      <c r="AI277" s="2" t="s">
        <v>72</v>
      </c>
      <c r="AJ277" s="1">
        <v>-9050.0</v>
      </c>
      <c r="AK277" s="1">
        <v>1989.0</v>
      </c>
      <c r="AL277" s="2" t="s">
        <v>153</v>
      </c>
      <c r="AM277" s="2" t="s">
        <v>60</v>
      </c>
      <c r="AN277" s="1" t="s">
        <v>238</v>
      </c>
      <c r="AO277" s="2" t="s">
        <v>72</v>
      </c>
      <c r="AQ277" s="2" t="s">
        <v>102</v>
      </c>
      <c r="AR277" s="2" t="s">
        <v>76</v>
      </c>
      <c r="AS277" s="1">
        <v>2202.0</v>
      </c>
      <c r="AT277" s="1">
        <v>2202.0</v>
      </c>
      <c r="AU277" s="1">
        <v>957.0</v>
      </c>
      <c r="AV277" s="1">
        <v>11.0</v>
      </c>
      <c r="AW277" s="1">
        <v>65.0</v>
      </c>
      <c r="AX277" s="1">
        <v>7181.0</v>
      </c>
      <c r="AY277" s="1">
        <v>3509.0</v>
      </c>
      <c r="AZ277" s="1" t="s">
        <v>154</v>
      </c>
      <c r="BA277" s="1" t="s">
        <v>121</v>
      </c>
    </row>
    <row r="278">
      <c r="A278" s="1" t="s">
        <v>2106</v>
      </c>
      <c r="B278" s="1" t="s">
        <v>268</v>
      </c>
      <c r="C278" s="1">
        <v>2011.0</v>
      </c>
      <c r="D278" s="1" t="s">
        <v>2051</v>
      </c>
      <c r="E278" s="1" t="s">
        <v>2107</v>
      </c>
      <c r="H278" s="1" t="s">
        <v>2108</v>
      </c>
      <c r="I278" s="1">
        <v>76.0</v>
      </c>
      <c r="K278" s="2" t="s">
        <v>2109</v>
      </c>
      <c r="L278" s="2" t="s">
        <v>60</v>
      </c>
      <c r="M278" s="1" t="s">
        <v>2110</v>
      </c>
      <c r="N278" s="1" t="s">
        <v>62</v>
      </c>
      <c r="O278" s="1" t="s">
        <v>187</v>
      </c>
      <c r="P278" s="1" t="s">
        <v>2111</v>
      </c>
      <c r="Q278" s="1">
        <v>17.472047</v>
      </c>
      <c r="R278" s="1">
        <v>-88.260859</v>
      </c>
      <c r="S278" s="1" t="s">
        <v>65</v>
      </c>
      <c r="T278" s="2" t="s">
        <v>66</v>
      </c>
      <c r="U278" s="2" t="s">
        <v>2112</v>
      </c>
      <c r="V278" s="3" t="s">
        <v>788</v>
      </c>
      <c r="W278" s="1" t="s">
        <v>1594</v>
      </c>
      <c r="X278" s="1" t="s">
        <v>70</v>
      </c>
      <c r="Y278" s="5" t="s">
        <v>76</v>
      </c>
      <c r="Z278" s="3" t="s">
        <v>76</v>
      </c>
      <c r="AB278" s="1">
        <v>5.0</v>
      </c>
      <c r="AI278" s="1" t="s">
        <v>2113</v>
      </c>
      <c r="AJ278" s="1">
        <v>-6780.0</v>
      </c>
      <c r="AK278" s="1">
        <v>2005.0</v>
      </c>
      <c r="AL278" s="2" t="s">
        <v>73</v>
      </c>
      <c r="AM278" s="2" t="s">
        <v>72</v>
      </c>
      <c r="AN278" s="1" t="s">
        <v>238</v>
      </c>
      <c r="AO278" s="2" t="s">
        <v>72</v>
      </c>
      <c r="AQ278" s="2" t="s">
        <v>75</v>
      </c>
      <c r="AR278" s="2" t="s">
        <v>76</v>
      </c>
      <c r="AS278" s="1">
        <v>1875.0</v>
      </c>
      <c r="AT278" s="1">
        <v>1875.0</v>
      </c>
      <c r="AU278" s="1">
        <v>687.0</v>
      </c>
      <c r="AV278" s="1">
        <v>48.0</v>
      </c>
      <c r="AW278" s="1">
        <v>161.0</v>
      </c>
      <c r="AX278" s="1">
        <v>5008.0</v>
      </c>
      <c r="AY278" s="1">
        <v>4.0</v>
      </c>
      <c r="AZ278" s="1" t="s">
        <v>658</v>
      </c>
      <c r="BA278" s="1" t="s">
        <v>659</v>
      </c>
    </row>
    <row r="279">
      <c r="A279" s="1" t="s">
        <v>2106</v>
      </c>
      <c r="B279" s="1" t="s">
        <v>268</v>
      </c>
      <c r="C279" s="1">
        <v>2011.0</v>
      </c>
      <c r="D279" s="1" t="s">
        <v>2051</v>
      </c>
      <c r="E279" s="1" t="s">
        <v>2107</v>
      </c>
      <c r="H279" s="1" t="s">
        <v>2108</v>
      </c>
      <c r="I279" s="1">
        <v>76.0</v>
      </c>
      <c r="K279" s="2" t="s">
        <v>2109</v>
      </c>
      <c r="L279" s="2" t="s">
        <v>60</v>
      </c>
      <c r="M279" s="1" t="s">
        <v>2114</v>
      </c>
      <c r="N279" s="1" t="s">
        <v>62</v>
      </c>
      <c r="O279" s="1" t="s">
        <v>187</v>
      </c>
      <c r="P279" s="1" t="s">
        <v>2111</v>
      </c>
      <c r="Q279" s="1">
        <v>17.472047</v>
      </c>
      <c r="R279" s="1">
        <v>-88.260859</v>
      </c>
      <c r="S279" s="1" t="s">
        <v>65</v>
      </c>
      <c r="T279" s="2" t="s">
        <v>189</v>
      </c>
      <c r="U279" s="2" t="s">
        <v>170</v>
      </c>
      <c r="V279" s="3" t="s">
        <v>97</v>
      </c>
      <c r="W279" s="1" t="s">
        <v>2056</v>
      </c>
      <c r="X279" s="1" t="s">
        <v>70</v>
      </c>
      <c r="Y279" s="6" t="s">
        <v>76</v>
      </c>
      <c r="Z279" s="3" t="s">
        <v>76</v>
      </c>
      <c r="AB279" s="1">
        <v>5.0</v>
      </c>
      <c r="AI279" s="1" t="s">
        <v>2113</v>
      </c>
      <c r="AJ279" s="1">
        <v>-6780.0</v>
      </c>
      <c r="AK279" s="1">
        <v>2005.0</v>
      </c>
      <c r="AL279" s="2" t="s">
        <v>73</v>
      </c>
      <c r="AM279" s="2" t="s">
        <v>72</v>
      </c>
      <c r="AN279" s="1" t="s">
        <v>238</v>
      </c>
      <c r="AO279" s="2" t="s">
        <v>72</v>
      </c>
      <c r="AQ279" s="2" t="s">
        <v>75</v>
      </c>
      <c r="AR279" s="2" t="s">
        <v>76</v>
      </c>
      <c r="AS279" s="1">
        <v>1875.0</v>
      </c>
      <c r="AT279" s="1">
        <v>1875.0</v>
      </c>
      <c r="AU279" s="1">
        <v>687.0</v>
      </c>
      <c r="AV279" s="1">
        <v>48.0</v>
      </c>
      <c r="AW279" s="1">
        <v>161.0</v>
      </c>
      <c r="AX279" s="1">
        <v>5008.0</v>
      </c>
      <c r="AY279" s="1">
        <v>4.0</v>
      </c>
      <c r="AZ279" s="1" t="s">
        <v>658</v>
      </c>
      <c r="BA279" s="1" t="s">
        <v>659</v>
      </c>
    </row>
    <row r="280">
      <c r="A280" s="1" t="s">
        <v>2106</v>
      </c>
      <c r="B280" s="1" t="s">
        <v>268</v>
      </c>
      <c r="C280" s="1">
        <v>2011.0</v>
      </c>
      <c r="D280" s="1" t="s">
        <v>2051</v>
      </c>
      <c r="E280" s="1" t="s">
        <v>2107</v>
      </c>
      <c r="H280" s="1" t="s">
        <v>2108</v>
      </c>
      <c r="I280" s="1">
        <v>76.0</v>
      </c>
      <c r="K280" s="2" t="s">
        <v>2109</v>
      </c>
      <c r="L280" s="2" t="s">
        <v>60</v>
      </c>
      <c r="M280" s="1" t="s">
        <v>2115</v>
      </c>
      <c r="N280" s="1" t="s">
        <v>62</v>
      </c>
      <c r="O280" s="1" t="s">
        <v>187</v>
      </c>
      <c r="P280" s="1" t="s">
        <v>2111</v>
      </c>
      <c r="Q280" s="1">
        <v>17.472047</v>
      </c>
      <c r="R280" s="1">
        <v>-88.260859</v>
      </c>
      <c r="S280" s="1" t="s">
        <v>65</v>
      </c>
      <c r="T280" s="2" t="s">
        <v>135</v>
      </c>
      <c r="U280" s="1" t="s">
        <v>173</v>
      </c>
      <c r="V280" s="3" t="s">
        <v>97</v>
      </c>
      <c r="W280" s="1" t="s">
        <v>547</v>
      </c>
      <c r="X280" s="1" t="s">
        <v>256</v>
      </c>
      <c r="Y280" s="6" t="s">
        <v>76</v>
      </c>
      <c r="Z280" s="3" t="s">
        <v>76</v>
      </c>
      <c r="AB280" s="1">
        <v>5.0</v>
      </c>
      <c r="AI280" s="1" t="s">
        <v>2113</v>
      </c>
      <c r="AJ280" s="1">
        <v>-6780.0</v>
      </c>
      <c r="AK280" s="1">
        <v>2005.0</v>
      </c>
      <c r="AL280" s="2" t="s">
        <v>73</v>
      </c>
      <c r="AM280" s="2" t="s">
        <v>72</v>
      </c>
      <c r="AN280" s="1" t="s">
        <v>238</v>
      </c>
      <c r="AO280" s="2" t="s">
        <v>72</v>
      </c>
      <c r="AQ280" s="2" t="s">
        <v>75</v>
      </c>
      <c r="AR280" s="2" t="s">
        <v>76</v>
      </c>
      <c r="AS280" s="1">
        <v>1875.0</v>
      </c>
      <c r="AT280" s="1">
        <v>1875.0</v>
      </c>
      <c r="AU280" s="1">
        <v>687.0</v>
      </c>
      <c r="AV280" s="1">
        <v>48.0</v>
      </c>
      <c r="AW280" s="1">
        <v>161.0</v>
      </c>
      <c r="AX280" s="1">
        <v>5008.0</v>
      </c>
      <c r="AY280" s="1">
        <v>4.0</v>
      </c>
      <c r="AZ280" s="1" t="s">
        <v>658</v>
      </c>
      <c r="BA280" s="1" t="s">
        <v>659</v>
      </c>
    </row>
    <row r="281">
      <c r="A281" s="1" t="s">
        <v>2106</v>
      </c>
      <c r="B281" s="1" t="s">
        <v>268</v>
      </c>
      <c r="C281" s="1">
        <v>2011.0</v>
      </c>
      <c r="D281" s="1" t="s">
        <v>2051</v>
      </c>
      <c r="E281" s="1" t="s">
        <v>2107</v>
      </c>
      <c r="H281" s="1" t="s">
        <v>2108</v>
      </c>
      <c r="I281" s="1">
        <v>76.0</v>
      </c>
      <c r="K281" s="2" t="s">
        <v>2109</v>
      </c>
      <c r="L281" s="2" t="s">
        <v>60</v>
      </c>
      <c r="M281" s="1" t="s">
        <v>2116</v>
      </c>
      <c r="N281" s="1" t="s">
        <v>62</v>
      </c>
      <c r="O281" s="1" t="s">
        <v>187</v>
      </c>
      <c r="P281" s="1" t="s">
        <v>2111</v>
      </c>
      <c r="Q281" s="1">
        <v>17.472047</v>
      </c>
      <c r="R281" s="1">
        <v>-88.260859</v>
      </c>
      <c r="S281" s="1" t="s">
        <v>65</v>
      </c>
      <c r="T281" s="2" t="s">
        <v>388</v>
      </c>
      <c r="U281" s="1" t="s">
        <v>173</v>
      </c>
      <c r="V281" s="3" t="s">
        <v>97</v>
      </c>
      <c r="W281" s="1" t="s">
        <v>547</v>
      </c>
      <c r="X281" s="1" t="s">
        <v>256</v>
      </c>
      <c r="Y281" s="6" t="s">
        <v>76</v>
      </c>
      <c r="Z281" s="3" t="s">
        <v>76</v>
      </c>
      <c r="AB281" s="1">
        <v>5.0</v>
      </c>
      <c r="AI281" s="1" t="s">
        <v>2113</v>
      </c>
      <c r="AJ281" s="1">
        <v>-6780.0</v>
      </c>
      <c r="AK281" s="1">
        <v>2005.0</v>
      </c>
      <c r="AL281" s="2" t="s">
        <v>73</v>
      </c>
      <c r="AM281" s="2" t="s">
        <v>72</v>
      </c>
      <c r="AN281" s="1" t="s">
        <v>238</v>
      </c>
      <c r="AO281" s="2" t="s">
        <v>72</v>
      </c>
      <c r="AQ281" s="2" t="s">
        <v>75</v>
      </c>
      <c r="AR281" s="2" t="s">
        <v>76</v>
      </c>
      <c r="AS281" s="1">
        <v>1875.0</v>
      </c>
      <c r="AT281" s="1">
        <v>1875.0</v>
      </c>
      <c r="AU281" s="1">
        <v>687.0</v>
      </c>
      <c r="AV281" s="1">
        <v>48.0</v>
      </c>
      <c r="AW281" s="1">
        <v>161.0</v>
      </c>
      <c r="AX281" s="1">
        <v>5008.0</v>
      </c>
      <c r="AY281" s="1">
        <v>4.0</v>
      </c>
      <c r="AZ281" s="1" t="s">
        <v>658</v>
      </c>
      <c r="BA281" s="1" t="s">
        <v>659</v>
      </c>
    </row>
    <row r="282">
      <c r="A282" s="1" t="s">
        <v>2106</v>
      </c>
      <c r="B282" s="1" t="s">
        <v>268</v>
      </c>
      <c r="C282" s="1">
        <v>2011.0</v>
      </c>
      <c r="D282" s="1" t="s">
        <v>2051</v>
      </c>
      <c r="E282" s="1" t="s">
        <v>2107</v>
      </c>
      <c r="H282" s="1" t="s">
        <v>2108</v>
      </c>
      <c r="I282" s="1">
        <v>76.0</v>
      </c>
      <c r="K282" s="2" t="s">
        <v>2109</v>
      </c>
      <c r="L282" s="2" t="s">
        <v>60</v>
      </c>
      <c r="M282" s="1" t="s">
        <v>2117</v>
      </c>
      <c r="N282" s="1" t="s">
        <v>62</v>
      </c>
      <c r="O282" s="1" t="s">
        <v>187</v>
      </c>
      <c r="P282" s="1" t="s">
        <v>2111</v>
      </c>
      <c r="Q282" s="1">
        <v>17.472047</v>
      </c>
      <c r="R282" s="1">
        <v>-88.260859</v>
      </c>
      <c r="S282" s="1" t="s">
        <v>65</v>
      </c>
      <c r="T282" s="2" t="s">
        <v>382</v>
      </c>
      <c r="U282" s="1" t="s">
        <v>173</v>
      </c>
      <c r="V282" s="3" t="s">
        <v>97</v>
      </c>
      <c r="W282" s="2" t="s">
        <v>72</v>
      </c>
      <c r="X282" s="1" t="s">
        <v>968</v>
      </c>
      <c r="Y282" s="6" t="s">
        <v>76</v>
      </c>
      <c r="Z282" s="3" t="s">
        <v>76</v>
      </c>
      <c r="AB282" s="1">
        <v>5.0</v>
      </c>
      <c r="AI282" s="1" t="s">
        <v>2113</v>
      </c>
      <c r="AJ282" s="1">
        <v>-6780.0</v>
      </c>
      <c r="AK282" s="1">
        <v>2005.0</v>
      </c>
      <c r="AL282" s="2" t="s">
        <v>73</v>
      </c>
      <c r="AM282" s="2" t="s">
        <v>72</v>
      </c>
      <c r="AN282" s="1" t="s">
        <v>238</v>
      </c>
      <c r="AO282" s="2" t="s">
        <v>72</v>
      </c>
      <c r="AQ282" s="2" t="s">
        <v>75</v>
      </c>
      <c r="AR282" s="2" t="s">
        <v>76</v>
      </c>
      <c r="AS282" s="1">
        <v>1875.0</v>
      </c>
      <c r="AT282" s="1">
        <v>1875.0</v>
      </c>
      <c r="AU282" s="1">
        <v>687.0</v>
      </c>
      <c r="AV282" s="1">
        <v>48.0</v>
      </c>
      <c r="AW282" s="1">
        <v>161.0</v>
      </c>
      <c r="AX282" s="1">
        <v>5008.0</v>
      </c>
      <c r="AY282" s="1">
        <v>4.0</v>
      </c>
      <c r="AZ282" s="1" t="s">
        <v>658</v>
      </c>
      <c r="BA282" s="1" t="s">
        <v>659</v>
      </c>
    </row>
    <row r="283">
      <c r="A283" s="1" t="s">
        <v>2106</v>
      </c>
      <c r="B283" s="1" t="s">
        <v>268</v>
      </c>
      <c r="C283" s="1">
        <v>2011.0</v>
      </c>
      <c r="D283" s="1" t="s">
        <v>2051</v>
      </c>
      <c r="E283" s="1" t="s">
        <v>2107</v>
      </c>
      <c r="H283" s="1" t="s">
        <v>2108</v>
      </c>
      <c r="I283" s="1">
        <v>76.0</v>
      </c>
      <c r="K283" s="2" t="s">
        <v>2109</v>
      </c>
      <c r="L283" s="2" t="s">
        <v>60</v>
      </c>
      <c r="M283" s="1" t="s">
        <v>2118</v>
      </c>
      <c r="N283" s="1" t="s">
        <v>62</v>
      </c>
      <c r="O283" s="1" t="s">
        <v>187</v>
      </c>
      <c r="P283" s="1" t="s">
        <v>2111</v>
      </c>
      <c r="Q283" s="1">
        <v>17.472047</v>
      </c>
      <c r="R283" s="1">
        <v>-88.260859</v>
      </c>
      <c r="S283" s="1" t="s">
        <v>65</v>
      </c>
      <c r="T283" s="2" t="s">
        <v>194</v>
      </c>
      <c r="U283" s="1" t="s">
        <v>173</v>
      </c>
      <c r="V283" s="3" t="s">
        <v>97</v>
      </c>
      <c r="W283" s="1" t="s">
        <v>2056</v>
      </c>
      <c r="X283" s="1" t="s">
        <v>70</v>
      </c>
      <c r="Y283" s="6" t="s">
        <v>76</v>
      </c>
      <c r="Z283" s="3" t="s">
        <v>76</v>
      </c>
      <c r="AB283" s="1">
        <v>5.0</v>
      </c>
      <c r="AI283" s="1" t="s">
        <v>2113</v>
      </c>
      <c r="AJ283" s="1">
        <v>-6780.0</v>
      </c>
      <c r="AK283" s="1">
        <v>2005.0</v>
      </c>
      <c r="AL283" s="2" t="s">
        <v>73</v>
      </c>
      <c r="AM283" s="2" t="s">
        <v>72</v>
      </c>
      <c r="AN283" s="1" t="s">
        <v>238</v>
      </c>
      <c r="AO283" s="2" t="s">
        <v>72</v>
      </c>
      <c r="AQ283" s="2" t="s">
        <v>75</v>
      </c>
      <c r="AR283" s="2" t="s">
        <v>76</v>
      </c>
      <c r="AS283" s="1">
        <v>1875.0</v>
      </c>
      <c r="AT283" s="1">
        <v>1875.0</v>
      </c>
      <c r="AU283" s="1">
        <v>687.0</v>
      </c>
      <c r="AV283" s="1">
        <v>48.0</v>
      </c>
      <c r="AW283" s="1">
        <v>161.0</v>
      </c>
      <c r="AX283" s="1">
        <v>5008.0</v>
      </c>
      <c r="AY283" s="1">
        <v>4.0</v>
      </c>
      <c r="AZ283" s="1" t="s">
        <v>658</v>
      </c>
      <c r="BA283" s="1" t="s">
        <v>659</v>
      </c>
    </row>
    <row r="284">
      <c r="A284" s="1" t="s">
        <v>369</v>
      </c>
      <c r="B284" s="1" t="s">
        <v>53</v>
      </c>
      <c r="C284" s="1">
        <v>2011.0</v>
      </c>
      <c r="D284" s="1" t="s">
        <v>370</v>
      </c>
      <c r="E284" s="1" t="s">
        <v>371</v>
      </c>
      <c r="F284" s="1" t="s">
        <v>359</v>
      </c>
      <c r="G284" s="1" t="s">
        <v>372</v>
      </c>
      <c r="H284" s="1" t="s">
        <v>373</v>
      </c>
      <c r="I284" s="1">
        <v>26.0</v>
      </c>
      <c r="J284" s="1">
        <v>3.0</v>
      </c>
      <c r="K284" s="2" t="s">
        <v>374</v>
      </c>
      <c r="L284" s="2" t="s">
        <v>60</v>
      </c>
      <c r="M284" s="1" t="s">
        <v>375</v>
      </c>
      <c r="N284" s="1" t="s">
        <v>62</v>
      </c>
      <c r="O284" s="1" t="s">
        <v>167</v>
      </c>
      <c r="P284" s="1" t="s">
        <v>376</v>
      </c>
      <c r="Q284" s="1">
        <v>14.456389</v>
      </c>
      <c r="R284" s="1">
        <v>-90.566111</v>
      </c>
      <c r="S284" s="1" t="s">
        <v>148</v>
      </c>
      <c r="T284" s="2" t="s">
        <v>66</v>
      </c>
      <c r="U284" s="3" t="s">
        <v>67</v>
      </c>
      <c r="V284" s="3" t="s">
        <v>68</v>
      </c>
      <c r="W284" s="1" t="s">
        <v>377</v>
      </c>
      <c r="X284" s="1" t="s">
        <v>70</v>
      </c>
      <c r="Y284" s="5" t="s">
        <v>60</v>
      </c>
      <c r="Z284" s="3" t="s">
        <v>345</v>
      </c>
      <c r="AB284" s="1">
        <v>5.0</v>
      </c>
      <c r="AI284" s="2" t="s">
        <v>72</v>
      </c>
      <c r="AJ284" s="1">
        <v>-1000.0</v>
      </c>
      <c r="AK284" s="1">
        <v>2000.0</v>
      </c>
      <c r="AL284" s="2" t="s">
        <v>73</v>
      </c>
      <c r="AM284" s="2" t="s">
        <v>72</v>
      </c>
      <c r="AN284" s="1" t="s">
        <v>238</v>
      </c>
      <c r="AO284" s="2" t="s">
        <v>72</v>
      </c>
      <c r="AQ284" s="2" t="s">
        <v>75</v>
      </c>
      <c r="AR284" s="2" t="s">
        <v>76</v>
      </c>
      <c r="AS284" s="1">
        <v>1344.0</v>
      </c>
      <c r="AT284" s="1">
        <v>1344.0</v>
      </c>
      <c r="AU284" s="1">
        <v>729.0</v>
      </c>
      <c r="AV284" s="1">
        <v>1.0</v>
      </c>
      <c r="AW284" s="1">
        <v>7.0</v>
      </c>
      <c r="AX284" s="1">
        <v>10277.0</v>
      </c>
      <c r="AY284" s="1">
        <v>1198.0</v>
      </c>
      <c r="AZ284" s="1" t="s">
        <v>77</v>
      </c>
      <c r="BA284" s="1" t="s">
        <v>78</v>
      </c>
    </row>
    <row r="285">
      <c r="A285" s="1" t="s">
        <v>369</v>
      </c>
      <c r="B285" s="1" t="s">
        <v>53</v>
      </c>
      <c r="C285" s="1">
        <v>2011.0</v>
      </c>
      <c r="D285" s="1" t="s">
        <v>370</v>
      </c>
      <c r="E285" s="1" t="s">
        <v>371</v>
      </c>
      <c r="F285" s="1" t="s">
        <v>359</v>
      </c>
      <c r="G285" s="1" t="s">
        <v>372</v>
      </c>
      <c r="H285" s="1" t="s">
        <v>373</v>
      </c>
      <c r="I285" s="1">
        <v>26.0</v>
      </c>
      <c r="J285" s="1">
        <v>3.0</v>
      </c>
      <c r="K285" s="2" t="s">
        <v>374</v>
      </c>
      <c r="L285" s="2" t="s">
        <v>60</v>
      </c>
      <c r="M285" s="1" t="s">
        <v>378</v>
      </c>
      <c r="N285" s="1" t="s">
        <v>62</v>
      </c>
      <c r="O285" s="1" t="s">
        <v>167</v>
      </c>
      <c r="P285" s="1" t="s">
        <v>376</v>
      </c>
      <c r="Q285" s="1">
        <v>14.456389</v>
      </c>
      <c r="R285" s="1">
        <v>-90.566111</v>
      </c>
      <c r="S285" s="1" t="s">
        <v>148</v>
      </c>
      <c r="T285" s="2" t="s">
        <v>149</v>
      </c>
      <c r="U285" s="2" t="s">
        <v>379</v>
      </c>
      <c r="V285" s="3" t="s">
        <v>299</v>
      </c>
      <c r="W285" s="1" t="s">
        <v>264</v>
      </c>
      <c r="X285" s="1" t="s">
        <v>70</v>
      </c>
      <c r="Y285" s="6" t="s">
        <v>76</v>
      </c>
      <c r="Z285" s="3" t="s">
        <v>380</v>
      </c>
      <c r="AB285" s="1">
        <v>5.0</v>
      </c>
      <c r="AI285" s="2" t="s">
        <v>72</v>
      </c>
      <c r="AJ285" s="1">
        <v>-1000.0</v>
      </c>
      <c r="AK285" s="1">
        <v>2000.0</v>
      </c>
      <c r="AL285" s="2" t="s">
        <v>73</v>
      </c>
      <c r="AM285" s="2" t="s">
        <v>72</v>
      </c>
      <c r="AN285" s="1" t="s">
        <v>238</v>
      </c>
      <c r="AO285" s="2" t="s">
        <v>72</v>
      </c>
      <c r="AQ285" s="2" t="s">
        <v>75</v>
      </c>
      <c r="AR285" s="2" t="s">
        <v>76</v>
      </c>
      <c r="AS285" s="1">
        <v>1344.0</v>
      </c>
      <c r="AT285" s="1">
        <v>1344.0</v>
      </c>
      <c r="AU285" s="1">
        <v>729.0</v>
      </c>
      <c r="AV285" s="1">
        <v>1.0</v>
      </c>
      <c r="AW285" s="1">
        <v>7.0</v>
      </c>
      <c r="AX285" s="1">
        <v>10277.0</v>
      </c>
      <c r="AY285" s="1">
        <v>1198.0</v>
      </c>
      <c r="AZ285" s="1" t="s">
        <v>77</v>
      </c>
      <c r="BA285" s="1" t="s">
        <v>78</v>
      </c>
    </row>
    <row r="286">
      <c r="A286" s="1" t="s">
        <v>369</v>
      </c>
      <c r="B286" s="1" t="s">
        <v>53</v>
      </c>
      <c r="C286" s="1">
        <v>2011.0</v>
      </c>
      <c r="D286" s="1" t="s">
        <v>370</v>
      </c>
      <c r="E286" s="1" t="s">
        <v>371</v>
      </c>
      <c r="F286" s="1" t="s">
        <v>359</v>
      </c>
      <c r="G286" s="1" t="s">
        <v>372</v>
      </c>
      <c r="H286" s="1" t="s">
        <v>373</v>
      </c>
      <c r="I286" s="1">
        <v>26.0</v>
      </c>
      <c r="J286" s="1">
        <v>3.0</v>
      </c>
      <c r="K286" s="2" t="s">
        <v>374</v>
      </c>
      <c r="L286" s="2" t="s">
        <v>60</v>
      </c>
      <c r="M286" s="1" t="s">
        <v>381</v>
      </c>
      <c r="N286" s="1" t="s">
        <v>62</v>
      </c>
      <c r="O286" s="1" t="s">
        <v>167</v>
      </c>
      <c r="P286" s="1" t="s">
        <v>376</v>
      </c>
      <c r="Q286" s="1">
        <v>14.456389</v>
      </c>
      <c r="R286" s="1">
        <v>-90.566111</v>
      </c>
      <c r="S286" s="1" t="s">
        <v>148</v>
      </c>
      <c r="T286" s="2" t="s">
        <v>382</v>
      </c>
      <c r="U286" s="2" t="s">
        <v>383</v>
      </c>
      <c r="V286" s="3" t="s">
        <v>68</v>
      </c>
      <c r="W286" s="1" t="s">
        <v>384</v>
      </c>
      <c r="X286" s="2" t="s">
        <v>72</v>
      </c>
      <c r="Y286" s="6" t="s">
        <v>76</v>
      </c>
      <c r="Z286" s="3" t="s">
        <v>173</v>
      </c>
      <c r="AB286" s="1">
        <v>5.0</v>
      </c>
      <c r="AI286" s="2" t="s">
        <v>72</v>
      </c>
      <c r="AJ286" s="1">
        <v>-1000.0</v>
      </c>
      <c r="AK286" s="1">
        <v>2000.0</v>
      </c>
      <c r="AL286" s="2" t="s">
        <v>73</v>
      </c>
      <c r="AM286" s="2" t="s">
        <v>72</v>
      </c>
      <c r="AN286" s="1" t="s">
        <v>238</v>
      </c>
      <c r="AO286" s="2" t="s">
        <v>72</v>
      </c>
      <c r="AQ286" s="2" t="s">
        <v>75</v>
      </c>
      <c r="AR286" s="2" t="s">
        <v>76</v>
      </c>
      <c r="AS286" s="1">
        <v>1344.0</v>
      </c>
      <c r="AT286" s="1">
        <v>1344.0</v>
      </c>
      <c r="AU286" s="1">
        <v>729.0</v>
      </c>
      <c r="AV286" s="1">
        <v>1.0</v>
      </c>
      <c r="AW286" s="1">
        <v>7.0</v>
      </c>
      <c r="AX286" s="1">
        <v>10277.0</v>
      </c>
      <c r="AY286" s="1">
        <v>1198.0</v>
      </c>
      <c r="AZ286" s="1" t="s">
        <v>77</v>
      </c>
      <c r="BA286" s="1" t="s">
        <v>78</v>
      </c>
    </row>
    <row r="287">
      <c r="A287" s="1" t="s">
        <v>369</v>
      </c>
      <c r="B287" s="1" t="s">
        <v>53</v>
      </c>
      <c r="C287" s="1">
        <v>2011.0</v>
      </c>
      <c r="D287" s="1" t="s">
        <v>370</v>
      </c>
      <c r="E287" s="1" t="s">
        <v>371</v>
      </c>
      <c r="F287" s="1" t="s">
        <v>359</v>
      </c>
      <c r="G287" s="1" t="s">
        <v>372</v>
      </c>
      <c r="H287" s="1" t="s">
        <v>373</v>
      </c>
      <c r="I287" s="1">
        <v>26.0</v>
      </c>
      <c r="J287" s="1">
        <v>3.0</v>
      </c>
      <c r="K287" s="2" t="s">
        <v>374</v>
      </c>
      <c r="L287" s="2" t="s">
        <v>60</v>
      </c>
      <c r="M287" s="1" t="s">
        <v>385</v>
      </c>
      <c r="N287" s="1" t="s">
        <v>62</v>
      </c>
      <c r="O287" s="1" t="s">
        <v>167</v>
      </c>
      <c r="P287" s="1" t="s">
        <v>376</v>
      </c>
      <c r="Q287" s="1">
        <v>14.456389</v>
      </c>
      <c r="R287" s="1">
        <v>-90.566111</v>
      </c>
      <c r="S287" s="1" t="s">
        <v>148</v>
      </c>
      <c r="T287" s="2" t="s">
        <v>194</v>
      </c>
      <c r="U287" s="1" t="s">
        <v>173</v>
      </c>
      <c r="V287" s="3" t="s">
        <v>68</v>
      </c>
      <c r="W287" s="1" t="s">
        <v>386</v>
      </c>
      <c r="X287" s="1" t="s">
        <v>70</v>
      </c>
      <c r="Y287" s="6" t="s">
        <v>76</v>
      </c>
      <c r="Z287" s="1" t="s">
        <v>173</v>
      </c>
      <c r="AB287" s="1">
        <v>5.0</v>
      </c>
      <c r="AI287" s="2" t="s">
        <v>72</v>
      </c>
      <c r="AJ287" s="1">
        <v>-1000.0</v>
      </c>
      <c r="AK287" s="1">
        <v>2000.0</v>
      </c>
      <c r="AL287" s="2" t="s">
        <v>73</v>
      </c>
      <c r="AM287" s="2" t="s">
        <v>72</v>
      </c>
      <c r="AN287" s="1" t="s">
        <v>238</v>
      </c>
      <c r="AO287" s="2" t="s">
        <v>72</v>
      </c>
      <c r="AQ287" s="2" t="s">
        <v>75</v>
      </c>
      <c r="AR287" s="2" t="s">
        <v>76</v>
      </c>
      <c r="AS287" s="1">
        <v>1344.0</v>
      </c>
      <c r="AT287" s="1">
        <v>1344.0</v>
      </c>
      <c r="AU287" s="1">
        <v>729.0</v>
      </c>
      <c r="AV287" s="1">
        <v>1.0</v>
      </c>
      <c r="AW287" s="1">
        <v>7.0</v>
      </c>
      <c r="AX287" s="1">
        <v>10277.0</v>
      </c>
      <c r="AY287" s="1">
        <v>1198.0</v>
      </c>
      <c r="AZ287" s="1" t="s">
        <v>77</v>
      </c>
      <c r="BA287" s="1" t="s">
        <v>78</v>
      </c>
    </row>
    <row r="288">
      <c r="A288" s="1" t="s">
        <v>369</v>
      </c>
      <c r="B288" s="1" t="s">
        <v>53</v>
      </c>
      <c r="C288" s="1">
        <v>2011.0</v>
      </c>
      <c r="D288" s="1" t="s">
        <v>370</v>
      </c>
      <c r="E288" s="1" t="s">
        <v>371</v>
      </c>
      <c r="F288" s="1" t="s">
        <v>359</v>
      </c>
      <c r="G288" s="1" t="s">
        <v>372</v>
      </c>
      <c r="H288" s="1" t="s">
        <v>373</v>
      </c>
      <c r="I288" s="1">
        <v>26.0</v>
      </c>
      <c r="J288" s="1">
        <v>3.0</v>
      </c>
      <c r="K288" s="2" t="s">
        <v>374</v>
      </c>
      <c r="L288" s="2" t="s">
        <v>60</v>
      </c>
      <c r="M288" s="1" t="s">
        <v>387</v>
      </c>
      <c r="N288" s="1" t="s">
        <v>62</v>
      </c>
      <c r="O288" s="1" t="s">
        <v>167</v>
      </c>
      <c r="P288" s="1" t="s">
        <v>376</v>
      </c>
      <c r="Q288" s="1">
        <v>14.456389</v>
      </c>
      <c r="R288" s="1">
        <v>-90.566111</v>
      </c>
      <c r="S288" s="1" t="s">
        <v>148</v>
      </c>
      <c r="T288" s="2" t="s">
        <v>388</v>
      </c>
      <c r="U288" s="1" t="s">
        <v>173</v>
      </c>
      <c r="V288" s="3" t="s">
        <v>68</v>
      </c>
      <c r="W288" s="1" t="s">
        <v>389</v>
      </c>
      <c r="X288" s="1" t="s">
        <v>70</v>
      </c>
      <c r="Y288" s="6" t="s">
        <v>76</v>
      </c>
      <c r="Z288" s="1" t="s">
        <v>173</v>
      </c>
      <c r="AB288" s="1">
        <v>5.0</v>
      </c>
      <c r="AI288" s="2" t="s">
        <v>72</v>
      </c>
      <c r="AJ288" s="1">
        <v>-1000.0</v>
      </c>
      <c r="AK288" s="1">
        <v>2000.0</v>
      </c>
      <c r="AL288" s="2" t="s">
        <v>73</v>
      </c>
      <c r="AM288" s="2" t="s">
        <v>72</v>
      </c>
      <c r="AN288" s="1" t="s">
        <v>238</v>
      </c>
      <c r="AO288" s="2" t="s">
        <v>72</v>
      </c>
      <c r="AQ288" s="2" t="s">
        <v>75</v>
      </c>
      <c r="AR288" s="2" t="s">
        <v>76</v>
      </c>
      <c r="AS288" s="1">
        <v>1344.0</v>
      </c>
      <c r="AT288" s="1">
        <v>1344.0</v>
      </c>
      <c r="AU288" s="1">
        <v>729.0</v>
      </c>
      <c r="AV288" s="1">
        <v>1.0</v>
      </c>
      <c r="AW288" s="1">
        <v>7.0</v>
      </c>
      <c r="AX288" s="1">
        <v>10277.0</v>
      </c>
      <c r="AY288" s="1">
        <v>1198.0</v>
      </c>
      <c r="AZ288" s="1" t="s">
        <v>77</v>
      </c>
      <c r="BA288" s="1" t="s">
        <v>78</v>
      </c>
    </row>
    <row r="289">
      <c r="A289" s="1" t="s">
        <v>1769</v>
      </c>
      <c r="B289" s="1" t="s">
        <v>53</v>
      </c>
      <c r="C289" s="1">
        <v>2012.0</v>
      </c>
      <c r="D289" s="1" t="s">
        <v>1770</v>
      </c>
      <c r="E289" s="1" t="s">
        <v>1771</v>
      </c>
      <c r="F289" s="1" t="s">
        <v>1772</v>
      </c>
      <c r="G289" s="1" t="s">
        <v>1773</v>
      </c>
      <c r="H289" s="1" t="s">
        <v>1774</v>
      </c>
      <c r="I289" s="1">
        <v>178.0</v>
      </c>
      <c r="K289" s="2" t="s">
        <v>1775</v>
      </c>
      <c r="L289" s="2" t="s">
        <v>60</v>
      </c>
      <c r="M289" s="1" t="s">
        <v>1776</v>
      </c>
      <c r="N289" s="1" t="s">
        <v>62</v>
      </c>
      <c r="O289" s="1" t="s">
        <v>92</v>
      </c>
      <c r="P289" s="1" t="s">
        <v>1777</v>
      </c>
      <c r="Q289" s="1">
        <v>21.579444</v>
      </c>
      <c r="R289" s="1">
        <v>-88.072222</v>
      </c>
      <c r="S289" s="1" t="s">
        <v>148</v>
      </c>
      <c r="T289" s="2" t="s">
        <v>66</v>
      </c>
      <c r="U289" s="3" t="s">
        <v>513</v>
      </c>
      <c r="V289" s="3" t="s">
        <v>68</v>
      </c>
      <c r="W289" s="1" t="s">
        <v>1778</v>
      </c>
      <c r="X289" s="1" t="s">
        <v>70</v>
      </c>
      <c r="Y289" s="5" t="s">
        <v>60</v>
      </c>
      <c r="Z289" s="3" t="s">
        <v>118</v>
      </c>
      <c r="AB289" s="1">
        <v>4.0</v>
      </c>
      <c r="AI289" s="1" t="s">
        <v>1684</v>
      </c>
      <c r="AJ289" s="1">
        <v>-1800.0</v>
      </c>
      <c r="AK289" s="1">
        <v>2000.0</v>
      </c>
      <c r="AL289" s="2" t="s">
        <v>73</v>
      </c>
      <c r="AM289" s="2" t="s">
        <v>72</v>
      </c>
      <c r="AN289" s="2" t="s">
        <v>72</v>
      </c>
      <c r="AO289" s="2" t="s">
        <v>72</v>
      </c>
      <c r="AQ289" s="2" t="s">
        <v>75</v>
      </c>
      <c r="AR289" s="2" t="s">
        <v>76</v>
      </c>
      <c r="AS289" s="1">
        <v>755.0</v>
      </c>
      <c r="AT289" s="1">
        <v>755.0</v>
      </c>
      <c r="AU289" s="1">
        <v>314.0</v>
      </c>
      <c r="AV289" s="1">
        <v>20.0</v>
      </c>
      <c r="AW289" s="1">
        <v>75.0</v>
      </c>
      <c r="AX289" s="1">
        <v>5510.0</v>
      </c>
      <c r="AY289" s="1">
        <v>1.0</v>
      </c>
      <c r="AZ289" s="1" t="s">
        <v>658</v>
      </c>
      <c r="BA289" s="1" t="s">
        <v>659</v>
      </c>
    </row>
    <row r="290">
      <c r="A290" s="1" t="s">
        <v>1769</v>
      </c>
      <c r="B290" s="1" t="s">
        <v>53</v>
      </c>
      <c r="C290" s="1">
        <v>2012.0</v>
      </c>
      <c r="D290" s="1" t="s">
        <v>1770</v>
      </c>
      <c r="E290" s="1" t="s">
        <v>1771</v>
      </c>
      <c r="F290" s="1" t="s">
        <v>1772</v>
      </c>
      <c r="G290" s="1" t="s">
        <v>1773</v>
      </c>
      <c r="H290" s="1" t="s">
        <v>1774</v>
      </c>
      <c r="I290" s="1">
        <v>178.0</v>
      </c>
      <c r="K290" s="2" t="s">
        <v>1775</v>
      </c>
      <c r="L290" s="2" t="s">
        <v>60</v>
      </c>
      <c r="M290" s="1" t="s">
        <v>1779</v>
      </c>
      <c r="N290" s="1" t="s">
        <v>62</v>
      </c>
      <c r="O290" s="1" t="s">
        <v>92</v>
      </c>
      <c r="P290" s="1" t="s">
        <v>1777</v>
      </c>
      <c r="Q290" s="1">
        <v>21.579444</v>
      </c>
      <c r="R290" s="1">
        <v>-88.072222</v>
      </c>
      <c r="S290" s="1" t="s">
        <v>148</v>
      </c>
      <c r="T290" s="2" t="s">
        <v>80</v>
      </c>
      <c r="U290" s="3" t="s">
        <v>81</v>
      </c>
      <c r="V290" s="3" t="s">
        <v>68</v>
      </c>
      <c r="W290" s="1" t="s">
        <v>1780</v>
      </c>
      <c r="X290" s="2" t="s">
        <v>83</v>
      </c>
      <c r="Y290" s="6" t="s">
        <v>76</v>
      </c>
      <c r="Z290" s="3" t="s">
        <v>84</v>
      </c>
      <c r="AB290" s="1">
        <v>4.0</v>
      </c>
      <c r="AI290" s="1" t="s">
        <v>1684</v>
      </c>
      <c r="AJ290" s="1">
        <v>-1800.0</v>
      </c>
      <c r="AK290" s="1">
        <v>2000.0</v>
      </c>
      <c r="AL290" s="2" t="s">
        <v>73</v>
      </c>
      <c r="AM290" s="2" t="s">
        <v>72</v>
      </c>
      <c r="AN290" s="2" t="s">
        <v>524</v>
      </c>
      <c r="AO290" s="2" t="s">
        <v>72</v>
      </c>
      <c r="AQ290" s="2" t="s">
        <v>75</v>
      </c>
      <c r="AR290" s="2" t="s">
        <v>76</v>
      </c>
      <c r="AS290" s="1">
        <v>755.0</v>
      </c>
      <c r="AT290" s="1">
        <v>755.0</v>
      </c>
      <c r="AU290" s="1">
        <v>314.0</v>
      </c>
      <c r="AV290" s="1">
        <v>20.0</v>
      </c>
      <c r="AW290" s="1">
        <v>75.0</v>
      </c>
      <c r="AX290" s="1">
        <v>5510.0</v>
      </c>
      <c r="AY290" s="1">
        <v>1.0</v>
      </c>
      <c r="AZ290" s="1" t="s">
        <v>658</v>
      </c>
      <c r="BA290" s="1" t="s">
        <v>659</v>
      </c>
    </row>
    <row r="291">
      <c r="A291" s="1" t="s">
        <v>1383</v>
      </c>
      <c r="B291" s="1" t="s">
        <v>53</v>
      </c>
      <c r="C291" s="1">
        <v>2012.0</v>
      </c>
      <c r="D291" s="1" t="s">
        <v>1384</v>
      </c>
      <c r="E291" s="1" t="s">
        <v>1385</v>
      </c>
      <c r="F291" s="1" t="s">
        <v>1386</v>
      </c>
      <c r="G291" s="1" t="s">
        <v>1387</v>
      </c>
      <c r="H291" s="1" t="s">
        <v>1388</v>
      </c>
      <c r="I291" s="1">
        <v>38.0</v>
      </c>
      <c r="K291" s="2" t="s">
        <v>1389</v>
      </c>
      <c r="L291" s="2" t="s">
        <v>60</v>
      </c>
      <c r="M291" s="1" t="s">
        <v>1705</v>
      </c>
      <c r="N291" s="1" t="s">
        <v>62</v>
      </c>
      <c r="O291" s="1" t="s">
        <v>167</v>
      </c>
      <c r="P291" s="1" t="s">
        <v>512</v>
      </c>
      <c r="Q291" s="1">
        <v>17.0</v>
      </c>
      <c r="R291" s="1">
        <v>-89.5</v>
      </c>
      <c r="S291" s="1" t="s">
        <v>148</v>
      </c>
      <c r="T291" s="2" t="s">
        <v>80</v>
      </c>
      <c r="U291" s="1" t="s">
        <v>156</v>
      </c>
      <c r="V291" s="3" t="s">
        <v>97</v>
      </c>
      <c r="W291" s="1" t="s">
        <v>1706</v>
      </c>
      <c r="X291" s="2" t="s">
        <v>1707</v>
      </c>
      <c r="Y291" s="6" t="s">
        <v>76</v>
      </c>
      <c r="Z291" s="3" t="s">
        <v>76</v>
      </c>
      <c r="AB291" s="1">
        <v>21.0</v>
      </c>
      <c r="AI291" s="1" t="s">
        <v>523</v>
      </c>
      <c r="AJ291" s="1">
        <v>-82000.0</v>
      </c>
      <c r="AK291" s="1">
        <v>1950.0</v>
      </c>
      <c r="AL291" s="2" t="s">
        <v>153</v>
      </c>
      <c r="AM291" s="3" t="s">
        <v>72</v>
      </c>
      <c r="AN291" s="1" t="s">
        <v>1391</v>
      </c>
      <c r="AO291" s="2" t="s">
        <v>76</v>
      </c>
      <c r="AQ291" s="2" t="s">
        <v>102</v>
      </c>
      <c r="AR291" s="2" t="s">
        <v>76</v>
      </c>
      <c r="AS291" s="1">
        <v>1860.0</v>
      </c>
      <c r="AT291" s="1">
        <v>1860.0</v>
      </c>
      <c r="AU291" s="1">
        <v>756.0</v>
      </c>
      <c r="AV291" s="1">
        <v>41.0</v>
      </c>
      <c r="AW291" s="1">
        <v>153.0</v>
      </c>
      <c r="AX291" s="1">
        <v>5571.0</v>
      </c>
      <c r="AY291" s="1">
        <v>226.0</v>
      </c>
      <c r="AZ291" s="1" t="s">
        <v>133</v>
      </c>
      <c r="BA291" s="1" t="s">
        <v>121</v>
      </c>
    </row>
    <row r="292">
      <c r="A292" s="1" t="s">
        <v>1383</v>
      </c>
      <c r="B292" s="1" t="s">
        <v>53</v>
      </c>
      <c r="C292" s="1">
        <v>2012.0</v>
      </c>
      <c r="D292" s="1" t="s">
        <v>1384</v>
      </c>
      <c r="E292" s="1" t="s">
        <v>1385</v>
      </c>
      <c r="F292" s="1" t="s">
        <v>1386</v>
      </c>
      <c r="G292" s="1" t="s">
        <v>1387</v>
      </c>
      <c r="H292" s="1" t="s">
        <v>1388</v>
      </c>
      <c r="I292" s="1">
        <v>38.0</v>
      </c>
      <c r="K292" s="2" t="s">
        <v>1389</v>
      </c>
      <c r="L292" s="2" t="s">
        <v>60</v>
      </c>
      <c r="M292" s="1" t="s">
        <v>1708</v>
      </c>
      <c r="N292" s="1" t="s">
        <v>62</v>
      </c>
      <c r="O292" s="1" t="s">
        <v>167</v>
      </c>
      <c r="P292" s="1" t="s">
        <v>512</v>
      </c>
      <c r="Q292" s="1">
        <v>17.0</v>
      </c>
      <c r="R292" s="1">
        <v>-89.5</v>
      </c>
      <c r="S292" s="1" t="s">
        <v>148</v>
      </c>
      <c r="T292" s="2" t="s">
        <v>66</v>
      </c>
      <c r="U292" s="2" t="s">
        <v>1455</v>
      </c>
      <c r="V292" s="3" t="s">
        <v>788</v>
      </c>
      <c r="W292" s="1" t="s">
        <v>1594</v>
      </c>
      <c r="X292" s="1" t="s">
        <v>70</v>
      </c>
      <c r="Y292" s="5" t="s">
        <v>76</v>
      </c>
      <c r="Z292" s="3" t="s">
        <v>76</v>
      </c>
      <c r="AB292" s="1">
        <v>21.0</v>
      </c>
      <c r="AI292" s="1" t="s">
        <v>1709</v>
      </c>
      <c r="AJ292" s="1">
        <v>-84000.0</v>
      </c>
      <c r="AK292" s="1">
        <v>1950.0</v>
      </c>
      <c r="AL292" s="2" t="s">
        <v>153</v>
      </c>
      <c r="AM292" s="3" t="s">
        <v>72</v>
      </c>
      <c r="AN292" s="1" t="s">
        <v>1391</v>
      </c>
      <c r="AO292" s="2" t="s">
        <v>76</v>
      </c>
      <c r="AQ292" s="2" t="s">
        <v>102</v>
      </c>
      <c r="AR292" s="2" t="s">
        <v>76</v>
      </c>
      <c r="AS292" s="1">
        <v>1860.0</v>
      </c>
      <c r="AT292" s="1">
        <v>1860.0</v>
      </c>
      <c r="AU292" s="1">
        <v>756.0</v>
      </c>
      <c r="AV292" s="1">
        <v>41.0</v>
      </c>
      <c r="AW292" s="1">
        <v>153.0</v>
      </c>
      <c r="AX292" s="1">
        <v>5571.0</v>
      </c>
      <c r="AY292" s="1">
        <v>226.0</v>
      </c>
      <c r="AZ292" s="1" t="s">
        <v>133</v>
      </c>
      <c r="BA292" s="1" t="s">
        <v>121</v>
      </c>
    </row>
    <row r="293">
      <c r="A293" s="1" t="s">
        <v>1418</v>
      </c>
      <c r="B293" s="1" t="s">
        <v>53</v>
      </c>
      <c r="C293" s="1">
        <v>2012.0</v>
      </c>
      <c r="D293" s="1" t="s">
        <v>1419</v>
      </c>
      <c r="E293" s="1" t="s">
        <v>1420</v>
      </c>
      <c r="F293" s="1" t="s">
        <v>1386</v>
      </c>
      <c r="G293" s="1" t="s">
        <v>1421</v>
      </c>
      <c r="H293" s="1" t="s">
        <v>1422</v>
      </c>
      <c r="I293" s="1">
        <v>37.0</v>
      </c>
      <c r="K293" s="2" t="s">
        <v>1423</v>
      </c>
      <c r="L293" s="2" t="s">
        <v>60</v>
      </c>
      <c r="M293" s="1" t="s">
        <v>1710</v>
      </c>
      <c r="N293" s="1" t="s">
        <v>62</v>
      </c>
      <c r="O293" s="1" t="s">
        <v>167</v>
      </c>
      <c r="P293" s="1" t="s">
        <v>512</v>
      </c>
      <c r="Q293" s="1">
        <v>16.916667</v>
      </c>
      <c r="R293" s="1">
        <v>-89.833333</v>
      </c>
      <c r="S293" s="1" t="s">
        <v>148</v>
      </c>
      <c r="T293" s="2" t="s">
        <v>135</v>
      </c>
      <c r="U293" s="2" t="s">
        <v>615</v>
      </c>
      <c r="V293" s="3" t="s">
        <v>97</v>
      </c>
      <c r="W293" s="2" t="s">
        <v>264</v>
      </c>
      <c r="X293" s="2" t="s">
        <v>72</v>
      </c>
      <c r="Y293" s="6" t="s">
        <v>76</v>
      </c>
      <c r="Z293" s="3" t="s">
        <v>76</v>
      </c>
      <c r="AB293" s="1">
        <v>64.0</v>
      </c>
      <c r="AI293" s="1" t="s">
        <v>194</v>
      </c>
      <c r="AJ293" s="1">
        <v>-41000.0</v>
      </c>
      <c r="AK293" s="1">
        <v>1950.0</v>
      </c>
      <c r="AL293" s="2" t="s">
        <v>153</v>
      </c>
      <c r="AM293" s="2" t="s">
        <v>60</v>
      </c>
      <c r="AN293" s="2" t="s">
        <v>524</v>
      </c>
      <c r="AO293" s="2" t="s">
        <v>76</v>
      </c>
      <c r="AQ293" s="2" t="s">
        <v>102</v>
      </c>
      <c r="AR293" s="2" t="s">
        <v>76</v>
      </c>
      <c r="AS293" s="1">
        <v>1738.0</v>
      </c>
      <c r="AT293" s="1">
        <v>1738.0</v>
      </c>
      <c r="AU293" s="1">
        <v>690.0</v>
      </c>
      <c r="AV293" s="1">
        <v>36.0</v>
      </c>
      <c r="AW293" s="1">
        <v>144.0</v>
      </c>
      <c r="AX293" s="1">
        <v>5677.0</v>
      </c>
      <c r="AY293" s="1">
        <v>131.0</v>
      </c>
      <c r="AZ293" s="1" t="s">
        <v>133</v>
      </c>
      <c r="BA293" s="1" t="s">
        <v>121</v>
      </c>
    </row>
    <row r="294">
      <c r="A294" s="1" t="s">
        <v>1418</v>
      </c>
      <c r="B294" s="1" t="s">
        <v>53</v>
      </c>
      <c r="C294" s="1">
        <v>2012.0</v>
      </c>
      <c r="D294" s="1" t="s">
        <v>1419</v>
      </c>
      <c r="E294" s="1" t="s">
        <v>1420</v>
      </c>
      <c r="F294" s="1" t="s">
        <v>1386</v>
      </c>
      <c r="G294" s="1" t="s">
        <v>1421</v>
      </c>
      <c r="H294" s="1" t="s">
        <v>1422</v>
      </c>
      <c r="I294" s="1">
        <v>37.0</v>
      </c>
      <c r="K294" s="2" t="s">
        <v>1423</v>
      </c>
      <c r="L294" s="2" t="s">
        <v>60</v>
      </c>
      <c r="M294" s="1" t="s">
        <v>1711</v>
      </c>
      <c r="N294" s="1" t="s">
        <v>62</v>
      </c>
      <c r="O294" s="1" t="s">
        <v>167</v>
      </c>
      <c r="P294" s="1" t="s">
        <v>512</v>
      </c>
      <c r="Q294" s="1">
        <v>16.916667</v>
      </c>
      <c r="R294" s="1">
        <v>-89.833333</v>
      </c>
      <c r="S294" s="1" t="s">
        <v>148</v>
      </c>
      <c r="T294" s="2" t="s">
        <v>382</v>
      </c>
      <c r="U294" s="1" t="s">
        <v>173</v>
      </c>
      <c r="V294" s="3" t="s">
        <v>97</v>
      </c>
      <c r="W294" s="2" t="s">
        <v>72</v>
      </c>
      <c r="X294" s="1" t="s">
        <v>968</v>
      </c>
      <c r="Y294" s="6" t="s">
        <v>76</v>
      </c>
      <c r="Z294" s="3" t="s">
        <v>76</v>
      </c>
      <c r="AB294" s="1">
        <v>64.0</v>
      </c>
      <c r="AI294" s="1" t="s">
        <v>194</v>
      </c>
      <c r="AJ294" s="1">
        <v>-41000.0</v>
      </c>
      <c r="AK294" s="1">
        <v>1950.0</v>
      </c>
      <c r="AL294" s="2" t="s">
        <v>153</v>
      </c>
      <c r="AM294" s="2" t="s">
        <v>60</v>
      </c>
      <c r="AN294" s="2" t="s">
        <v>524</v>
      </c>
      <c r="AO294" s="2" t="s">
        <v>76</v>
      </c>
      <c r="AQ294" s="2" t="s">
        <v>102</v>
      </c>
      <c r="AR294" s="2" t="s">
        <v>76</v>
      </c>
      <c r="AS294" s="1">
        <v>1738.0</v>
      </c>
      <c r="AT294" s="1">
        <v>1738.0</v>
      </c>
      <c r="AU294" s="1">
        <v>690.0</v>
      </c>
      <c r="AV294" s="1">
        <v>36.0</v>
      </c>
      <c r="AW294" s="1">
        <v>144.0</v>
      </c>
      <c r="AX294" s="1">
        <v>5677.0</v>
      </c>
      <c r="AY294" s="1">
        <v>131.0</v>
      </c>
      <c r="AZ294" s="1" t="s">
        <v>133</v>
      </c>
      <c r="BA294" s="1" t="s">
        <v>121</v>
      </c>
    </row>
    <row r="295">
      <c r="A295" s="1" t="s">
        <v>1418</v>
      </c>
      <c r="B295" s="1" t="s">
        <v>53</v>
      </c>
      <c r="C295" s="1">
        <v>2012.0</v>
      </c>
      <c r="D295" s="1" t="s">
        <v>1419</v>
      </c>
      <c r="E295" s="1" t="s">
        <v>1420</v>
      </c>
      <c r="F295" s="1" t="s">
        <v>1386</v>
      </c>
      <c r="G295" s="1" t="s">
        <v>1421</v>
      </c>
      <c r="H295" s="1" t="s">
        <v>1422</v>
      </c>
      <c r="I295" s="1">
        <v>37.0</v>
      </c>
      <c r="K295" s="2" t="s">
        <v>1423</v>
      </c>
      <c r="L295" s="2" t="s">
        <v>60</v>
      </c>
      <c r="M295" s="1" t="s">
        <v>1712</v>
      </c>
      <c r="N295" s="1" t="s">
        <v>62</v>
      </c>
      <c r="O295" s="1" t="s">
        <v>167</v>
      </c>
      <c r="P295" s="1" t="s">
        <v>512</v>
      </c>
      <c r="Q295" s="1">
        <v>16.916667</v>
      </c>
      <c r="R295" s="1">
        <v>-89.833333</v>
      </c>
      <c r="S295" s="1" t="s">
        <v>148</v>
      </c>
      <c r="T295" s="2" t="s">
        <v>95</v>
      </c>
      <c r="U295" s="2" t="s">
        <v>615</v>
      </c>
      <c r="V295" s="3" t="s">
        <v>97</v>
      </c>
      <c r="W295" s="2" t="s">
        <v>264</v>
      </c>
      <c r="X295" s="2" t="s">
        <v>72</v>
      </c>
      <c r="Y295" s="6" t="s">
        <v>76</v>
      </c>
      <c r="Z295" s="3" t="s">
        <v>76</v>
      </c>
      <c r="AB295" s="1">
        <v>64.0</v>
      </c>
      <c r="AI295" s="1" t="s">
        <v>194</v>
      </c>
      <c r="AJ295" s="1">
        <v>-41000.0</v>
      </c>
      <c r="AK295" s="1">
        <v>1950.0</v>
      </c>
      <c r="AL295" s="2" t="s">
        <v>153</v>
      </c>
      <c r="AM295" s="2" t="s">
        <v>60</v>
      </c>
      <c r="AN295" s="2" t="s">
        <v>524</v>
      </c>
      <c r="AO295" s="2" t="s">
        <v>76</v>
      </c>
      <c r="AQ295" s="2" t="s">
        <v>102</v>
      </c>
      <c r="AR295" s="2" t="s">
        <v>76</v>
      </c>
      <c r="AS295" s="1">
        <v>1738.0</v>
      </c>
      <c r="AT295" s="1">
        <v>1738.0</v>
      </c>
      <c r="AU295" s="1">
        <v>690.0</v>
      </c>
      <c r="AV295" s="1">
        <v>36.0</v>
      </c>
      <c r="AW295" s="1">
        <v>144.0</v>
      </c>
      <c r="AX295" s="1">
        <v>5677.0</v>
      </c>
      <c r="AY295" s="1">
        <v>131.0</v>
      </c>
      <c r="AZ295" s="1" t="s">
        <v>133</v>
      </c>
      <c r="BA295" s="1" t="s">
        <v>121</v>
      </c>
    </row>
    <row r="296">
      <c r="A296" s="1" t="s">
        <v>1801</v>
      </c>
      <c r="B296" s="1" t="s">
        <v>53</v>
      </c>
      <c r="C296" s="1">
        <v>2012.0</v>
      </c>
      <c r="D296" s="1" t="s">
        <v>1802</v>
      </c>
      <c r="E296" s="1" t="s">
        <v>1803</v>
      </c>
      <c r="F296" s="1" t="s">
        <v>1804</v>
      </c>
      <c r="H296" s="1" t="s">
        <v>1805</v>
      </c>
      <c r="I296" s="1">
        <v>29.0</v>
      </c>
      <c r="J296" s="1">
        <v>3.0</v>
      </c>
      <c r="K296" s="2" t="s">
        <v>1806</v>
      </c>
      <c r="L296" s="2" t="s">
        <v>60</v>
      </c>
      <c r="M296" s="1" t="s">
        <v>1807</v>
      </c>
      <c r="N296" s="1" t="s">
        <v>1808</v>
      </c>
      <c r="O296" s="1" t="s">
        <v>92</v>
      </c>
      <c r="P296" s="1" t="s">
        <v>1809</v>
      </c>
      <c r="Q296" s="1">
        <v>20.13125</v>
      </c>
      <c r="R296" s="1">
        <v>-90.454556</v>
      </c>
      <c r="S296" s="1" t="s">
        <v>148</v>
      </c>
      <c r="T296" s="2" t="s">
        <v>66</v>
      </c>
      <c r="U296" s="3" t="s">
        <v>67</v>
      </c>
      <c r="V296" s="3" t="s">
        <v>68</v>
      </c>
      <c r="W296" s="2" t="s">
        <v>1810</v>
      </c>
      <c r="X296" s="1" t="s">
        <v>70</v>
      </c>
      <c r="Y296" s="5" t="s">
        <v>60</v>
      </c>
      <c r="Z296" s="3" t="s">
        <v>345</v>
      </c>
      <c r="AB296" s="1">
        <v>3.0</v>
      </c>
      <c r="AI296" s="2" t="s">
        <v>72</v>
      </c>
      <c r="AJ296" s="1">
        <v>-2000.0</v>
      </c>
      <c r="AK296" s="1">
        <v>2000.0</v>
      </c>
      <c r="AL296" s="2" t="s">
        <v>73</v>
      </c>
      <c r="AM296" s="2" t="s">
        <v>72</v>
      </c>
      <c r="AN296" s="2" t="s">
        <v>524</v>
      </c>
      <c r="AO296" s="2" t="s">
        <v>72</v>
      </c>
      <c r="AQ296" s="2" t="s">
        <v>576</v>
      </c>
      <c r="AR296" s="2" t="s">
        <v>76</v>
      </c>
      <c r="AS296" s="1">
        <v>1050.0</v>
      </c>
      <c r="AT296" s="1">
        <v>1050.0</v>
      </c>
      <c r="AU296" s="1">
        <v>546.0</v>
      </c>
      <c r="AV296" s="1">
        <v>15.0</v>
      </c>
      <c r="AW296" s="1">
        <v>50.0</v>
      </c>
      <c r="AX296" s="1">
        <v>8249.0</v>
      </c>
      <c r="AY296" s="1">
        <v>1.0</v>
      </c>
      <c r="AZ296" s="1" t="s">
        <v>658</v>
      </c>
      <c r="BA296" s="1" t="s">
        <v>659</v>
      </c>
    </row>
    <row r="297">
      <c r="A297" s="1" t="s">
        <v>1801</v>
      </c>
      <c r="B297" s="1" t="s">
        <v>53</v>
      </c>
      <c r="C297" s="1">
        <v>2012.0</v>
      </c>
      <c r="D297" s="1" t="s">
        <v>1802</v>
      </c>
      <c r="E297" s="1" t="s">
        <v>1803</v>
      </c>
      <c r="F297" s="1" t="s">
        <v>1804</v>
      </c>
      <c r="H297" s="1" t="s">
        <v>1805</v>
      </c>
      <c r="I297" s="1">
        <v>29.0</v>
      </c>
      <c r="J297" s="1">
        <v>3.0</v>
      </c>
      <c r="K297" s="2" t="s">
        <v>1806</v>
      </c>
      <c r="L297" s="2" t="s">
        <v>60</v>
      </c>
      <c r="M297" s="1" t="s">
        <v>1811</v>
      </c>
      <c r="N297" s="1" t="s">
        <v>1808</v>
      </c>
      <c r="O297" s="1" t="s">
        <v>92</v>
      </c>
      <c r="P297" s="1" t="s">
        <v>1809</v>
      </c>
      <c r="Q297" s="1">
        <v>20.13125</v>
      </c>
      <c r="R297" s="1">
        <v>-90.454556</v>
      </c>
      <c r="S297" s="1" t="s">
        <v>148</v>
      </c>
      <c r="T297" s="2" t="s">
        <v>189</v>
      </c>
      <c r="U297" s="2" t="s">
        <v>1683</v>
      </c>
      <c r="V297" s="3" t="s">
        <v>97</v>
      </c>
      <c r="W297" s="2" t="s">
        <v>191</v>
      </c>
      <c r="X297" s="2" t="s">
        <v>70</v>
      </c>
      <c r="Y297" s="6" t="s">
        <v>76</v>
      </c>
      <c r="Z297" s="3" t="s">
        <v>76</v>
      </c>
      <c r="AB297" s="1">
        <v>3.0</v>
      </c>
      <c r="AI297" s="2" t="s">
        <v>72</v>
      </c>
      <c r="AJ297" s="1">
        <v>-2000.0</v>
      </c>
      <c r="AK297" s="1">
        <v>2000.0</v>
      </c>
      <c r="AL297" s="2" t="s">
        <v>73</v>
      </c>
      <c r="AM297" s="2" t="s">
        <v>72</v>
      </c>
      <c r="AN297" s="2" t="s">
        <v>524</v>
      </c>
      <c r="AO297" s="2" t="s">
        <v>72</v>
      </c>
      <c r="AQ297" s="2" t="s">
        <v>576</v>
      </c>
      <c r="AR297" s="2" t="s">
        <v>76</v>
      </c>
      <c r="AS297" s="1">
        <v>1050.0</v>
      </c>
      <c r="AT297" s="1">
        <v>1050.0</v>
      </c>
      <c r="AU297" s="1">
        <v>546.0</v>
      </c>
      <c r="AV297" s="1">
        <v>15.0</v>
      </c>
      <c r="AW297" s="1">
        <v>50.0</v>
      </c>
      <c r="AX297" s="1">
        <v>8249.0</v>
      </c>
      <c r="AY297" s="1">
        <v>1.0</v>
      </c>
      <c r="AZ297" s="1" t="s">
        <v>658</v>
      </c>
      <c r="BA297" s="1" t="s">
        <v>659</v>
      </c>
    </row>
    <row r="298">
      <c r="A298" s="1" t="s">
        <v>1801</v>
      </c>
      <c r="B298" s="1" t="s">
        <v>53</v>
      </c>
      <c r="C298" s="1">
        <v>2012.0</v>
      </c>
      <c r="D298" s="1" t="s">
        <v>1802</v>
      </c>
      <c r="E298" s="1" t="s">
        <v>1803</v>
      </c>
      <c r="F298" s="1" t="s">
        <v>1804</v>
      </c>
      <c r="H298" s="1" t="s">
        <v>1805</v>
      </c>
      <c r="I298" s="1">
        <v>29.0</v>
      </c>
      <c r="J298" s="1">
        <v>3.0</v>
      </c>
      <c r="K298" s="2" t="s">
        <v>1806</v>
      </c>
      <c r="L298" s="2" t="s">
        <v>60</v>
      </c>
      <c r="M298" s="1" t="s">
        <v>1812</v>
      </c>
      <c r="N298" s="1" t="s">
        <v>1808</v>
      </c>
      <c r="O298" s="1" t="s">
        <v>92</v>
      </c>
      <c r="P298" s="1" t="s">
        <v>1809</v>
      </c>
      <c r="Q298" s="1">
        <v>20.13125</v>
      </c>
      <c r="R298" s="1">
        <v>-90.454556</v>
      </c>
      <c r="S298" s="1" t="s">
        <v>148</v>
      </c>
      <c r="T298" s="2" t="s">
        <v>275</v>
      </c>
      <c r="U298" s="1" t="s">
        <v>1597</v>
      </c>
      <c r="V298" s="3" t="s">
        <v>97</v>
      </c>
      <c r="W298" s="2" t="s">
        <v>275</v>
      </c>
      <c r="X298" s="1" t="s">
        <v>279</v>
      </c>
      <c r="Y298" s="6" t="s">
        <v>76</v>
      </c>
      <c r="Z298" s="3" t="s">
        <v>76</v>
      </c>
      <c r="AB298" s="1">
        <v>3.0</v>
      </c>
      <c r="AI298" s="2" t="s">
        <v>72</v>
      </c>
      <c r="AJ298" s="1">
        <v>-2000.0</v>
      </c>
      <c r="AK298" s="1">
        <v>2000.0</v>
      </c>
      <c r="AL298" s="2" t="s">
        <v>73</v>
      </c>
      <c r="AM298" s="2" t="s">
        <v>72</v>
      </c>
      <c r="AN298" s="2" t="s">
        <v>524</v>
      </c>
      <c r="AO298" s="2" t="s">
        <v>72</v>
      </c>
      <c r="AQ298" s="2" t="s">
        <v>576</v>
      </c>
      <c r="AR298" s="2" t="s">
        <v>76</v>
      </c>
      <c r="AS298" s="1">
        <v>1050.0</v>
      </c>
      <c r="AT298" s="1">
        <v>1050.0</v>
      </c>
      <c r="AU298" s="1">
        <v>546.0</v>
      </c>
      <c r="AV298" s="1">
        <v>15.0</v>
      </c>
      <c r="AW298" s="1">
        <v>50.0</v>
      </c>
      <c r="AX298" s="1">
        <v>8249.0</v>
      </c>
      <c r="AY298" s="1">
        <v>1.0</v>
      </c>
      <c r="AZ298" s="1" t="s">
        <v>658</v>
      </c>
      <c r="BA298" s="1" t="s">
        <v>659</v>
      </c>
    </row>
    <row r="299">
      <c r="A299" s="1" t="s">
        <v>1801</v>
      </c>
      <c r="B299" s="1" t="s">
        <v>53</v>
      </c>
      <c r="C299" s="1">
        <v>2012.0</v>
      </c>
      <c r="D299" s="1" t="s">
        <v>1802</v>
      </c>
      <c r="E299" s="1" t="s">
        <v>1803</v>
      </c>
      <c r="F299" s="1" t="s">
        <v>1804</v>
      </c>
      <c r="H299" s="1" t="s">
        <v>1805</v>
      </c>
      <c r="I299" s="1">
        <v>29.0</v>
      </c>
      <c r="J299" s="1">
        <v>3.0</v>
      </c>
      <c r="K299" s="2" t="s">
        <v>1806</v>
      </c>
      <c r="L299" s="2" t="s">
        <v>60</v>
      </c>
      <c r="M299" s="1" t="s">
        <v>1813</v>
      </c>
      <c r="N299" s="1" t="s">
        <v>1808</v>
      </c>
      <c r="O299" s="1" t="s">
        <v>92</v>
      </c>
      <c r="P299" s="1" t="s">
        <v>1809</v>
      </c>
      <c r="Q299" s="1">
        <v>20.13125</v>
      </c>
      <c r="R299" s="1">
        <v>-90.454556</v>
      </c>
      <c r="S299" s="1" t="s">
        <v>148</v>
      </c>
      <c r="T299" s="2" t="s">
        <v>194</v>
      </c>
      <c r="U299" s="2" t="s">
        <v>1683</v>
      </c>
      <c r="V299" s="3" t="s">
        <v>97</v>
      </c>
      <c r="W299" s="2" t="s">
        <v>1814</v>
      </c>
      <c r="X299" s="2" t="s">
        <v>70</v>
      </c>
      <c r="Y299" s="6" t="s">
        <v>76</v>
      </c>
      <c r="Z299" s="3" t="s">
        <v>76</v>
      </c>
      <c r="AB299" s="1">
        <v>3.0</v>
      </c>
      <c r="AI299" s="2" t="s">
        <v>72</v>
      </c>
      <c r="AJ299" s="1">
        <v>-2000.0</v>
      </c>
      <c r="AK299" s="1">
        <v>2000.0</v>
      </c>
      <c r="AL299" s="2" t="s">
        <v>73</v>
      </c>
      <c r="AM299" s="2" t="s">
        <v>72</v>
      </c>
      <c r="AN299" s="2" t="s">
        <v>524</v>
      </c>
      <c r="AO299" s="2" t="s">
        <v>72</v>
      </c>
      <c r="AQ299" s="2" t="s">
        <v>576</v>
      </c>
      <c r="AR299" s="2" t="s">
        <v>76</v>
      </c>
      <c r="AS299" s="1">
        <v>1050.0</v>
      </c>
      <c r="AT299" s="1">
        <v>1050.0</v>
      </c>
      <c r="AU299" s="1">
        <v>546.0</v>
      </c>
      <c r="AV299" s="1">
        <v>15.0</v>
      </c>
      <c r="AW299" s="1">
        <v>50.0</v>
      </c>
      <c r="AX299" s="1">
        <v>8249.0</v>
      </c>
      <c r="AY299" s="1">
        <v>1.0</v>
      </c>
      <c r="AZ299" s="1" t="s">
        <v>658</v>
      </c>
      <c r="BA299" s="1" t="s">
        <v>659</v>
      </c>
    </row>
    <row r="300">
      <c r="A300" s="1" t="s">
        <v>1846</v>
      </c>
      <c r="B300" s="1" t="s">
        <v>53</v>
      </c>
      <c r="C300" s="1">
        <v>2012.0</v>
      </c>
      <c r="D300" s="1" t="s">
        <v>1847</v>
      </c>
      <c r="E300" s="1" t="s">
        <v>1848</v>
      </c>
      <c r="F300" s="1" t="s">
        <v>1818</v>
      </c>
      <c r="G300" s="1" t="s">
        <v>1849</v>
      </c>
      <c r="H300" s="1" t="s">
        <v>1850</v>
      </c>
      <c r="I300" s="1">
        <v>338.0</v>
      </c>
      <c r="J300" s="1">
        <v>6108.0</v>
      </c>
      <c r="K300" s="2" t="s">
        <v>1851</v>
      </c>
      <c r="L300" s="2" t="s">
        <v>60</v>
      </c>
      <c r="M300" s="1" t="s">
        <v>1852</v>
      </c>
      <c r="N300" s="1" t="s">
        <v>62</v>
      </c>
      <c r="O300" s="1" t="s">
        <v>187</v>
      </c>
      <c r="P300" s="1" t="s">
        <v>1251</v>
      </c>
      <c r="Q300" s="1">
        <v>16.208333</v>
      </c>
      <c r="R300" s="1">
        <v>-89.073333</v>
      </c>
      <c r="S300" s="1" t="s">
        <v>94</v>
      </c>
      <c r="T300" s="2" t="s">
        <v>135</v>
      </c>
      <c r="U300" s="2" t="s">
        <v>96</v>
      </c>
      <c r="V300" s="3" t="s">
        <v>97</v>
      </c>
      <c r="W300" s="1" t="s">
        <v>1853</v>
      </c>
      <c r="X300" s="2" t="s">
        <v>99</v>
      </c>
      <c r="Y300" s="6" t="s">
        <v>76</v>
      </c>
      <c r="Z300" s="3" t="s">
        <v>76</v>
      </c>
      <c r="AF300" s="1">
        <v>40.0</v>
      </c>
      <c r="AJ300" s="1">
        <v>-40.0</v>
      </c>
      <c r="AK300" s="1">
        <v>2006.0</v>
      </c>
      <c r="AL300" s="2" t="s">
        <v>153</v>
      </c>
      <c r="AM300" s="2" t="s">
        <v>60</v>
      </c>
      <c r="AN300" s="2" t="s">
        <v>101</v>
      </c>
      <c r="AO300" s="2" t="s">
        <v>101</v>
      </c>
      <c r="AQ300" s="2" t="s">
        <v>102</v>
      </c>
      <c r="AR300" s="2" t="s">
        <v>60</v>
      </c>
      <c r="AS300" s="1">
        <v>3337.0</v>
      </c>
      <c r="AT300" s="1">
        <v>3337.0</v>
      </c>
      <c r="AU300" s="1">
        <v>1668.0</v>
      </c>
      <c r="AV300" s="1">
        <v>70.0</v>
      </c>
      <c r="AW300" s="1">
        <v>252.0</v>
      </c>
      <c r="AX300" s="1">
        <v>7076.0</v>
      </c>
      <c r="AY300" s="1">
        <v>262.0</v>
      </c>
      <c r="AZ300" s="1" t="s">
        <v>133</v>
      </c>
      <c r="BA300" s="1" t="s">
        <v>121</v>
      </c>
    </row>
    <row r="301">
      <c r="A301" s="1" t="s">
        <v>1846</v>
      </c>
      <c r="B301" s="1" t="s">
        <v>53</v>
      </c>
      <c r="C301" s="1">
        <v>2012.0</v>
      </c>
      <c r="D301" s="1" t="s">
        <v>1847</v>
      </c>
      <c r="E301" s="1" t="s">
        <v>1848</v>
      </c>
      <c r="F301" s="1" t="s">
        <v>1818</v>
      </c>
      <c r="G301" s="1" t="s">
        <v>1849</v>
      </c>
      <c r="H301" s="1" t="s">
        <v>1850</v>
      </c>
      <c r="I301" s="1">
        <v>338.0</v>
      </c>
      <c r="J301" s="1">
        <v>6108.0</v>
      </c>
      <c r="K301" s="2" t="s">
        <v>1851</v>
      </c>
      <c r="L301" s="2" t="s">
        <v>60</v>
      </c>
      <c r="M301" s="1" t="s">
        <v>1854</v>
      </c>
      <c r="N301" s="1" t="s">
        <v>62</v>
      </c>
      <c r="O301" s="1" t="s">
        <v>187</v>
      </c>
      <c r="P301" s="1" t="s">
        <v>1251</v>
      </c>
      <c r="Q301" s="1">
        <v>16.208333</v>
      </c>
      <c r="R301" s="1">
        <v>-89.073333</v>
      </c>
      <c r="S301" s="1" t="s">
        <v>94</v>
      </c>
      <c r="T301" s="2" t="s">
        <v>95</v>
      </c>
      <c r="U301" s="2" t="s">
        <v>96</v>
      </c>
      <c r="V301" s="3" t="s">
        <v>97</v>
      </c>
      <c r="W301" s="1" t="s">
        <v>1853</v>
      </c>
      <c r="X301" s="2" t="s">
        <v>99</v>
      </c>
      <c r="Y301" s="6" t="s">
        <v>76</v>
      </c>
      <c r="Z301" s="3" t="s">
        <v>76</v>
      </c>
      <c r="AF301" s="1">
        <v>40.0</v>
      </c>
      <c r="AJ301" s="1">
        <v>-40.0</v>
      </c>
      <c r="AK301" s="1">
        <v>2006.0</v>
      </c>
      <c r="AL301" s="2" t="s">
        <v>153</v>
      </c>
      <c r="AM301" s="2" t="s">
        <v>60</v>
      </c>
      <c r="AN301" s="2" t="s">
        <v>101</v>
      </c>
      <c r="AO301" s="2" t="s">
        <v>101</v>
      </c>
      <c r="AQ301" s="2" t="s">
        <v>102</v>
      </c>
      <c r="AR301" s="2" t="s">
        <v>60</v>
      </c>
      <c r="AS301" s="1">
        <v>3337.0</v>
      </c>
      <c r="AT301" s="1">
        <v>3337.0</v>
      </c>
      <c r="AU301" s="1">
        <v>1668.0</v>
      </c>
      <c r="AV301" s="1">
        <v>70.0</v>
      </c>
      <c r="AW301" s="1">
        <v>252.0</v>
      </c>
      <c r="AX301" s="1">
        <v>7076.0</v>
      </c>
      <c r="AY301" s="1">
        <v>262.0</v>
      </c>
      <c r="AZ301" s="1" t="s">
        <v>133</v>
      </c>
      <c r="BA301" s="1" t="s">
        <v>121</v>
      </c>
    </row>
    <row r="302">
      <c r="A302" s="1" t="s">
        <v>1585</v>
      </c>
      <c r="B302" s="1" t="s">
        <v>53</v>
      </c>
      <c r="C302" s="1">
        <v>2012.0</v>
      </c>
      <c r="D302" s="1" t="s">
        <v>1586</v>
      </c>
      <c r="E302" s="1" t="s">
        <v>1587</v>
      </c>
      <c r="F302" s="3" t="s">
        <v>303</v>
      </c>
      <c r="G302" s="1" t="s">
        <v>1588</v>
      </c>
      <c r="H302" s="1" t="s">
        <v>1589</v>
      </c>
      <c r="I302" s="1">
        <v>78.0</v>
      </c>
      <c r="J302" s="1">
        <v>3.0</v>
      </c>
      <c r="K302" s="2" t="s">
        <v>1590</v>
      </c>
      <c r="L302" s="2" t="s">
        <v>60</v>
      </c>
      <c r="M302" s="1" t="s">
        <v>1591</v>
      </c>
      <c r="N302" s="1" t="s">
        <v>62</v>
      </c>
      <c r="O302" s="1" t="s">
        <v>521</v>
      </c>
      <c r="P302" s="1" t="s">
        <v>1592</v>
      </c>
      <c r="Q302" s="1">
        <v>12.087693</v>
      </c>
      <c r="R302" s="1">
        <v>-83.700095</v>
      </c>
      <c r="S302" s="1" t="s">
        <v>148</v>
      </c>
      <c r="T302" s="2" t="s">
        <v>66</v>
      </c>
      <c r="U302" s="3" t="s">
        <v>1593</v>
      </c>
      <c r="V302" s="3" t="s">
        <v>788</v>
      </c>
      <c r="W302" s="1" t="s">
        <v>1594</v>
      </c>
      <c r="X302" s="1" t="s">
        <v>70</v>
      </c>
      <c r="Y302" s="5" t="s">
        <v>76</v>
      </c>
      <c r="Z302" s="3" t="s">
        <v>76</v>
      </c>
      <c r="AB302" s="1">
        <v>4.0</v>
      </c>
      <c r="AI302" s="1" t="s">
        <v>1595</v>
      </c>
      <c r="AJ302" s="1">
        <v>-4300.0</v>
      </c>
      <c r="AK302" s="1">
        <v>2000.0</v>
      </c>
      <c r="AL302" s="2" t="s">
        <v>100</v>
      </c>
      <c r="AM302" s="2" t="s">
        <v>72</v>
      </c>
      <c r="AN302" s="2" t="s">
        <v>524</v>
      </c>
      <c r="AO302" s="2" t="s">
        <v>72</v>
      </c>
      <c r="AQ302" s="2" t="s">
        <v>75</v>
      </c>
      <c r="AR302" s="2" t="s">
        <v>76</v>
      </c>
      <c r="AS302" s="1">
        <v>2915.0</v>
      </c>
      <c r="AT302" s="1">
        <v>2915.0</v>
      </c>
      <c r="AU302" s="1">
        <v>1355.0</v>
      </c>
      <c r="AV302" s="1">
        <v>37.0</v>
      </c>
      <c r="AW302" s="1">
        <v>151.0</v>
      </c>
      <c r="AX302" s="1">
        <v>6555.0</v>
      </c>
      <c r="AY302" s="1">
        <v>1.0</v>
      </c>
      <c r="AZ302" s="1" t="s">
        <v>658</v>
      </c>
      <c r="BA302" s="1" t="s">
        <v>659</v>
      </c>
    </row>
    <row r="303">
      <c r="A303" s="1" t="s">
        <v>1585</v>
      </c>
      <c r="B303" s="1" t="s">
        <v>53</v>
      </c>
      <c r="C303" s="1">
        <v>2012.0</v>
      </c>
      <c r="D303" s="1" t="s">
        <v>1586</v>
      </c>
      <c r="E303" s="1" t="s">
        <v>1587</v>
      </c>
      <c r="F303" s="3" t="s">
        <v>303</v>
      </c>
      <c r="G303" s="1" t="s">
        <v>1588</v>
      </c>
      <c r="H303" s="1" t="s">
        <v>1589</v>
      </c>
      <c r="I303" s="1">
        <v>78.0</v>
      </c>
      <c r="J303" s="1">
        <v>3.0</v>
      </c>
      <c r="K303" s="2" t="s">
        <v>1590</v>
      </c>
      <c r="L303" s="2" t="s">
        <v>60</v>
      </c>
      <c r="M303" s="1" t="s">
        <v>1596</v>
      </c>
      <c r="N303" s="1" t="s">
        <v>62</v>
      </c>
      <c r="O303" s="1" t="s">
        <v>521</v>
      </c>
      <c r="P303" s="1" t="s">
        <v>1592</v>
      </c>
      <c r="Q303" s="1">
        <v>12.087693</v>
      </c>
      <c r="R303" s="1">
        <v>-83.700095</v>
      </c>
      <c r="S303" s="1" t="s">
        <v>148</v>
      </c>
      <c r="T303" s="2" t="s">
        <v>189</v>
      </c>
      <c r="U303" s="1" t="s">
        <v>1597</v>
      </c>
      <c r="V303" s="3" t="s">
        <v>97</v>
      </c>
      <c r="W303" s="1" t="s">
        <v>1598</v>
      </c>
      <c r="X303" s="1" t="s">
        <v>70</v>
      </c>
      <c r="Y303" s="6" t="s">
        <v>76</v>
      </c>
      <c r="Z303" s="3" t="s">
        <v>76</v>
      </c>
      <c r="AB303" s="1">
        <v>2.0</v>
      </c>
      <c r="AI303" s="1" t="s">
        <v>1595</v>
      </c>
      <c r="AJ303" s="1">
        <v>-1000.0</v>
      </c>
      <c r="AK303" s="1">
        <v>2000.0</v>
      </c>
      <c r="AL303" s="2" t="s">
        <v>100</v>
      </c>
      <c r="AM303" s="2" t="s">
        <v>72</v>
      </c>
      <c r="AN303" s="2" t="s">
        <v>524</v>
      </c>
      <c r="AO303" s="2" t="s">
        <v>72</v>
      </c>
      <c r="AQ303" s="2" t="s">
        <v>75</v>
      </c>
      <c r="AR303" s="2" t="s">
        <v>76</v>
      </c>
      <c r="AS303" s="1">
        <v>2915.0</v>
      </c>
      <c r="AT303" s="1">
        <v>2915.0</v>
      </c>
      <c r="AU303" s="1">
        <v>1355.0</v>
      </c>
      <c r="AV303" s="1">
        <v>37.0</v>
      </c>
      <c r="AW303" s="1">
        <v>151.0</v>
      </c>
      <c r="AX303" s="1">
        <v>6555.0</v>
      </c>
      <c r="AY303" s="1">
        <v>1.0</v>
      </c>
      <c r="AZ303" s="1" t="s">
        <v>658</v>
      </c>
      <c r="BA303" s="1" t="s">
        <v>659</v>
      </c>
    </row>
    <row r="304">
      <c r="A304" s="1" t="s">
        <v>1585</v>
      </c>
      <c r="B304" s="1" t="s">
        <v>53</v>
      </c>
      <c r="C304" s="1">
        <v>2012.0</v>
      </c>
      <c r="D304" s="1" t="s">
        <v>1586</v>
      </c>
      <c r="E304" s="1" t="s">
        <v>1587</v>
      </c>
      <c r="F304" s="3" t="s">
        <v>303</v>
      </c>
      <c r="G304" s="1" t="s">
        <v>1588</v>
      </c>
      <c r="H304" s="1" t="s">
        <v>1589</v>
      </c>
      <c r="I304" s="1">
        <v>78.0</v>
      </c>
      <c r="J304" s="1">
        <v>3.0</v>
      </c>
      <c r="K304" s="2" t="s">
        <v>1590</v>
      </c>
      <c r="L304" s="2" t="s">
        <v>60</v>
      </c>
      <c r="M304" s="1" t="s">
        <v>1599</v>
      </c>
      <c r="N304" s="1" t="s">
        <v>62</v>
      </c>
      <c r="O304" s="1" t="s">
        <v>521</v>
      </c>
      <c r="P304" s="1" t="s">
        <v>1592</v>
      </c>
      <c r="Q304" s="1">
        <v>12.087693</v>
      </c>
      <c r="R304" s="1">
        <v>-83.700095</v>
      </c>
      <c r="S304" s="1" t="s">
        <v>148</v>
      </c>
      <c r="T304" s="2" t="s">
        <v>189</v>
      </c>
      <c r="U304" s="1" t="s">
        <v>1597</v>
      </c>
      <c r="V304" s="3" t="s">
        <v>97</v>
      </c>
      <c r="W304" s="1" t="s">
        <v>1600</v>
      </c>
      <c r="X304" s="1" t="s">
        <v>70</v>
      </c>
      <c r="Y304" s="6" t="s">
        <v>76</v>
      </c>
      <c r="Z304" s="3" t="s">
        <v>76</v>
      </c>
      <c r="AB304" s="1">
        <v>1.0</v>
      </c>
      <c r="AI304" s="1" t="s">
        <v>1595</v>
      </c>
      <c r="AJ304" s="1">
        <v>1000.0</v>
      </c>
      <c r="AK304" s="1">
        <v>2000.0</v>
      </c>
      <c r="AL304" s="2" t="s">
        <v>100</v>
      </c>
      <c r="AM304" s="2" t="s">
        <v>72</v>
      </c>
      <c r="AN304" s="2" t="s">
        <v>524</v>
      </c>
      <c r="AO304" s="2" t="s">
        <v>72</v>
      </c>
      <c r="AQ304" s="2" t="s">
        <v>75</v>
      </c>
      <c r="AR304" s="2" t="s">
        <v>76</v>
      </c>
      <c r="AS304" s="1">
        <v>2915.0</v>
      </c>
      <c r="AT304" s="1">
        <v>2915.0</v>
      </c>
      <c r="AU304" s="1">
        <v>1355.0</v>
      </c>
      <c r="AV304" s="1">
        <v>37.0</v>
      </c>
      <c r="AW304" s="1">
        <v>151.0</v>
      </c>
      <c r="AX304" s="1">
        <v>6555.0</v>
      </c>
      <c r="AY304" s="1">
        <v>1.0</v>
      </c>
      <c r="AZ304" s="1" t="s">
        <v>658</v>
      </c>
      <c r="BA304" s="1" t="s">
        <v>659</v>
      </c>
    </row>
    <row r="305">
      <c r="A305" s="1" t="s">
        <v>1585</v>
      </c>
      <c r="B305" s="1" t="s">
        <v>53</v>
      </c>
      <c r="C305" s="1">
        <v>2012.0</v>
      </c>
      <c r="D305" s="1" t="s">
        <v>1586</v>
      </c>
      <c r="E305" s="1" t="s">
        <v>1587</v>
      </c>
      <c r="F305" s="3" t="s">
        <v>303</v>
      </c>
      <c r="G305" s="1" t="s">
        <v>1588</v>
      </c>
      <c r="H305" s="1" t="s">
        <v>1589</v>
      </c>
      <c r="I305" s="1">
        <v>78.0</v>
      </c>
      <c r="J305" s="1">
        <v>3.0</v>
      </c>
      <c r="K305" s="2" t="s">
        <v>1590</v>
      </c>
      <c r="L305" s="2" t="s">
        <v>60</v>
      </c>
      <c r="M305" s="1" t="s">
        <v>1601</v>
      </c>
      <c r="N305" s="1" t="s">
        <v>62</v>
      </c>
      <c r="O305" s="1" t="s">
        <v>521</v>
      </c>
      <c r="P305" s="1" t="s">
        <v>1592</v>
      </c>
      <c r="Q305" s="1">
        <v>12.087693</v>
      </c>
      <c r="R305" s="1">
        <v>-83.700095</v>
      </c>
      <c r="S305" s="1" t="s">
        <v>148</v>
      </c>
      <c r="T305" s="2" t="s">
        <v>189</v>
      </c>
      <c r="U305" s="1" t="s">
        <v>1597</v>
      </c>
      <c r="V305" s="3" t="s">
        <v>97</v>
      </c>
      <c r="W305" s="1" t="s">
        <v>1602</v>
      </c>
      <c r="X305" s="1" t="s">
        <v>70</v>
      </c>
      <c r="Y305" s="6" t="s">
        <v>76</v>
      </c>
      <c r="Z305" s="3" t="s">
        <v>76</v>
      </c>
      <c r="AA305" s="1">
        <v>1.0</v>
      </c>
      <c r="AJ305" s="2" t="s">
        <v>72</v>
      </c>
      <c r="AK305" s="2" t="s">
        <v>72</v>
      </c>
      <c r="AL305" s="2" t="s">
        <v>100</v>
      </c>
      <c r="AM305" s="2" t="s">
        <v>72</v>
      </c>
      <c r="AN305" s="2" t="s">
        <v>524</v>
      </c>
      <c r="AO305" s="2" t="s">
        <v>72</v>
      </c>
      <c r="AQ305" s="2" t="s">
        <v>75</v>
      </c>
      <c r="AR305" s="2" t="s">
        <v>76</v>
      </c>
      <c r="AS305" s="1">
        <v>2915.0</v>
      </c>
      <c r="AT305" s="1">
        <v>2915.0</v>
      </c>
      <c r="AU305" s="1">
        <v>1355.0</v>
      </c>
      <c r="AV305" s="1">
        <v>37.0</v>
      </c>
      <c r="AW305" s="1">
        <v>151.0</v>
      </c>
      <c r="AX305" s="1">
        <v>6555.0</v>
      </c>
      <c r="AY305" s="1">
        <v>1.0</v>
      </c>
      <c r="AZ305" s="1" t="s">
        <v>658</v>
      </c>
      <c r="BA305" s="1" t="s">
        <v>659</v>
      </c>
    </row>
    <row r="306">
      <c r="A306" s="1" t="s">
        <v>1585</v>
      </c>
      <c r="B306" s="1" t="s">
        <v>53</v>
      </c>
      <c r="C306" s="1">
        <v>2012.0</v>
      </c>
      <c r="D306" s="1" t="s">
        <v>1586</v>
      </c>
      <c r="E306" s="1" t="s">
        <v>1587</v>
      </c>
      <c r="F306" s="3" t="s">
        <v>303</v>
      </c>
      <c r="G306" s="1" t="s">
        <v>1588</v>
      </c>
      <c r="H306" s="1" t="s">
        <v>1589</v>
      </c>
      <c r="I306" s="1">
        <v>78.0</v>
      </c>
      <c r="J306" s="1">
        <v>3.0</v>
      </c>
      <c r="K306" s="2" t="s">
        <v>1590</v>
      </c>
      <c r="L306" s="2" t="s">
        <v>60</v>
      </c>
      <c r="M306" s="1" t="s">
        <v>1603</v>
      </c>
      <c r="N306" s="1" t="s">
        <v>62</v>
      </c>
      <c r="O306" s="1" t="s">
        <v>521</v>
      </c>
      <c r="P306" s="1" t="s">
        <v>1592</v>
      </c>
      <c r="Q306" s="1">
        <v>12.087693</v>
      </c>
      <c r="R306" s="1">
        <v>-83.700095</v>
      </c>
      <c r="S306" s="1" t="s">
        <v>148</v>
      </c>
      <c r="T306" s="2" t="s">
        <v>189</v>
      </c>
      <c r="U306" s="1" t="s">
        <v>1597</v>
      </c>
      <c r="V306" s="3" t="s">
        <v>97</v>
      </c>
      <c r="W306" s="1" t="s">
        <v>1604</v>
      </c>
      <c r="X306" s="1" t="s">
        <v>70</v>
      </c>
      <c r="Y306" s="6" t="s">
        <v>76</v>
      </c>
      <c r="Z306" s="3" t="s">
        <v>76</v>
      </c>
      <c r="AB306" s="1">
        <v>4.0</v>
      </c>
      <c r="AI306" s="1" t="s">
        <v>1595</v>
      </c>
      <c r="AJ306" s="1">
        <v>-4300.0</v>
      </c>
      <c r="AK306" s="1">
        <v>2000.0</v>
      </c>
      <c r="AL306" s="2" t="s">
        <v>100</v>
      </c>
      <c r="AM306" s="2" t="s">
        <v>72</v>
      </c>
      <c r="AN306" s="2" t="s">
        <v>524</v>
      </c>
      <c r="AO306" s="2" t="s">
        <v>72</v>
      </c>
      <c r="AQ306" s="2" t="s">
        <v>75</v>
      </c>
      <c r="AR306" s="2" t="s">
        <v>76</v>
      </c>
      <c r="AS306" s="1">
        <v>2915.0</v>
      </c>
      <c r="AT306" s="1">
        <v>2915.0</v>
      </c>
      <c r="AU306" s="1">
        <v>1355.0</v>
      </c>
      <c r="AV306" s="1">
        <v>37.0</v>
      </c>
      <c r="AW306" s="1">
        <v>151.0</v>
      </c>
      <c r="AX306" s="1">
        <v>6555.0</v>
      </c>
      <c r="AY306" s="1">
        <v>1.0</v>
      </c>
      <c r="AZ306" s="1" t="s">
        <v>658</v>
      </c>
      <c r="BA306" s="1" t="s">
        <v>659</v>
      </c>
    </row>
    <row r="307">
      <c r="A307" s="1" t="s">
        <v>1585</v>
      </c>
      <c r="B307" s="1" t="s">
        <v>53</v>
      </c>
      <c r="C307" s="1">
        <v>2012.0</v>
      </c>
      <c r="D307" s="1" t="s">
        <v>1586</v>
      </c>
      <c r="E307" s="1" t="s">
        <v>1587</v>
      </c>
      <c r="F307" s="3" t="s">
        <v>303</v>
      </c>
      <c r="G307" s="1" t="s">
        <v>1588</v>
      </c>
      <c r="H307" s="1" t="s">
        <v>1589</v>
      </c>
      <c r="I307" s="1">
        <v>78.0</v>
      </c>
      <c r="J307" s="1">
        <v>3.0</v>
      </c>
      <c r="K307" s="2" t="s">
        <v>1590</v>
      </c>
      <c r="L307" s="2" t="s">
        <v>60</v>
      </c>
      <c r="M307" s="1" t="s">
        <v>1605</v>
      </c>
      <c r="N307" s="1" t="s">
        <v>62</v>
      </c>
      <c r="O307" s="1" t="s">
        <v>521</v>
      </c>
      <c r="P307" s="1" t="s">
        <v>1592</v>
      </c>
      <c r="Q307" s="1">
        <v>12.087693</v>
      </c>
      <c r="R307" s="1">
        <v>-83.700095</v>
      </c>
      <c r="S307" s="1" t="s">
        <v>148</v>
      </c>
      <c r="T307" s="2" t="s">
        <v>275</v>
      </c>
      <c r="U307" s="1" t="s">
        <v>656</v>
      </c>
      <c r="V307" s="3" t="s">
        <v>97</v>
      </c>
      <c r="W307" s="1" t="s">
        <v>278</v>
      </c>
      <c r="X307" s="1" t="s">
        <v>279</v>
      </c>
      <c r="Y307" s="6" t="s">
        <v>76</v>
      </c>
      <c r="Z307" s="3" t="s">
        <v>76</v>
      </c>
      <c r="AB307" s="1">
        <v>2.0</v>
      </c>
      <c r="AI307" s="1" t="s">
        <v>1595</v>
      </c>
      <c r="AJ307" s="1">
        <v>-1000.0</v>
      </c>
      <c r="AK307" s="1">
        <v>2000.0</v>
      </c>
      <c r="AL307" s="2" t="s">
        <v>100</v>
      </c>
      <c r="AM307" s="2" t="s">
        <v>72</v>
      </c>
      <c r="AN307" s="2" t="s">
        <v>524</v>
      </c>
      <c r="AO307" s="2" t="s">
        <v>72</v>
      </c>
      <c r="AQ307" s="2" t="s">
        <v>75</v>
      </c>
      <c r="AR307" s="2" t="s">
        <v>76</v>
      </c>
      <c r="AS307" s="1">
        <v>2915.0</v>
      </c>
      <c r="AT307" s="1">
        <v>2915.0</v>
      </c>
      <c r="AU307" s="1">
        <v>1355.0</v>
      </c>
      <c r="AV307" s="1">
        <v>37.0</v>
      </c>
      <c r="AW307" s="1">
        <v>151.0</v>
      </c>
      <c r="AX307" s="1">
        <v>6555.0</v>
      </c>
      <c r="AY307" s="1">
        <v>1.0</v>
      </c>
      <c r="AZ307" s="1" t="s">
        <v>658</v>
      </c>
      <c r="BA307" s="1" t="s">
        <v>659</v>
      </c>
    </row>
    <row r="308">
      <c r="A308" s="1" t="s">
        <v>1585</v>
      </c>
      <c r="B308" s="1" t="s">
        <v>53</v>
      </c>
      <c r="C308" s="1">
        <v>2012.0</v>
      </c>
      <c r="D308" s="1" t="s">
        <v>1586</v>
      </c>
      <c r="E308" s="1" t="s">
        <v>1587</v>
      </c>
      <c r="F308" s="3" t="s">
        <v>303</v>
      </c>
      <c r="G308" s="1" t="s">
        <v>1588</v>
      </c>
      <c r="H308" s="1" t="s">
        <v>1589</v>
      </c>
      <c r="I308" s="1">
        <v>78.0</v>
      </c>
      <c r="J308" s="1">
        <v>3.0</v>
      </c>
      <c r="K308" s="2" t="s">
        <v>1590</v>
      </c>
      <c r="L308" s="2" t="s">
        <v>60</v>
      </c>
      <c r="M308" s="1" t="s">
        <v>1606</v>
      </c>
      <c r="N308" s="1" t="s">
        <v>62</v>
      </c>
      <c r="O308" s="1" t="s">
        <v>521</v>
      </c>
      <c r="P308" s="1" t="s">
        <v>1592</v>
      </c>
      <c r="Q308" s="1">
        <v>12.087693</v>
      </c>
      <c r="R308" s="1">
        <v>-83.700095</v>
      </c>
      <c r="S308" s="1" t="s">
        <v>148</v>
      </c>
      <c r="T308" s="2" t="s">
        <v>275</v>
      </c>
      <c r="U308" s="1" t="s">
        <v>656</v>
      </c>
      <c r="V308" s="3" t="s">
        <v>97</v>
      </c>
      <c r="W308" s="1" t="s">
        <v>278</v>
      </c>
      <c r="X308" s="1" t="s">
        <v>279</v>
      </c>
      <c r="Y308" s="6" t="s">
        <v>76</v>
      </c>
      <c r="Z308" s="3" t="s">
        <v>76</v>
      </c>
      <c r="AB308" s="1">
        <v>1.0</v>
      </c>
      <c r="AI308" s="1" t="s">
        <v>1595</v>
      </c>
      <c r="AJ308" s="1">
        <v>1000.0</v>
      </c>
      <c r="AK308" s="1">
        <v>2000.0</v>
      </c>
      <c r="AL308" s="2" t="s">
        <v>100</v>
      </c>
      <c r="AM308" s="2" t="s">
        <v>72</v>
      </c>
      <c r="AN308" s="2" t="s">
        <v>524</v>
      </c>
      <c r="AO308" s="2" t="s">
        <v>72</v>
      </c>
      <c r="AQ308" s="2" t="s">
        <v>75</v>
      </c>
      <c r="AR308" s="2" t="s">
        <v>76</v>
      </c>
      <c r="AS308" s="1">
        <v>2915.0</v>
      </c>
      <c r="AT308" s="1">
        <v>2915.0</v>
      </c>
      <c r="AU308" s="1">
        <v>1355.0</v>
      </c>
      <c r="AV308" s="1">
        <v>37.0</v>
      </c>
      <c r="AW308" s="1">
        <v>151.0</v>
      </c>
      <c r="AX308" s="1">
        <v>6555.0</v>
      </c>
      <c r="AY308" s="1">
        <v>1.0</v>
      </c>
      <c r="AZ308" s="1" t="s">
        <v>658</v>
      </c>
      <c r="BA308" s="1" t="s">
        <v>659</v>
      </c>
    </row>
    <row r="309">
      <c r="A309" s="1" t="s">
        <v>1585</v>
      </c>
      <c r="B309" s="1" t="s">
        <v>53</v>
      </c>
      <c r="C309" s="1">
        <v>2012.0</v>
      </c>
      <c r="D309" s="1" t="s">
        <v>1586</v>
      </c>
      <c r="E309" s="1" t="s">
        <v>1587</v>
      </c>
      <c r="F309" s="3" t="s">
        <v>303</v>
      </c>
      <c r="G309" s="1" t="s">
        <v>1588</v>
      </c>
      <c r="H309" s="1" t="s">
        <v>1589</v>
      </c>
      <c r="I309" s="1">
        <v>78.0</v>
      </c>
      <c r="J309" s="1">
        <v>3.0</v>
      </c>
      <c r="K309" s="2" t="s">
        <v>1590</v>
      </c>
      <c r="L309" s="2" t="s">
        <v>60</v>
      </c>
      <c r="M309" s="1" t="s">
        <v>1617</v>
      </c>
      <c r="N309" s="1" t="s">
        <v>62</v>
      </c>
      <c r="O309" s="1" t="s">
        <v>521</v>
      </c>
      <c r="P309" s="1" t="s">
        <v>1592</v>
      </c>
      <c r="Q309" s="1">
        <v>12.087693</v>
      </c>
      <c r="R309" s="1">
        <v>-83.700095</v>
      </c>
      <c r="S309" s="1" t="s">
        <v>148</v>
      </c>
      <c r="T309" s="2" t="s">
        <v>275</v>
      </c>
      <c r="U309" s="1" t="s">
        <v>656</v>
      </c>
      <c r="V309" s="3" t="s">
        <v>97</v>
      </c>
      <c r="W309" s="1" t="s">
        <v>278</v>
      </c>
      <c r="X309" s="1" t="s">
        <v>279</v>
      </c>
      <c r="Y309" s="6" t="s">
        <v>76</v>
      </c>
      <c r="Z309" s="3" t="s">
        <v>76</v>
      </c>
      <c r="AA309" s="1">
        <v>1.0</v>
      </c>
      <c r="AJ309" s="2" t="s">
        <v>72</v>
      </c>
      <c r="AK309" s="2" t="s">
        <v>72</v>
      </c>
      <c r="AL309" s="2" t="s">
        <v>100</v>
      </c>
      <c r="AM309" s="2" t="s">
        <v>72</v>
      </c>
      <c r="AN309" s="2" t="s">
        <v>524</v>
      </c>
      <c r="AO309" s="2" t="s">
        <v>72</v>
      </c>
      <c r="AQ309" s="2" t="s">
        <v>75</v>
      </c>
      <c r="AR309" s="2" t="s">
        <v>76</v>
      </c>
      <c r="AS309" s="1">
        <v>2915.0</v>
      </c>
      <c r="AT309" s="1">
        <v>2915.0</v>
      </c>
      <c r="AU309" s="1">
        <v>1355.0</v>
      </c>
      <c r="AV309" s="1">
        <v>37.0</v>
      </c>
      <c r="AW309" s="1">
        <v>151.0</v>
      </c>
      <c r="AX309" s="1">
        <v>6555.0</v>
      </c>
      <c r="AY309" s="1">
        <v>1.0</v>
      </c>
      <c r="AZ309" s="1" t="s">
        <v>658</v>
      </c>
      <c r="BA309" s="1" t="s">
        <v>659</v>
      </c>
    </row>
    <row r="310">
      <c r="A310" s="1" t="s">
        <v>1585</v>
      </c>
      <c r="B310" s="1" t="s">
        <v>53</v>
      </c>
      <c r="C310" s="1">
        <v>2012.0</v>
      </c>
      <c r="D310" s="1" t="s">
        <v>1586</v>
      </c>
      <c r="E310" s="1" t="s">
        <v>1587</v>
      </c>
      <c r="F310" s="3" t="s">
        <v>303</v>
      </c>
      <c r="G310" s="1" t="s">
        <v>1588</v>
      </c>
      <c r="H310" s="1" t="s">
        <v>1589</v>
      </c>
      <c r="I310" s="1">
        <v>78.0</v>
      </c>
      <c r="J310" s="1">
        <v>3.0</v>
      </c>
      <c r="K310" s="2" t="s">
        <v>1590</v>
      </c>
      <c r="L310" s="2" t="s">
        <v>60</v>
      </c>
      <c r="M310" s="1" t="s">
        <v>1619</v>
      </c>
      <c r="N310" s="1" t="s">
        <v>62</v>
      </c>
      <c r="O310" s="1" t="s">
        <v>521</v>
      </c>
      <c r="P310" s="1" t="s">
        <v>1592</v>
      </c>
      <c r="Q310" s="1">
        <v>12.087693</v>
      </c>
      <c r="R310" s="1">
        <v>-83.700095</v>
      </c>
      <c r="S310" s="1" t="s">
        <v>148</v>
      </c>
      <c r="T310" s="2" t="s">
        <v>275</v>
      </c>
      <c r="U310" s="1" t="s">
        <v>656</v>
      </c>
      <c r="V310" s="3" t="s">
        <v>97</v>
      </c>
      <c r="W310" s="1" t="s">
        <v>278</v>
      </c>
      <c r="X310" s="1" t="s">
        <v>279</v>
      </c>
      <c r="Y310" s="6" t="s">
        <v>76</v>
      </c>
      <c r="Z310" s="3" t="s">
        <v>76</v>
      </c>
      <c r="AB310" s="1">
        <v>4.0</v>
      </c>
      <c r="AI310" s="1" t="s">
        <v>1595</v>
      </c>
      <c r="AJ310" s="1">
        <v>-4300.0</v>
      </c>
      <c r="AK310" s="1">
        <v>2000.0</v>
      </c>
      <c r="AL310" s="2" t="s">
        <v>100</v>
      </c>
      <c r="AM310" s="2" t="s">
        <v>72</v>
      </c>
      <c r="AN310" s="2" t="s">
        <v>524</v>
      </c>
      <c r="AO310" s="2" t="s">
        <v>72</v>
      </c>
      <c r="AQ310" s="2" t="s">
        <v>75</v>
      </c>
      <c r="AR310" s="2" t="s">
        <v>76</v>
      </c>
      <c r="AS310" s="1">
        <v>2915.0</v>
      </c>
      <c r="AT310" s="1">
        <v>2915.0</v>
      </c>
      <c r="AU310" s="1">
        <v>1355.0</v>
      </c>
      <c r="AV310" s="1">
        <v>37.0</v>
      </c>
      <c r="AW310" s="1">
        <v>151.0</v>
      </c>
      <c r="AX310" s="1">
        <v>6555.0</v>
      </c>
      <c r="AY310" s="1">
        <v>1.0</v>
      </c>
      <c r="AZ310" s="1" t="s">
        <v>658</v>
      </c>
      <c r="BA310" s="1" t="s">
        <v>659</v>
      </c>
    </row>
    <row r="311">
      <c r="A311" s="1" t="s">
        <v>1585</v>
      </c>
      <c r="B311" s="1" t="s">
        <v>53</v>
      </c>
      <c r="C311" s="1">
        <v>2012.0</v>
      </c>
      <c r="D311" s="1" t="s">
        <v>1586</v>
      </c>
      <c r="E311" s="1" t="s">
        <v>1587</v>
      </c>
      <c r="F311" s="3" t="s">
        <v>303</v>
      </c>
      <c r="G311" s="1" t="s">
        <v>1588</v>
      </c>
      <c r="H311" s="1" t="s">
        <v>1589</v>
      </c>
      <c r="I311" s="1">
        <v>78.0</v>
      </c>
      <c r="J311" s="1">
        <v>3.0</v>
      </c>
      <c r="K311" s="2" t="s">
        <v>1590</v>
      </c>
      <c r="L311" s="2" t="s">
        <v>60</v>
      </c>
      <c r="M311" s="1" t="s">
        <v>1620</v>
      </c>
      <c r="N311" s="1" t="s">
        <v>62</v>
      </c>
      <c r="O311" s="1" t="s">
        <v>521</v>
      </c>
      <c r="P311" s="1" t="s">
        <v>1592</v>
      </c>
      <c r="Q311" s="1">
        <v>12.087693</v>
      </c>
      <c r="R311" s="1">
        <v>-83.700095</v>
      </c>
      <c r="S311" s="1" t="s">
        <v>148</v>
      </c>
      <c r="T311" s="2" t="s">
        <v>194</v>
      </c>
      <c r="U311" s="1" t="s">
        <v>656</v>
      </c>
      <c r="V311" s="3" t="s">
        <v>97</v>
      </c>
      <c r="W311" s="1" t="s">
        <v>1598</v>
      </c>
      <c r="X311" s="1" t="s">
        <v>70</v>
      </c>
      <c r="Y311" s="6" t="s">
        <v>76</v>
      </c>
      <c r="Z311" s="3" t="s">
        <v>76</v>
      </c>
      <c r="AB311" s="1">
        <v>2.0</v>
      </c>
      <c r="AI311" s="1" t="s">
        <v>1595</v>
      </c>
      <c r="AJ311" s="1">
        <v>-1000.0</v>
      </c>
      <c r="AK311" s="1">
        <v>2000.0</v>
      </c>
      <c r="AL311" s="2" t="s">
        <v>100</v>
      </c>
      <c r="AM311" s="2" t="s">
        <v>72</v>
      </c>
      <c r="AN311" s="2" t="s">
        <v>524</v>
      </c>
      <c r="AO311" s="2" t="s">
        <v>72</v>
      </c>
      <c r="AQ311" s="2" t="s">
        <v>75</v>
      </c>
      <c r="AR311" s="2" t="s">
        <v>76</v>
      </c>
      <c r="AS311" s="1">
        <v>2915.0</v>
      </c>
      <c r="AT311" s="1">
        <v>2915.0</v>
      </c>
      <c r="AU311" s="1">
        <v>1355.0</v>
      </c>
      <c r="AV311" s="1">
        <v>37.0</v>
      </c>
      <c r="AW311" s="1">
        <v>151.0</v>
      </c>
      <c r="AX311" s="1">
        <v>6555.0</v>
      </c>
      <c r="AY311" s="1">
        <v>1.0</v>
      </c>
      <c r="AZ311" s="1" t="s">
        <v>658</v>
      </c>
      <c r="BA311" s="1" t="s">
        <v>659</v>
      </c>
    </row>
    <row r="312">
      <c r="A312" s="1" t="s">
        <v>1585</v>
      </c>
      <c r="B312" s="1" t="s">
        <v>53</v>
      </c>
      <c r="C312" s="1">
        <v>2012.0</v>
      </c>
      <c r="D312" s="1" t="s">
        <v>1586</v>
      </c>
      <c r="E312" s="1" t="s">
        <v>1587</v>
      </c>
      <c r="F312" s="3" t="s">
        <v>303</v>
      </c>
      <c r="G312" s="1" t="s">
        <v>1588</v>
      </c>
      <c r="H312" s="1" t="s">
        <v>1589</v>
      </c>
      <c r="I312" s="1">
        <v>78.0</v>
      </c>
      <c r="J312" s="1">
        <v>3.0</v>
      </c>
      <c r="K312" s="2" t="s">
        <v>1590</v>
      </c>
      <c r="L312" s="2" t="s">
        <v>60</v>
      </c>
      <c r="M312" s="1" t="s">
        <v>1621</v>
      </c>
      <c r="N312" s="1" t="s">
        <v>62</v>
      </c>
      <c r="O312" s="1" t="s">
        <v>521</v>
      </c>
      <c r="P312" s="1" t="s">
        <v>1592</v>
      </c>
      <c r="Q312" s="1">
        <v>12.087693</v>
      </c>
      <c r="R312" s="1">
        <v>-83.700095</v>
      </c>
      <c r="S312" s="1" t="s">
        <v>148</v>
      </c>
      <c r="T312" s="2" t="s">
        <v>194</v>
      </c>
      <c r="U312" s="1" t="s">
        <v>656</v>
      </c>
      <c r="V312" s="3" t="s">
        <v>97</v>
      </c>
      <c r="W312" s="1" t="s">
        <v>1598</v>
      </c>
      <c r="X312" s="1" t="s">
        <v>70</v>
      </c>
      <c r="Y312" s="6" t="s">
        <v>76</v>
      </c>
      <c r="Z312" s="3" t="s">
        <v>76</v>
      </c>
      <c r="AB312" s="1">
        <v>1.0</v>
      </c>
      <c r="AI312" s="1" t="s">
        <v>1595</v>
      </c>
      <c r="AJ312" s="1">
        <v>1000.0</v>
      </c>
      <c r="AK312" s="1">
        <v>2000.0</v>
      </c>
      <c r="AL312" s="2" t="s">
        <v>100</v>
      </c>
      <c r="AM312" s="2" t="s">
        <v>72</v>
      </c>
      <c r="AN312" s="2" t="s">
        <v>524</v>
      </c>
      <c r="AO312" s="2" t="s">
        <v>72</v>
      </c>
      <c r="AQ312" s="2" t="s">
        <v>75</v>
      </c>
      <c r="AR312" s="2" t="s">
        <v>76</v>
      </c>
      <c r="AS312" s="1">
        <v>2915.0</v>
      </c>
      <c r="AT312" s="1">
        <v>2915.0</v>
      </c>
      <c r="AU312" s="1">
        <v>1355.0</v>
      </c>
      <c r="AV312" s="1">
        <v>37.0</v>
      </c>
      <c r="AW312" s="1">
        <v>151.0</v>
      </c>
      <c r="AX312" s="1">
        <v>6555.0</v>
      </c>
      <c r="AY312" s="1">
        <v>1.0</v>
      </c>
      <c r="AZ312" s="1" t="s">
        <v>658</v>
      </c>
      <c r="BA312" s="1" t="s">
        <v>659</v>
      </c>
    </row>
    <row r="313">
      <c r="A313" s="1" t="s">
        <v>1585</v>
      </c>
      <c r="B313" s="1" t="s">
        <v>53</v>
      </c>
      <c r="C313" s="1">
        <v>2012.0</v>
      </c>
      <c r="D313" s="1" t="s">
        <v>1586</v>
      </c>
      <c r="E313" s="1" t="s">
        <v>1587</v>
      </c>
      <c r="F313" s="3" t="s">
        <v>303</v>
      </c>
      <c r="G313" s="1" t="s">
        <v>1588</v>
      </c>
      <c r="H313" s="1" t="s">
        <v>1589</v>
      </c>
      <c r="I313" s="1">
        <v>78.0</v>
      </c>
      <c r="J313" s="1">
        <v>3.0</v>
      </c>
      <c r="K313" s="2" t="s">
        <v>1590</v>
      </c>
      <c r="L313" s="2" t="s">
        <v>60</v>
      </c>
      <c r="M313" s="1" t="s">
        <v>1622</v>
      </c>
      <c r="N313" s="1" t="s">
        <v>62</v>
      </c>
      <c r="O313" s="1" t="s">
        <v>521</v>
      </c>
      <c r="P313" s="1" t="s">
        <v>1592</v>
      </c>
      <c r="Q313" s="1">
        <v>12.087693</v>
      </c>
      <c r="R313" s="1">
        <v>-83.700095</v>
      </c>
      <c r="S313" s="1" t="s">
        <v>148</v>
      </c>
      <c r="T313" s="2" t="s">
        <v>194</v>
      </c>
      <c r="U313" s="1" t="s">
        <v>656</v>
      </c>
      <c r="V313" s="3" t="s">
        <v>97</v>
      </c>
      <c r="W313" s="1" t="s">
        <v>1598</v>
      </c>
      <c r="X313" s="1" t="s">
        <v>70</v>
      </c>
      <c r="Y313" s="6" t="s">
        <v>76</v>
      </c>
      <c r="Z313" s="3" t="s">
        <v>76</v>
      </c>
      <c r="AA313" s="1">
        <v>1.0</v>
      </c>
      <c r="AJ313" s="2" t="s">
        <v>72</v>
      </c>
      <c r="AK313" s="2" t="s">
        <v>72</v>
      </c>
      <c r="AL313" s="2" t="s">
        <v>100</v>
      </c>
      <c r="AM313" s="2" t="s">
        <v>72</v>
      </c>
      <c r="AN313" s="2" t="s">
        <v>524</v>
      </c>
      <c r="AO313" s="2" t="s">
        <v>72</v>
      </c>
      <c r="AQ313" s="2" t="s">
        <v>75</v>
      </c>
      <c r="AR313" s="2" t="s">
        <v>76</v>
      </c>
      <c r="AS313" s="1">
        <v>2915.0</v>
      </c>
      <c r="AT313" s="1">
        <v>2915.0</v>
      </c>
      <c r="AU313" s="1">
        <v>1355.0</v>
      </c>
      <c r="AV313" s="1">
        <v>37.0</v>
      </c>
      <c r="AW313" s="1">
        <v>151.0</v>
      </c>
      <c r="AX313" s="1">
        <v>6555.0</v>
      </c>
      <c r="AY313" s="1">
        <v>1.0</v>
      </c>
      <c r="AZ313" s="1" t="s">
        <v>658</v>
      </c>
      <c r="BA313" s="1" t="s">
        <v>659</v>
      </c>
    </row>
    <row r="314">
      <c r="A314" s="1" t="s">
        <v>1585</v>
      </c>
      <c r="B314" s="1" t="s">
        <v>53</v>
      </c>
      <c r="C314" s="1">
        <v>2012.0</v>
      </c>
      <c r="D314" s="1" t="s">
        <v>1586</v>
      </c>
      <c r="E314" s="1" t="s">
        <v>1587</v>
      </c>
      <c r="F314" s="3" t="s">
        <v>303</v>
      </c>
      <c r="G314" s="1" t="s">
        <v>1588</v>
      </c>
      <c r="H314" s="1" t="s">
        <v>1589</v>
      </c>
      <c r="I314" s="1">
        <v>78.0</v>
      </c>
      <c r="J314" s="1">
        <v>3.0</v>
      </c>
      <c r="K314" s="2" t="s">
        <v>1590</v>
      </c>
      <c r="L314" s="2" t="s">
        <v>60</v>
      </c>
      <c r="M314" s="1" t="s">
        <v>1623</v>
      </c>
      <c r="N314" s="1" t="s">
        <v>62</v>
      </c>
      <c r="O314" s="1" t="s">
        <v>521</v>
      </c>
      <c r="P314" s="1" t="s">
        <v>1592</v>
      </c>
      <c r="Q314" s="1">
        <v>12.087693</v>
      </c>
      <c r="R314" s="1">
        <v>-83.700095</v>
      </c>
      <c r="S314" s="1" t="s">
        <v>148</v>
      </c>
      <c r="T314" s="2" t="s">
        <v>194</v>
      </c>
      <c r="U314" s="1" t="s">
        <v>656</v>
      </c>
      <c r="V314" s="3" t="s">
        <v>97</v>
      </c>
      <c r="W314" s="1" t="s">
        <v>1598</v>
      </c>
      <c r="X314" s="1" t="s">
        <v>70</v>
      </c>
      <c r="Y314" s="6" t="s">
        <v>76</v>
      </c>
      <c r="Z314" s="3" t="s">
        <v>76</v>
      </c>
      <c r="AB314" s="1">
        <v>4.0</v>
      </c>
      <c r="AI314" s="1" t="s">
        <v>1595</v>
      </c>
      <c r="AJ314" s="1">
        <v>-4300.0</v>
      </c>
      <c r="AK314" s="1">
        <v>2000.0</v>
      </c>
      <c r="AL314" s="2" t="s">
        <v>100</v>
      </c>
      <c r="AM314" s="2" t="s">
        <v>72</v>
      </c>
      <c r="AN314" s="2" t="s">
        <v>524</v>
      </c>
      <c r="AO314" s="2" t="s">
        <v>72</v>
      </c>
      <c r="AQ314" s="2" t="s">
        <v>75</v>
      </c>
      <c r="AR314" s="2" t="s">
        <v>76</v>
      </c>
      <c r="AS314" s="1">
        <v>2915.0</v>
      </c>
      <c r="AT314" s="1">
        <v>2915.0</v>
      </c>
      <c r="AU314" s="1">
        <v>1355.0</v>
      </c>
      <c r="AV314" s="1">
        <v>37.0</v>
      </c>
      <c r="AW314" s="1">
        <v>151.0</v>
      </c>
      <c r="AX314" s="1">
        <v>6555.0</v>
      </c>
      <c r="AY314" s="1">
        <v>1.0</v>
      </c>
      <c r="AZ314" s="1" t="s">
        <v>658</v>
      </c>
      <c r="BA314" s="1" t="s">
        <v>659</v>
      </c>
    </row>
    <row r="315">
      <c r="A315" s="1" t="s">
        <v>435</v>
      </c>
      <c r="B315" s="1" t="s">
        <v>53</v>
      </c>
      <c r="C315" s="1">
        <v>2013.0</v>
      </c>
      <c r="D315" s="1" t="s">
        <v>436</v>
      </c>
      <c r="E315" s="1" t="s">
        <v>437</v>
      </c>
      <c r="F315" s="1" t="s">
        <v>438</v>
      </c>
      <c r="G315" s="1" t="s">
        <v>439</v>
      </c>
      <c r="H315" s="1" t="s">
        <v>440</v>
      </c>
      <c r="I315" s="1">
        <v>14.0</v>
      </c>
      <c r="J315" s="1">
        <v>9.0</v>
      </c>
      <c r="K315" s="2" t="s">
        <v>441</v>
      </c>
      <c r="L315" s="2" t="s">
        <v>60</v>
      </c>
      <c r="M315" s="1" t="s">
        <v>442</v>
      </c>
      <c r="N315" s="1" t="s">
        <v>62</v>
      </c>
      <c r="O315" s="1" t="s">
        <v>187</v>
      </c>
      <c r="P315" s="1" t="s">
        <v>443</v>
      </c>
      <c r="Q315" s="1">
        <v>17.117188</v>
      </c>
      <c r="R315" s="1">
        <v>-88.890606</v>
      </c>
      <c r="S315" s="1" t="s">
        <v>94</v>
      </c>
      <c r="T315" s="2" t="s">
        <v>95</v>
      </c>
      <c r="U315" s="2" t="s">
        <v>444</v>
      </c>
      <c r="V315" s="3" t="s">
        <v>97</v>
      </c>
      <c r="W315" s="2" t="s">
        <v>72</v>
      </c>
      <c r="X315" s="2" t="s">
        <v>99</v>
      </c>
      <c r="Y315" s="6" t="s">
        <v>76</v>
      </c>
      <c r="Z315" s="3" t="s">
        <v>76</v>
      </c>
      <c r="AA315" s="1">
        <v>1.0</v>
      </c>
      <c r="AJ315" s="1">
        <v>1978.0</v>
      </c>
      <c r="AK315" s="1">
        <v>2001.0</v>
      </c>
      <c r="AL315" s="2" t="s">
        <v>100</v>
      </c>
      <c r="AM315" s="2" t="s">
        <v>72</v>
      </c>
      <c r="AN315" s="2" t="s">
        <v>72</v>
      </c>
      <c r="AO315" s="2" t="s">
        <v>101</v>
      </c>
      <c r="AQ315" s="2" t="s">
        <v>102</v>
      </c>
      <c r="AR315" s="2" t="s">
        <v>76</v>
      </c>
      <c r="AS315" s="1">
        <v>1849.0</v>
      </c>
      <c r="AT315" s="1">
        <v>1849.0</v>
      </c>
      <c r="AU315" s="1">
        <v>723.0</v>
      </c>
      <c r="AV315" s="1">
        <v>44.0</v>
      </c>
      <c r="AW315" s="1">
        <v>156.0</v>
      </c>
      <c r="AX315" s="1">
        <v>5227.0</v>
      </c>
      <c r="AY315" s="1">
        <v>194.0</v>
      </c>
      <c r="AZ315" s="1" t="s">
        <v>445</v>
      </c>
      <c r="BA315" s="1" t="s">
        <v>446</v>
      </c>
    </row>
    <row r="316">
      <c r="A316" s="1" t="s">
        <v>435</v>
      </c>
      <c r="B316" s="1" t="s">
        <v>53</v>
      </c>
      <c r="C316" s="1">
        <v>2013.0</v>
      </c>
      <c r="D316" s="1" t="s">
        <v>436</v>
      </c>
      <c r="E316" s="1" t="s">
        <v>437</v>
      </c>
      <c r="F316" s="1" t="s">
        <v>438</v>
      </c>
      <c r="G316" s="1" t="s">
        <v>439</v>
      </c>
      <c r="H316" s="1" t="s">
        <v>440</v>
      </c>
      <c r="I316" s="1">
        <v>14.0</v>
      </c>
      <c r="J316" s="1">
        <v>9.0</v>
      </c>
      <c r="K316" s="2" t="s">
        <v>441</v>
      </c>
      <c r="L316" s="2" t="s">
        <v>60</v>
      </c>
      <c r="M316" s="1" t="s">
        <v>458</v>
      </c>
      <c r="N316" s="1" t="s">
        <v>62</v>
      </c>
      <c r="O316" s="1" t="s">
        <v>187</v>
      </c>
      <c r="P316" s="1" t="s">
        <v>443</v>
      </c>
      <c r="Q316" s="1">
        <v>17.117188</v>
      </c>
      <c r="R316" s="1">
        <v>-88.890606</v>
      </c>
      <c r="S316" s="1" t="s">
        <v>94</v>
      </c>
      <c r="T316" s="2" t="s">
        <v>135</v>
      </c>
      <c r="U316" s="2" t="s">
        <v>444</v>
      </c>
      <c r="V316" s="3" t="s">
        <v>97</v>
      </c>
      <c r="W316" s="2" t="s">
        <v>72</v>
      </c>
      <c r="X316" s="2" t="s">
        <v>99</v>
      </c>
      <c r="Y316" s="6" t="s">
        <v>76</v>
      </c>
      <c r="Z316" s="3" t="s">
        <v>76</v>
      </c>
      <c r="AA316" s="1">
        <v>1.0</v>
      </c>
      <c r="AJ316" s="1">
        <v>1978.0</v>
      </c>
      <c r="AK316" s="1">
        <v>2001.0</v>
      </c>
      <c r="AL316" s="2" t="s">
        <v>100</v>
      </c>
      <c r="AM316" s="2" t="s">
        <v>72</v>
      </c>
      <c r="AN316" s="2" t="s">
        <v>72</v>
      </c>
      <c r="AO316" s="2" t="s">
        <v>101</v>
      </c>
      <c r="AQ316" s="2" t="s">
        <v>102</v>
      </c>
      <c r="AR316" s="2" t="s">
        <v>76</v>
      </c>
      <c r="AS316" s="1">
        <v>1849.0</v>
      </c>
      <c r="AT316" s="1">
        <v>1849.0</v>
      </c>
      <c r="AU316" s="1">
        <v>723.0</v>
      </c>
      <c r="AV316" s="1">
        <v>44.0</v>
      </c>
      <c r="AW316" s="1">
        <v>156.0</v>
      </c>
      <c r="AX316" s="1">
        <v>5227.0</v>
      </c>
      <c r="AY316" s="1">
        <v>194.0</v>
      </c>
      <c r="AZ316" s="1" t="s">
        <v>445</v>
      </c>
      <c r="BA316" s="1" t="s">
        <v>446</v>
      </c>
    </row>
    <row r="317">
      <c r="A317" s="1" t="s">
        <v>2119</v>
      </c>
      <c r="B317" s="1" t="s">
        <v>268</v>
      </c>
      <c r="C317" s="1">
        <v>2013.0</v>
      </c>
      <c r="D317" s="1" t="s">
        <v>2120</v>
      </c>
      <c r="E317" s="1" t="s">
        <v>2121</v>
      </c>
      <c r="H317" s="1" t="s">
        <v>2122</v>
      </c>
      <c r="I317" s="1">
        <v>23.0</v>
      </c>
      <c r="K317" s="2" t="s">
        <v>2123</v>
      </c>
      <c r="L317" s="2" t="s">
        <v>60</v>
      </c>
      <c r="M317" s="1" t="s">
        <v>2124</v>
      </c>
      <c r="N317" s="1" t="s">
        <v>62</v>
      </c>
      <c r="O317" s="1" t="s">
        <v>187</v>
      </c>
      <c r="P317" s="1" t="s">
        <v>2125</v>
      </c>
      <c r="Q317" s="1">
        <v>17.666667</v>
      </c>
      <c r="R317" s="1">
        <v>-88.666667</v>
      </c>
      <c r="S317" s="1" t="s">
        <v>148</v>
      </c>
      <c r="T317" s="2" t="s">
        <v>80</v>
      </c>
      <c r="U317" s="3" t="s">
        <v>81</v>
      </c>
      <c r="V317" s="3" t="s">
        <v>68</v>
      </c>
      <c r="W317" s="1" t="s">
        <v>1302</v>
      </c>
      <c r="X317" s="1" t="s">
        <v>70</v>
      </c>
      <c r="Y317" s="6" t="s">
        <v>76</v>
      </c>
      <c r="Z317" s="3" t="s">
        <v>84</v>
      </c>
      <c r="AB317" s="1">
        <v>6.0</v>
      </c>
      <c r="AI317" s="1" t="s">
        <v>2126</v>
      </c>
      <c r="AJ317" s="1">
        <v>-1630.0</v>
      </c>
      <c r="AK317" s="1">
        <v>1500.0</v>
      </c>
      <c r="AL317" s="2" t="s">
        <v>73</v>
      </c>
      <c r="AM317" s="2" t="s">
        <v>60</v>
      </c>
      <c r="AN317" s="2" t="s">
        <v>72</v>
      </c>
      <c r="AO317" s="2" t="s">
        <v>72</v>
      </c>
      <c r="AQ317" s="2" t="s">
        <v>576</v>
      </c>
      <c r="AR317" s="2" t="s">
        <v>76</v>
      </c>
      <c r="AS317" s="1">
        <v>1741.0</v>
      </c>
      <c r="AT317" s="1">
        <v>1741.0</v>
      </c>
      <c r="AU317" s="1">
        <v>685.0</v>
      </c>
      <c r="AV317" s="1">
        <v>45.0</v>
      </c>
      <c r="AW317" s="1">
        <v>155.0</v>
      </c>
      <c r="AX317" s="1">
        <v>5285.0</v>
      </c>
      <c r="AY317" s="1">
        <v>42.0</v>
      </c>
      <c r="AZ317" s="1" t="s">
        <v>133</v>
      </c>
      <c r="BA317" s="1" t="s">
        <v>121</v>
      </c>
    </row>
    <row r="318">
      <c r="A318" s="1" t="s">
        <v>2119</v>
      </c>
      <c r="B318" s="1" t="s">
        <v>268</v>
      </c>
      <c r="C318" s="1">
        <v>2013.0</v>
      </c>
      <c r="D318" s="1" t="s">
        <v>2120</v>
      </c>
      <c r="E318" s="1" t="s">
        <v>2121</v>
      </c>
      <c r="H318" s="1" t="s">
        <v>2122</v>
      </c>
      <c r="I318" s="1">
        <v>23.0</v>
      </c>
      <c r="K318" s="2" t="s">
        <v>2123</v>
      </c>
      <c r="L318" s="2" t="s">
        <v>60</v>
      </c>
      <c r="M318" s="1" t="s">
        <v>2127</v>
      </c>
      <c r="N318" s="1" t="s">
        <v>62</v>
      </c>
      <c r="O318" s="1" t="s">
        <v>187</v>
      </c>
      <c r="P318" s="1" t="s">
        <v>2125</v>
      </c>
      <c r="Q318" s="1">
        <v>17.666667</v>
      </c>
      <c r="R318" s="1">
        <v>-88.666667</v>
      </c>
      <c r="S318" s="1" t="s">
        <v>148</v>
      </c>
      <c r="T318" s="2" t="s">
        <v>66</v>
      </c>
      <c r="U318" s="3" t="s">
        <v>67</v>
      </c>
      <c r="V318" s="3" t="s">
        <v>68</v>
      </c>
      <c r="W318" s="1" t="s">
        <v>2128</v>
      </c>
      <c r="X318" s="2" t="s">
        <v>928</v>
      </c>
      <c r="Y318" s="5" t="s">
        <v>60</v>
      </c>
      <c r="Z318" s="3" t="s">
        <v>71</v>
      </c>
      <c r="AB318" s="1">
        <v>6.0</v>
      </c>
      <c r="AI318" s="1" t="s">
        <v>2126</v>
      </c>
      <c r="AJ318" s="1">
        <v>-1630.0</v>
      </c>
      <c r="AK318" s="1">
        <v>1500.0</v>
      </c>
      <c r="AL318" s="2" t="s">
        <v>73</v>
      </c>
      <c r="AM318" s="2" t="s">
        <v>60</v>
      </c>
      <c r="AN318" s="2" t="s">
        <v>72</v>
      </c>
      <c r="AO318" s="2" t="s">
        <v>72</v>
      </c>
      <c r="AQ318" s="2" t="s">
        <v>576</v>
      </c>
      <c r="AR318" s="2" t="s">
        <v>76</v>
      </c>
      <c r="AS318" s="1">
        <v>1741.0</v>
      </c>
      <c r="AT318" s="1">
        <v>1741.0</v>
      </c>
      <c r="AU318" s="1">
        <v>685.0</v>
      </c>
      <c r="AV318" s="1">
        <v>45.0</v>
      </c>
      <c r="AW318" s="1">
        <v>155.0</v>
      </c>
      <c r="AX318" s="1">
        <v>5285.0</v>
      </c>
      <c r="AY318" s="1">
        <v>42.0</v>
      </c>
      <c r="AZ318" s="1" t="s">
        <v>133</v>
      </c>
      <c r="BA318" s="1" t="s">
        <v>121</v>
      </c>
    </row>
    <row r="319">
      <c r="A319" s="1" t="s">
        <v>950</v>
      </c>
      <c r="B319" s="1" t="s">
        <v>53</v>
      </c>
      <c r="C319" s="1">
        <v>2013.0</v>
      </c>
      <c r="D319" s="1" t="s">
        <v>951</v>
      </c>
      <c r="E319" s="1" t="s">
        <v>952</v>
      </c>
      <c r="F319" s="1" t="s">
        <v>732</v>
      </c>
      <c r="G319" s="1" t="s">
        <v>953</v>
      </c>
      <c r="H319" s="1" t="s">
        <v>954</v>
      </c>
      <c r="I319" s="1">
        <v>50.0</v>
      </c>
      <c r="J319" s="1">
        <v>1.0</v>
      </c>
      <c r="K319" s="2" t="s">
        <v>955</v>
      </c>
      <c r="L319" s="2" t="s">
        <v>60</v>
      </c>
      <c r="M319" s="1" t="s">
        <v>956</v>
      </c>
      <c r="N319" s="1" t="s">
        <v>62</v>
      </c>
      <c r="O319" s="1" t="s">
        <v>521</v>
      </c>
      <c r="P319" s="1" t="s">
        <v>957</v>
      </c>
      <c r="Q319" s="1">
        <v>11.311111</v>
      </c>
      <c r="R319" s="1">
        <v>-85.134722</v>
      </c>
      <c r="S319" s="1" t="s">
        <v>148</v>
      </c>
      <c r="T319" s="2" t="s">
        <v>149</v>
      </c>
      <c r="U319" s="2" t="s">
        <v>958</v>
      </c>
      <c r="V319" s="3" t="s">
        <v>299</v>
      </c>
      <c r="W319" s="1" t="s">
        <v>959</v>
      </c>
      <c r="X319" s="1" t="s">
        <v>70</v>
      </c>
      <c r="Y319" s="6" t="s">
        <v>76</v>
      </c>
      <c r="Z319" s="3" t="s">
        <v>380</v>
      </c>
      <c r="AB319" s="1">
        <v>10.0</v>
      </c>
      <c r="AI319" s="1" t="s">
        <v>960</v>
      </c>
      <c r="AJ319" s="1">
        <v>-3639.0</v>
      </c>
      <c r="AK319" s="1">
        <v>1950.0</v>
      </c>
      <c r="AL319" s="2" t="s">
        <v>73</v>
      </c>
      <c r="AM319" s="2" t="s">
        <v>76</v>
      </c>
      <c r="AN319" s="2" t="s">
        <v>524</v>
      </c>
      <c r="AO319" s="2" t="s">
        <v>72</v>
      </c>
      <c r="AQ319" s="2" t="s">
        <v>75</v>
      </c>
      <c r="AR319" s="2" t="s">
        <v>76</v>
      </c>
      <c r="AS319" s="1">
        <v>1975.0</v>
      </c>
      <c r="AT319" s="1">
        <v>1975.0</v>
      </c>
      <c r="AU319" s="1">
        <v>950.0</v>
      </c>
      <c r="AV319" s="1">
        <v>16.0</v>
      </c>
      <c r="AW319" s="1">
        <v>67.0</v>
      </c>
      <c r="AX319" s="1">
        <v>7984.0</v>
      </c>
      <c r="AY319" s="1">
        <v>31.0</v>
      </c>
      <c r="AZ319" s="1" t="s">
        <v>120</v>
      </c>
      <c r="BA319" s="1" t="s">
        <v>121</v>
      </c>
    </row>
    <row r="320">
      <c r="A320" s="1" t="s">
        <v>950</v>
      </c>
      <c r="B320" s="1" t="s">
        <v>53</v>
      </c>
      <c r="C320" s="1">
        <v>2013.0</v>
      </c>
      <c r="D320" s="1" t="s">
        <v>951</v>
      </c>
      <c r="E320" s="1" t="s">
        <v>952</v>
      </c>
      <c r="F320" s="1" t="s">
        <v>732</v>
      </c>
      <c r="G320" s="1" t="s">
        <v>953</v>
      </c>
      <c r="H320" s="1" t="s">
        <v>954</v>
      </c>
      <c r="I320" s="1">
        <v>50.0</v>
      </c>
      <c r="J320" s="1">
        <v>1.0</v>
      </c>
      <c r="K320" s="2" t="s">
        <v>955</v>
      </c>
      <c r="L320" s="2" t="s">
        <v>60</v>
      </c>
      <c r="M320" s="1" t="s">
        <v>961</v>
      </c>
      <c r="N320" s="1" t="s">
        <v>62</v>
      </c>
      <c r="O320" s="1" t="s">
        <v>521</v>
      </c>
      <c r="P320" s="1" t="s">
        <v>957</v>
      </c>
      <c r="Q320" s="1">
        <v>11.311111</v>
      </c>
      <c r="R320" s="1">
        <v>-85.134722</v>
      </c>
      <c r="S320" s="1" t="s">
        <v>148</v>
      </c>
      <c r="T320" s="2" t="s">
        <v>194</v>
      </c>
      <c r="U320" s="1" t="s">
        <v>173</v>
      </c>
      <c r="V320" s="3" t="s">
        <v>68</v>
      </c>
      <c r="W320" s="1" t="s">
        <v>962</v>
      </c>
      <c r="X320" s="1" t="s">
        <v>70</v>
      </c>
      <c r="Y320" s="6" t="s">
        <v>76</v>
      </c>
      <c r="Z320" s="1" t="s">
        <v>173</v>
      </c>
      <c r="AB320" s="1">
        <v>10.0</v>
      </c>
      <c r="AI320" s="1" t="s">
        <v>960</v>
      </c>
      <c r="AJ320" s="1">
        <v>-3639.0</v>
      </c>
      <c r="AK320" s="1">
        <v>1950.0</v>
      </c>
      <c r="AL320" s="2" t="s">
        <v>73</v>
      </c>
      <c r="AM320" s="2" t="s">
        <v>76</v>
      </c>
      <c r="AN320" s="2" t="s">
        <v>524</v>
      </c>
      <c r="AO320" s="2" t="s">
        <v>72</v>
      </c>
      <c r="AQ320" s="2" t="s">
        <v>75</v>
      </c>
      <c r="AR320" s="2" t="s">
        <v>76</v>
      </c>
      <c r="AS320" s="1">
        <v>1975.0</v>
      </c>
      <c r="AT320" s="1">
        <v>1975.0</v>
      </c>
      <c r="AU320" s="1">
        <v>950.0</v>
      </c>
      <c r="AV320" s="1">
        <v>16.0</v>
      </c>
      <c r="AW320" s="1">
        <v>67.0</v>
      </c>
      <c r="AX320" s="1">
        <v>7984.0</v>
      </c>
      <c r="AY320" s="1">
        <v>31.0</v>
      </c>
      <c r="AZ320" s="1" t="s">
        <v>120</v>
      </c>
      <c r="BA320" s="1" t="s">
        <v>121</v>
      </c>
    </row>
    <row r="321">
      <c r="A321" s="1" t="s">
        <v>950</v>
      </c>
      <c r="B321" s="1" t="s">
        <v>53</v>
      </c>
      <c r="C321" s="1">
        <v>2013.0</v>
      </c>
      <c r="D321" s="1" t="s">
        <v>951</v>
      </c>
      <c r="E321" s="1" t="s">
        <v>952</v>
      </c>
      <c r="F321" s="1" t="s">
        <v>732</v>
      </c>
      <c r="G321" s="1" t="s">
        <v>953</v>
      </c>
      <c r="H321" s="1" t="s">
        <v>954</v>
      </c>
      <c r="I321" s="1">
        <v>50.0</v>
      </c>
      <c r="J321" s="1">
        <v>1.0</v>
      </c>
      <c r="K321" s="2" t="s">
        <v>955</v>
      </c>
      <c r="L321" s="2" t="s">
        <v>60</v>
      </c>
      <c r="M321" s="1" t="s">
        <v>963</v>
      </c>
      <c r="N321" s="1" t="s">
        <v>62</v>
      </c>
      <c r="O321" s="1" t="s">
        <v>521</v>
      </c>
      <c r="P321" s="1" t="s">
        <v>957</v>
      </c>
      <c r="Q321" s="1">
        <v>11.311111</v>
      </c>
      <c r="R321" s="1">
        <v>-85.134722</v>
      </c>
      <c r="S321" s="1" t="s">
        <v>148</v>
      </c>
      <c r="T321" s="2" t="s">
        <v>964</v>
      </c>
      <c r="U321" s="1" t="s">
        <v>173</v>
      </c>
      <c r="V321" s="3" t="s">
        <v>68</v>
      </c>
      <c r="W321" s="1" t="s">
        <v>965</v>
      </c>
      <c r="X321" s="1" t="s">
        <v>70</v>
      </c>
      <c r="Y321" s="6" t="s">
        <v>76</v>
      </c>
      <c r="Z321" s="1" t="s">
        <v>173</v>
      </c>
      <c r="AB321" s="1">
        <v>10.0</v>
      </c>
      <c r="AI321" s="1" t="s">
        <v>960</v>
      </c>
      <c r="AJ321" s="1">
        <v>-3639.0</v>
      </c>
      <c r="AK321" s="1">
        <v>1950.0</v>
      </c>
      <c r="AL321" s="2" t="s">
        <v>73</v>
      </c>
      <c r="AM321" s="2" t="s">
        <v>76</v>
      </c>
      <c r="AN321" s="2" t="s">
        <v>524</v>
      </c>
      <c r="AO321" s="2" t="s">
        <v>72</v>
      </c>
      <c r="AQ321" s="2" t="s">
        <v>75</v>
      </c>
      <c r="AR321" s="2" t="s">
        <v>76</v>
      </c>
      <c r="AS321" s="1">
        <v>1975.0</v>
      </c>
      <c r="AT321" s="1">
        <v>1975.0</v>
      </c>
      <c r="AU321" s="1">
        <v>950.0</v>
      </c>
      <c r="AV321" s="1">
        <v>16.0</v>
      </c>
      <c r="AW321" s="1">
        <v>67.0</v>
      </c>
      <c r="AX321" s="1">
        <v>7984.0</v>
      </c>
      <c r="AY321" s="1">
        <v>31.0</v>
      </c>
      <c r="AZ321" s="1" t="s">
        <v>120</v>
      </c>
      <c r="BA321" s="1" t="s">
        <v>121</v>
      </c>
    </row>
    <row r="322">
      <c r="A322" s="1" t="s">
        <v>950</v>
      </c>
      <c r="B322" s="1" t="s">
        <v>53</v>
      </c>
      <c r="C322" s="1">
        <v>2013.0</v>
      </c>
      <c r="D322" s="1" t="s">
        <v>951</v>
      </c>
      <c r="E322" s="1" t="s">
        <v>952</v>
      </c>
      <c r="F322" s="1" t="s">
        <v>732</v>
      </c>
      <c r="G322" s="1" t="s">
        <v>953</v>
      </c>
      <c r="H322" s="1" t="s">
        <v>954</v>
      </c>
      <c r="I322" s="1">
        <v>50.0</v>
      </c>
      <c r="J322" s="1">
        <v>1.0</v>
      </c>
      <c r="K322" s="2" t="s">
        <v>955</v>
      </c>
      <c r="L322" s="2" t="s">
        <v>60</v>
      </c>
      <c r="M322" s="1" t="s">
        <v>966</v>
      </c>
      <c r="N322" s="1" t="s">
        <v>62</v>
      </c>
      <c r="O322" s="1" t="s">
        <v>521</v>
      </c>
      <c r="P322" s="1" t="s">
        <v>957</v>
      </c>
      <c r="Q322" s="1">
        <v>11.311111</v>
      </c>
      <c r="R322" s="1">
        <v>-85.134722</v>
      </c>
      <c r="S322" s="1" t="s">
        <v>148</v>
      </c>
      <c r="T322" s="2" t="s">
        <v>382</v>
      </c>
      <c r="U322" s="1" t="s">
        <v>173</v>
      </c>
      <c r="V322" s="3" t="s">
        <v>68</v>
      </c>
      <c r="W322" s="1" t="s">
        <v>967</v>
      </c>
      <c r="X322" s="1" t="s">
        <v>968</v>
      </c>
      <c r="Y322" s="6" t="s">
        <v>76</v>
      </c>
      <c r="Z322" s="1" t="s">
        <v>173</v>
      </c>
      <c r="AB322" s="1">
        <v>10.0</v>
      </c>
      <c r="AI322" s="1" t="s">
        <v>960</v>
      </c>
      <c r="AJ322" s="1">
        <v>-3639.0</v>
      </c>
      <c r="AK322" s="1">
        <v>1950.0</v>
      </c>
      <c r="AL322" s="2" t="s">
        <v>73</v>
      </c>
      <c r="AM322" s="2" t="s">
        <v>76</v>
      </c>
      <c r="AN322" s="2" t="s">
        <v>524</v>
      </c>
      <c r="AO322" s="2" t="s">
        <v>72</v>
      </c>
      <c r="AQ322" s="2" t="s">
        <v>75</v>
      </c>
      <c r="AR322" s="2" t="s">
        <v>76</v>
      </c>
      <c r="AS322" s="1">
        <v>1975.0</v>
      </c>
      <c r="AT322" s="1">
        <v>1975.0</v>
      </c>
      <c r="AU322" s="1">
        <v>950.0</v>
      </c>
      <c r="AV322" s="1">
        <v>16.0</v>
      </c>
      <c r="AW322" s="1">
        <v>67.0</v>
      </c>
      <c r="AX322" s="1">
        <v>7984.0</v>
      </c>
      <c r="AY322" s="1">
        <v>31.0</v>
      </c>
      <c r="AZ322" s="1" t="s">
        <v>120</v>
      </c>
      <c r="BA322" s="1" t="s">
        <v>121</v>
      </c>
    </row>
    <row r="323">
      <c r="A323" s="1" t="s">
        <v>515</v>
      </c>
      <c r="B323" s="1" t="s">
        <v>53</v>
      </c>
      <c r="C323" s="1">
        <v>2013.0</v>
      </c>
      <c r="D323" s="1" t="s">
        <v>516</v>
      </c>
      <c r="E323" s="1" t="s">
        <v>517</v>
      </c>
      <c r="F323" s="1" t="s">
        <v>488</v>
      </c>
      <c r="G323" s="1" t="s">
        <v>518</v>
      </c>
      <c r="H323" s="1" t="s">
        <v>519</v>
      </c>
      <c r="I323" s="1">
        <v>41.0</v>
      </c>
      <c r="J323" s="1">
        <v>2.0</v>
      </c>
      <c r="K323" s="2" t="s">
        <v>520</v>
      </c>
      <c r="L323" s="2" t="s">
        <v>76</v>
      </c>
      <c r="M323" s="1" t="s">
        <v>515</v>
      </c>
      <c r="N323" s="1" t="s">
        <v>62</v>
      </c>
      <c r="O323" s="1" t="s">
        <v>521</v>
      </c>
      <c r="P323" s="1" t="s">
        <v>522</v>
      </c>
      <c r="Q323" s="1">
        <v>11.906</v>
      </c>
      <c r="R323" s="1">
        <v>-85.918</v>
      </c>
      <c r="S323" s="1" t="s">
        <v>148</v>
      </c>
      <c r="T323" s="2" t="s">
        <v>95</v>
      </c>
      <c r="U323" s="2" t="s">
        <v>96</v>
      </c>
      <c r="V323" s="3" t="s">
        <v>97</v>
      </c>
      <c r="W323" s="2" t="s">
        <v>72</v>
      </c>
      <c r="X323" s="2" t="s">
        <v>99</v>
      </c>
      <c r="Y323" s="6" t="s">
        <v>76</v>
      </c>
      <c r="Z323" s="3" t="s">
        <v>76</v>
      </c>
      <c r="AB323" s="1">
        <v>5.0</v>
      </c>
      <c r="AI323" s="1" t="s">
        <v>523</v>
      </c>
      <c r="AJ323" s="1">
        <v>600.0</v>
      </c>
      <c r="AK323" s="1">
        <v>2004.0</v>
      </c>
      <c r="AL323" s="2" t="s">
        <v>73</v>
      </c>
      <c r="AM323" s="2" t="s">
        <v>60</v>
      </c>
      <c r="AN323" s="2" t="s">
        <v>524</v>
      </c>
      <c r="AO323" s="2" t="s">
        <v>72</v>
      </c>
      <c r="AQ323" s="2" t="s">
        <v>102</v>
      </c>
      <c r="AR323" s="2" t="s">
        <v>76</v>
      </c>
      <c r="AS323" s="1">
        <v>1535.0</v>
      </c>
      <c r="AT323" s="1">
        <v>1535.0</v>
      </c>
      <c r="AU323" s="1">
        <v>863.0</v>
      </c>
      <c r="AV323" s="1">
        <v>2.0</v>
      </c>
      <c r="AW323" s="1">
        <v>16.0</v>
      </c>
      <c r="AX323" s="1">
        <v>9899.0</v>
      </c>
      <c r="AY323" s="1">
        <v>43.0</v>
      </c>
      <c r="AZ323" s="1" t="s">
        <v>525</v>
      </c>
      <c r="BA323" s="1" t="s">
        <v>104</v>
      </c>
    </row>
    <row r="324">
      <c r="A324" s="1" t="s">
        <v>2157</v>
      </c>
      <c r="B324" s="1" t="s">
        <v>268</v>
      </c>
      <c r="C324" s="1">
        <v>2013.0</v>
      </c>
      <c r="D324" s="1" t="s">
        <v>970</v>
      </c>
      <c r="E324" s="1" t="s">
        <v>2158</v>
      </c>
      <c r="H324" s="1" t="s">
        <v>2159</v>
      </c>
      <c r="I324" s="1">
        <v>23.0</v>
      </c>
      <c r="K324" s="2" t="s">
        <v>2160</v>
      </c>
      <c r="L324" s="2" t="s">
        <v>60</v>
      </c>
      <c r="M324" s="1" t="s">
        <v>2161</v>
      </c>
      <c r="N324" s="1" t="s">
        <v>62</v>
      </c>
      <c r="O324" s="1" t="s">
        <v>112</v>
      </c>
      <c r="P324" s="1" t="s">
        <v>597</v>
      </c>
      <c r="Q324" s="1">
        <v>8.813</v>
      </c>
      <c r="R324" s="1">
        <v>-82.963</v>
      </c>
      <c r="S324" s="1" t="s">
        <v>148</v>
      </c>
      <c r="T324" s="2" t="s">
        <v>135</v>
      </c>
      <c r="U324" s="2" t="s">
        <v>540</v>
      </c>
      <c r="V324" s="3" t="s">
        <v>68</v>
      </c>
      <c r="W324" s="1" t="s">
        <v>1718</v>
      </c>
      <c r="X324" s="2" t="s">
        <v>72</v>
      </c>
      <c r="Y324" s="6" t="s">
        <v>76</v>
      </c>
      <c r="Z324" s="3" t="s">
        <v>76</v>
      </c>
      <c r="AA324" s="1">
        <v>1.0</v>
      </c>
      <c r="AJ324" s="1" t="s">
        <v>470</v>
      </c>
      <c r="AK324" s="1" t="s">
        <v>470</v>
      </c>
      <c r="AL324" s="2" t="s">
        <v>72</v>
      </c>
      <c r="AM324" s="2" t="s">
        <v>72</v>
      </c>
      <c r="AN324" s="2" t="s">
        <v>72</v>
      </c>
      <c r="AO324" s="2" t="s">
        <v>72</v>
      </c>
      <c r="AQ324" s="2" t="s">
        <v>75</v>
      </c>
      <c r="AR324" s="2" t="s">
        <v>76</v>
      </c>
      <c r="AS324" s="1">
        <v>2841.0</v>
      </c>
      <c r="AT324" s="1">
        <v>2841.0</v>
      </c>
      <c r="AU324" s="1">
        <v>1165.0</v>
      </c>
      <c r="AV324" s="1">
        <v>40.0</v>
      </c>
      <c r="AW324" s="1">
        <v>166.0</v>
      </c>
      <c r="AX324" s="1">
        <v>6482.0</v>
      </c>
      <c r="AY324" s="1">
        <v>1094.0</v>
      </c>
      <c r="AZ324" s="1" t="s">
        <v>154</v>
      </c>
      <c r="BA324" s="1" t="s">
        <v>121</v>
      </c>
    </row>
    <row r="325">
      <c r="A325" s="1" t="s">
        <v>2157</v>
      </c>
      <c r="B325" s="1" t="s">
        <v>268</v>
      </c>
      <c r="C325" s="1">
        <v>2013.0</v>
      </c>
      <c r="D325" s="1" t="s">
        <v>970</v>
      </c>
      <c r="E325" s="1" t="s">
        <v>2158</v>
      </c>
      <c r="H325" s="1" t="s">
        <v>2159</v>
      </c>
      <c r="I325" s="1">
        <v>23.0</v>
      </c>
      <c r="K325" s="2" t="s">
        <v>2160</v>
      </c>
      <c r="L325" s="2" t="s">
        <v>60</v>
      </c>
      <c r="M325" s="1" t="s">
        <v>2163</v>
      </c>
      <c r="N325" s="1" t="s">
        <v>62</v>
      </c>
      <c r="O325" s="1" t="s">
        <v>112</v>
      </c>
      <c r="P325" s="1" t="s">
        <v>597</v>
      </c>
      <c r="Q325" s="1">
        <v>8.813</v>
      </c>
      <c r="R325" s="1">
        <v>-82.963</v>
      </c>
      <c r="S325" s="1" t="s">
        <v>148</v>
      </c>
      <c r="T325" s="2" t="s">
        <v>135</v>
      </c>
      <c r="U325" s="2" t="s">
        <v>540</v>
      </c>
      <c r="V325" s="3" t="s">
        <v>68</v>
      </c>
      <c r="W325" s="1" t="s">
        <v>1718</v>
      </c>
      <c r="X325" s="2" t="s">
        <v>72</v>
      </c>
      <c r="Y325" s="6" t="s">
        <v>76</v>
      </c>
      <c r="Z325" s="3" t="s">
        <v>76</v>
      </c>
      <c r="AA325" s="1">
        <v>1.0</v>
      </c>
      <c r="AJ325" s="1" t="s">
        <v>470</v>
      </c>
      <c r="AK325" s="1" t="s">
        <v>470</v>
      </c>
      <c r="AL325" s="2" t="s">
        <v>72</v>
      </c>
      <c r="AM325" s="2" t="s">
        <v>72</v>
      </c>
      <c r="AN325" s="2" t="s">
        <v>72</v>
      </c>
      <c r="AO325" s="2" t="s">
        <v>72</v>
      </c>
      <c r="AQ325" s="2" t="s">
        <v>75</v>
      </c>
      <c r="AR325" s="2" t="s">
        <v>76</v>
      </c>
      <c r="AS325" s="1">
        <v>2841.0</v>
      </c>
      <c r="AT325" s="1">
        <v>2841.0</v>
      </c>
      <c r="AU325" s="1">
        <v>1165.0</v>
      </c>
      <c r="AV325" s="1">
        <v>40.0</v>
      </c>
      <c r="AW325" s="1">
        <v>166.0</v>
      </c>
      <c r="AX325" s="1">
        <v>6482.0</v>
      </c>
      <c r="AY325" s="1">
        <v>1094.0</v>
      </c>
      <c r="AZ325" s="1" t="s">
        <v>154</v>
      </c>
      <c r="BA325" s="1" t="s">
        <v>121</v>
      </c>
    </row>
    <row r="326">
      <c r="A326" s="1" t="s">
        <v>2157</v>
      </c>
      <c r="B326" s="1" t="s">
        <v>268</v>
      </c>
      <c r="C326" s="1">
        <v>2013.0</v>
      </c>
      <c r="D326" s="1" t="s">
        <v>970</v>
      </c>
      <c r="E326" s="1" t="s">
        <v>2158</v>
      </c>
      <c r="H326" s="1" t="s">
        <v>2159</v>
      </c>
      <c r="I326" s="1">
        <v>23.0</v>
      </c>
      <c r="K326" s="2" t="s">
        <v>2160</v>
      </c>
      <c r="L326" s="2" t="s">
        <v>60</v>
      </c>
      <c r="M326" s="1" t="s">
        <v>2170</v>
      </c>
      <c r="N326" s="1" t="s">
        <v>62</v>
      </c>
      <c r="O326" s="1" t="s">
        <v>112</v>
      </c>
      <c r="P326" s="1" t="s">
        <v>597</v>
      </c>
      <c r="Q326" s="1">
        <v>8.813</v>
      </c>
      <c r="R326" s="1">
        <v>-82.963</v>
      </c>
      <c r="S326" s="1" t="s">
        <v>148</v>
      </c>
      <c r="T326" s="2" t="s">
        <v>135</v>
      </c>
      <c r="U326" s="2" t="s">
        <v>540</v>
      </c>
      <c r="V326" s="3" t="s">
        <v>68</v>
      </c>
      <c r="W326" s="1" t="s">
        <v>1718</v>
      </c>
      <c r="X326" s="2" t="s">
        <v>72</v>
      </c>
      <c r="Y326" s="6" t="s">
        <v>76</v>
      </c>
      <c r="Z326" s="3" t="s">
        <v>76</v>
      </c>
      <c r="AA326" s="1">
        <v>1.0</v>
      </c>
      <c r="AJ326" s="1" t="s">
        <v>470</v>
      </c>
      <c r="AK326" s="1" t="s">
        <v>470</v>
      </c>
      <c r="AL326" s="2" t="s">
        <v>72</v>
      </c>
      <c r="AM326" s="2" t="s">
        <v>72</v>
      </c>
      <c r="AN326" s="2" t="s">
        <v>72</v>
      </c>
      <c r="AO326" s="2" t="s">
        <v>72</v>
      </c>
      <c r="AQ326" s="2" t="s">
        <v>75</v>
      </c>
      <c r="AR326" s="2" t="s">
        <v>76</v>
      </c>
      <c r="AS326" s="1">
        <v>2841.0</v>
      </c>
      <c r="AT326" s="1">
        <v>2841.0</v>
      </c>
      <c r="AU326" s="1">
        <v>1165.0</v>
      </c>
      <c r="AV326" s="1">
        <v>40.0</v>
      </c>
      <c r="AW326" s="1">
        <v>166.0</v>
      </c>
      <c r="AX326" s="1">
        <v>6482.0</v>
      </c>
      <c r="AY326" s="1">
        <v>1094.0</v>
      </c>
      <c r="AZ326" s="1" t="s">
        <v>154</v>
      </c>
      <c r="BA326" s="1" t="s">
        <v>121</v>
      </c>
    </row>
    <row r="327">
      <c r="A327" s="1" t="s">
        <v>2157</v>
      </c>
      <c r="B327" s="1" t="s">
        <v>268</v>
      </c>
      <c r="C327" s="1">
        <v>2013.0</v>
      </c>
      <c r="D327" s="1" t="s">
        <v>970</v>
      </c>
      <c r="E327" s="1" t="s">
        <v>2158</v>
      </c>
      <c r="H327" s="1" t="s">
        <v>2159</v>
      </c>
      <c r="I327" s="1">
        <v>23.0</v>
      </c>
      <c r="K327" s="2" t="s">
        <v>2160</v>
      </c>
      <c r="L327" s="2" t="s">
        <v>60</v>
      </c>
      <c r="M327" s="1" t="s">
        <v>2171</v>
      </c>
      <c r="N327" s="1" t="s">
        <v>62</v>
      </c>
      <c r="O327" s="1" t="s">
        <v>112</v>
      </c>
      <c r="P327" s="1" t="s">
        <v>597</v>
      </c>
      <c r="Q327" s="1">
        <v>8.813</v>
      </c>
      <c r="R327" s="1">
        <v>-82.963</v>
      </c>
      <c r="S327" s="1" t="s">
        <v>148</v>
      </c>
      <c r="T327" s="2" t="s">
        <v>135</v>
      </c>
      <c r="U327" s="2" t="s">
        <v>540</v>
      </c>
      <c r="V327" s="3" t="s">
        <v>68</v>
      </c>
      <c r="W327" s="1" t="s">
        <v>1718</v>
      </c>
      <c r="X327" s="2" t="s">
        <v>72</v>
      </c>
      <c r="Y327" s="6" t="s">
        <v>76</v>
      </c>
      <c r="Z327" s="3" t="s">
        <v>76</v>
      </c>
      <c r="AA327" s="1">
        <v>1.0</v>
      </c>
      <c r="AJ327" s="1" t="s">
        <v>470</v>
      </c>
      <c r="AK327" s="1" t="s">
        <v>470</v>
      </c>
      <c r="AL327" s="2" t="s">
        <v>72</v>
      </c>
      <c r="AM327" s="2" t="s">
        <v>72</v>
      </c>
      <c r="AN327" s="2" t="s">
        <v>72</v>
      </c>
      <c r="AO327" s="2" t="s">
        <v>72</v>
      </c>
      <c r="AQ327" s="2" t="s">
        <v>75</v>
      </c>
      <c r="AR327" s="2" t="s">
        <v>76</v>
      </c>
      <c r="AS327" s="1">
        <v>2841.0</v>
      </c>
      <c r="AT327" s="1">
        <v>2841.0</v>
      </c>
      <c r="AU327" s="1">
        <v>1165.0</v>
      </c>
      <c r="AV327" s="1">
        <v>40.0</v>
      </c>
      <c r="AW327" s="1">
        <v>166.0</v>
      </c>
      <c r="AX327" s="1">
        <v>6482.0</v>
      </c>
      <c r="AY327" s="1">
        <v>1094.0</v>
      </c>
      <c r="AZ327" s="1" t="s">
        <v>154</v>
      </c>
      <c r="BA327" s="1" t="s">
        <v>121</v>
      </c>
    </row>
    <row r="328">
      <c r="A328" s="1" t="s">
        <v>2157</v>
      </c>
      <c r="B328" s="1" t="s">
        <v>268</v>
      </c>
      <c r="C328" s="1">
        <v>2013.0</v>
      </c>
      <c r="D328" s="1" t="s">
        <v>970</v>
      </c>
      <c r="E328" s="1" t="s">
        <v>2158</v>
      </c>
      <c r="H328" s="1" t="s">
        <v>2159</v>
      </c>
      <c r="I328" s="1">
        <v>23.0</v>
      </c>
      <c r="K328" s="2" t="s">
        <v>2160</v>
      </c>
      <c r="L328" s="2" t="s">
        <v>60</v>
      </c>
      <c r="M328" s="1" t="s">
        <v>2172</v>
      </c>
      <c r="N328" s="1" t="s">
        <v>62</v>
      </c>
      <c r="O328" s="1" t="s">
        <v>112</v>
      </c>
      <c r="P328" s="1" t="s">
        <v>597</v>
      </c>
      <c r="Q328" s="1">
        <v>8.813</v>
      </c>
      <c r="R328" s="1">
        <v>-82.963</v>
      </c>
      <c r="S328" s="1" t="s">
        <v>148</v>
      </c>
      <c r="T328" s="2" t="s">
        <v>135</v>
      </c>
      <c r="U328" s="2" t="s">
        <v>540</v>
      </c>
      <c r="V328" s="3" t="s">
        <v>68</v>
      </c>
      <c r="W328" s="1" t="s">
        <v>1718</v>
      </c>
      <c r="X328" s="2" t="s">
        <v>72</v>
      </c>
      <c r="Y328" s="6" t="s">
        <v>76</v>
      </c>
      <c r="Z328" s="3" t="s">
        <v>76</v>
      </c>
      <c r="AA328" s="1">
        <v>1.0</v>
      </c>
      <c r="AJ328" s="1" t="s">
        <v>470</v>
      </c>
      <c r="AK328" s="1" t="s">
        <v>470</v>
      </c>
      <c r="AL328" s="2" t="s">
        <v>72</v>
      </c>
      <c r="AM328" s="2" t="s">
        <v>72</v>
      </c>
      <c r="AN328" s="2" t="s">
        <v>72</v>
      </c>
      <c r="AO328" s="2" t="s">
        <v>72</v>
      </c>
      <c r="AQ328" s="2" t="s">
        <v>75</v>
      </c>
      <c r="AR328" s="2" t="s">
        <v>76</v>
      </c>
      <c r="AS328" s="1">
        <v>2841.0</v>
      </c>
      <c r="AT328" s="1">
        <v>2841.0</v>
      </c>
      <c r="AU328" s="1">
        <v>1165.0</v>
      </c>
      <c r="AV328" s="1">
        <v>40.0</v>
      </c>
      <c r="AW328" s="1">
        <v>166.0</v>
      </c>
      <c r="AX328" s="1">
        <v>6482.0</v>
      </c>
      <c r="AY328" s="1">
        <v>1094.0</v>
      </c>
      <c r="AZ328" s="1" t="s">
        <v>154</v>
      </c>
      <c r="BA328" s="1" t="s">
        <v>121</v>
      </c>
    </row>
    <row r="329">
      <c r="A329" s="1" t="s">
        <v>2157</v>
      </c>
      <c r="B329" s="1" t="s">
        <v>268</v>
      </c>
      <c r="C329" s="1">
        <v>2013.0</v>
      </c>
      <c r="D329" s="1" t="s">
        <v>970</v>
      </c>
      <c r="E329" s="1" t="s">
        <v>2158</v>
      </c>
      <c r="H329" s="1" t="s">
        <v>2159</v>
      </c>
      <c r="I329" s="1">
        <v>23.0</v>
      </c>
      <c r="K329" s="2" t="s">
        <v>2160</v>
      </c>
      <c r="L329" s="2" t="s">
        <v>60</v>
      </c>
      <c r="M329" s="1" t="s">
        <v>2173</v>
      </c>
      <c r="N329" s="1" t="s">
        <v>62</v>
      </c>
      <c r="O329" s="1" t="s">
        <v>112</v>
      </c>
      <c r="P329" s="1" t="s">
        <v>597</v>
      </c>
      <c r="Q329" s="1">
        <v>8.813</v>
      </c>
      <c r="R329" s="1">
        <v>-82.963</v>
      </c>
      <c r="S329" s="1" t="s">
        <v>148</v>
      </c>
      <c r="T329" s="2" t="s">
        <v>66</v>
      </c>
      <c r="U329" s="10" t="s">
        <v>1059</v>
      </c>
      <c r="V329" s="3" t="s">
        <v>116</v>
      </c>
      <c r="W329" s="1" t="s">
        <v>2174</v>
      </c>
      <c r="X329" s="2" t="s">
        <v>83</v>
      </c>
      <c r="Y329" s="5" t="s">
        <v>60</v>
      </c>
      <c r="Z329" s="3" t="s">
        <v>118</v>
      </c>
      <c r="AA329" s="1">
        <v>1.0</v>
      </c>
      <c r="AJ329" s="1" t="s">
        <v>470</v>
      </c>
      <c r="AK329" s="1" t="s">
        <v>470</v>
      </c>
      <c r="AL329" s="2" t="s">
        <v>72</v>
      </c>
      <c r="AM329" s="2" t="s">
        <v>72</v>
      </c>
      <c r="AN329" s="2" t="s">
        <v>72</v>
      </c>
      <c r="AO329" s="2" t="s">
        <v>72</v>
      </c>
      <c r="AQ329" s="2" t="s">
        <v>75</v>
      </c>
      <c r="AR329" s="2" t="s">
        <v>76</v>
      </c>
      <c r="AS329" s="1">
        <v>2841.0</v>
      </c>
      <c r="AT329" s="1">
        <v>2841.0</v>
      </c>
      <c r="AU329" s="1">
        <v>1165.0</v>
      </c>
      <c r="AV329" s="1">
        <v>40.0</v>
      </c>
      <c r="AW329" s="1">
        <v>166.0</v>
      </c>
      <c r="AX329" s="1">
        <v>6482.0</v>
      </c>
      <c r="AY329" s="1">
        <v>1094.0</v>
      </c>
      <c r="AZ329" s="1" t="s">
        <v>154</v>
      </c>
      <c r="BA329" s="1" t="s">
        <v>121</v>
      </c>
    </row>
    <row r="330">
      <c r="A330" s="1" t="s">
        <v>2157</v>
      </c>
      <c r="B330" s="1" t="s">
        <v>268</v>
      </c>
      <c r="C330" s="1">
        <v>2013.0</v>
      </c>
      <c r="D330" s="1" t="s">
        <v>970</v>
      </c>
      <c r="E330" s="1" t="s">
        <v>2158</v>
      </c>
      <c r="H330" s="1" t="s">
        <v>2159</v>
      </c>
      <c r="I330" s="1">
        <v>23.0</v>
      </c>
      <c r="K330" s="2" t="s">
        <v>2160</v>
      </c>
      <c r="L330" s="2" t="s">
        <v>60</v>
      </c>
      <c r="M330" s="1" t="s">
        <v>2175</v>
      </c>
      <c r="N330" s="1" t="s">
        <v>62</v>
      </c>
      <c r="O330" s="1" t="s">
        <v>112</v>
      </c>
      <c r="P330" s="1" t="s">
        <v>597</v>
      </c>
      <c r="Q330" s="1">
        <v>8.813</v>
      </c>
      <c r="R330" s="1">
        <v>-82.963</v>
      </c>
      <c r="S330" s="1" t="s">
        <v>148</v>
      </c>
      <c r="T330" s="2" t="s">
        <v>66</v>
      </c>
      <c r="U330" s="9" t="s">
        <v>1909</v>
      </c>
      <c r="V330" s="3" t="s">
        <v>116</v>
      </c>
      <c r="W330" s="1" t="s">
        <v>2174</v>
      </c>
      <c r="X330" s="2" t="s">
        <v>83</v>
      </c>
      <c r="Y330" s="5" t="s">
        <v>60</v>
      </c>
      <c r="Z330" s="3" t="s">
        <v>118</v>
      </c>
      <c r="AA330" s="1">
        <v>1.0</v>
      </c>
      <c r="AJ330" s="1" t="s">
        <v>470</v>
      </c>
      <c r="AK330" s="1" t="s">
        <v>470</v>
      </c>
      <c r="AL330" s="2" t="s">
        <v>72</v>
      </c>
      <c r="AM330" s="2" t="s">
        <v>72</v>
      </c>
      <c r="AN330" s="2" t="s">
        <v>72</v>
      </c>
      <c r="AO330" s="2" t="s">
        <v>72</v>
      </c>
      <c r="AQ330" s="2" t="s">
        <v>75</v>
      </c>
      <c r="AR330" s="2" t="s">
        <v>76</v>
      </c>
      <c r="AS330" s="1">
        <v>2841.0</v>
      </c>
      <c r="AT330" s="1">
        <v>2841.0</v>
      </c>
      <c r="AU330" s="1">
        <v>1165.0</v>
      </c>
      <c r="AV330" s="1">
        <v>40.0</v>
      </c>
      <c r="AW330" s="1">
        <v>166.0</v>
      </c>
      <c r="AX330" s="1">
        <v>6482.0</v>
      </c>
      <c r="AY330" s="1">
        <v>1094.0</v>
      </c>
      <c r="AZ330" s="1" t="s">
        <v>154</v>
      </c>
      <c r="BA330" s="1" t="s">
        <v>121</v>
      </c>
    </row>
    <row r="331">
      <c r="A331" s="1" t="s">
        <v>2157</v>
      </c>
      <c r="B331" s="1" t="s">
        <v>268</v>
      </c>
      <c r="C331" s="1">
        <v>2013.0</v>
      </c>
      <c r="D331" s="1" t="s">
        <v>970</v>
      </c>
      <c r="E331" s="1" t="s">
        <v>2158</v>
      </c>
      <c r="H331" s="1" t="s">
        <v>2159</v>
      </c>
      <c r="I331" s="1">
        <v>23.0</v>
      </c>
      <c r="K331" s="2" t="s">
        <v>2160</v>
      </c>
      <c r="L331" s="2" t="s">
        <v>60</v>
      </c>
      <c r="M331" s="1" t="s">
        <v>2176</v>
      </c>
      <c r="N331" s="1" t="s">
        <v>62</v>
      </c>
      <c r="O331" s="1" t="s">
        <v>112</v>
      </c>
      <c r="P331" s="1" t="s">
        <v>597</v>
      </c>
      <c r="Q331" s="1">
        <v>8.813</v>
      </c>
      <c r="R331" s="1">
        <v>-82.963</v>
      </c>
      <c r="S331" s="1" t="s">
        <v>148</v>
      </c>
      <c r="T331" s="2" t="s">
        <v>66</v>
      </c>
      <c r="U331" s="9" t="s">
        <v>1909</v>
      </c>
      <c r="V331" s="3" t="s">
        <v>116</v>
      </c>
      <c r="W331" s="1" t="s">
        <v>2174</v>
      </c>
      <c r="X331" s="2" t="s">
        <v>83</v>
      </c>
      <c r="Y331" s="5" t="s">
        <v>60</v>
      </c>
      <c r="Z331" s="3" t="s">
        <v>118</v>
      </c>
      <c r="AA331" s="1">
        <v>1.0</v>
      </c>
      <c r="AJ331" s="1" t="s">
        <v>470</v>
      </c>
      <c r="AK331" s="1" t="s">
        <v>470</v>
      </c>
      <c r="AL331" s="2" t="s">
        <v>72</v>
      </c>
      <c r="AM331" s="2" t="s">
        <v>72</v>
      </c>
      <c r="AN331" s="2" t="s">
        <v>72</v>
      </c>
      <c r="AO331" s="2" t="s">
        <v>72</v>
      </c>
      <c r="AQ331" s="2" t="s">
        <v>75</v>
      </c>
      <c r="AR331" s="2" t="s">
        <v>76</v>
      </c>
      <c r="AS331" s="1">
        <v>2841.0</v>
      </c>
      <c r="AT331" s="1">
        <v>2841.0</v>
      </c>
      <c r="AU331" s="1">
        <v>1165.0</v>
      </c>
      <c r="AV331" s="1">
        <v>40.0</v>
      </c>
      <c r="AW331" s="1">
        <v>166.0</v>
      </c>
      <c r="AX331" s="1">
        <v>6482.0</v>
      </c>
      <c r="AY331" s="1">
        <v>1094.0</v>
      </c>
      <c r="AZ331" s="1" t="s">
        <v>154</v>
      </c>
      <c r="BA331" s="1" t="s">
        <v>121</v>
      </c>
    </row>
    <row r="332">
      <c r="A332" s="1" t="s">
        <v>2157</v>
      </c>
      <c r="B332" s="1" t="s">
        <v>268</v>
      </c>
      <c r="C332" s="1">
        <v>2013.0</v>
      </c>
      <c r="D332" s="1" t="s">
        <v>970</v>
      </c>
      <c r="E332" s="1" t="s">
        <v>2158</v>
      </c>
      <c r="H332" s="1" t="s">
        <v>2159</v>
      </c>
      <c r="I332" s="1">
        <v>23.0</v>
      </c>
      <c r="K332" s="2" t="s">
        <v>2160</v>
      </c>
      <c r="L332" s="2" t="s">
        <v>60</v>
      </c>
      <c r="M332" s="1" t="s">
        <v>2177</v>
      </c>
      <c r="N332" s="1" t="s">
        <v>62</v>
      </c>
      <c r="O332" s="1" t="s">
        <v>112</v>
      </c>
      <c r="P332" s="1" t="s">
        <v>597</v>
      </c>
      <c r="Q332" s="1">
        <v>8.813</v>
      </c>
      <c r="R332" s="1">
        <v>-82.963</v>
      </c>
      <c r="S332" s="1" t="s">
        <v>148</v>
      </c>
      <c r="T332" s="2" t="s">
        <v>66</v>
      </c>
      <c r="U332" s="9" t="s">
        <v>1909</v>
      </c>
      <c r="V332" s="3" t="s">
        <v>116</v>
      </c>
      <c r="W332" s="1" t="s">
        <v>2174</v>
      </c>
      <c r="X332" s="2" t="s">
        <v>83</v>
      </c>
      <c r="Y332" s="5" t="s">
        <v>60</v>
      </c>
      <c r="Z332" s="3" t="s">
        <v>118</v>
      </c>
      <c r="AA332" s="1">
        <v>1.0</v>
      </c>
      <c r="AJ332" s="1" t="s">
        <v>470</v>
      </c>
      <c r="AK332" s="1" t="s">
        <v>470</v>
      </c>
      <c r="AL332" s="2" t="s">
        <v>72</v>
      </c>
      <c r="AM332" s="2" t="s">
        <v>72</v>
      </c>
      <c r="AN332" s="2" t="s">
        <v>72</v>
      </c>
      <c r="AO332" s="2" t="s">
        <v>72</v>
      </c>
      <c r="AQ332" s="2" t="s">
        <v>75</v>
      </c>
      <c r="AR332" s="2" t="s">
        <v>76</v>
      </c>
      <c r="AS332" s="1">
        <v>2841.0</v>
      </c>
      <c r="AT332" s="1">
        <v>2841.0</v>
      </c>
      <c r="AU332" s="1">
        <v>1165.0</v>
      </c>
      <c r="AV332" s="1">
        <v>40.0</v>
      </c>
      <c r="AW332" s="1">
        <v>166.0</v>
      </c>
      <c r="AX332" s="1">
        <v>6482.0</v>
      </c>
      <c r="AY332" s="1">
        <v>1094.0</v>
      </c>
      <c r="AZ332" s="1" t="s">
        <v>154</v>
      </c>
      <c r="BA332" s="1" t="s">
        <v>121</v>
      </c>
    </row>
    <row r="333">
      <c r="A333" s="1" t="s">
        <v>2157</v>
      </c>
      <c r="B333" s="1" t="s">
        <v>268</v>
      </c>
      <c r="C333" s="1">
        <v>2013.0</v>
      </c>
      <c r="D333" s="1" t="s">
        <v>970</v>
      </c>
      <c r="E333" s="1" t="s">
        <v>2158</v>
      </c>
      <c r="H333" s="1" t="s">
        <v>2159</v>
      </c>
      <c r="I333" s="1">
        <v>23.0</v>
      </c>
      <c r="K333" s="2" t="s">
        <v>2160</v>
      </c>
      <c r="L333" s="2" t="s">
        <v>60</v>
      </c>
      <c r="M333" s="1" t="s">
        <v>2178</v>
      </c>
      <c r="N333" s="1" t="s">
        <v>62</v>
      </c>
      <c r="O333" s="1" t="s">
        <v>112</v>
      </c>
      <c r="P333" s="1" t="s">
        <v>597</v>
      </c>
      <c r="Q333" s="1">
        <v>8.813</v>
      </c>
      <c r="R333" s="1">
        <v>-82.963</v>
      </c>
      <c r="S333" s="1" t="s">
        <v>148</v>
      </c>
      <c r="T333" s="2" t="s">
        <v>66</v>
      </c>
      <c r="U333" s="9" t="s">
        <v>1909</v>
      </c>
      <c r="V333" s="3" t="s">
        <v>116</v>
      </c>
      <c r="W333" s="1" t="s">
        <v>2174</v>
      </c>
      <c r="X333" s="2" t="s">
        <v>83</v>
      </c>
      <c r="Y333" s="5" t="s">
        <v>60</v>
      </c>
      <c r="Z333" s="3" t="s">
        <v>118</v>
      </c>
      <c r="AA333" s="1">
        <v>1.0</v>
      </c>
      <c r="AJ333" s="1" t="s">
        <v>470</v>
      </c>
      <c r="AK333" s="1" t="s">
        <v>470</v>
      </c>
      <c r="AL333" s="2" t="s">
        <v>72</v>
      </c>
      <c r="AM333" s="2" t="s">
        <v>72</v>
      </c>
      <c r="AN333" s="2" t="s">
        <v>72</v>
      </c>
      <c r="AO333" s="2" t="s">
        <v>72</v>
      </c>
      <c r="AQ333" s="2" t="s">
        <v>75</v>
      </c>
      <c r="AR333" s="2" t="s">
        <v>76</v>
      </c>
      <c r="AS333" s="1">
        <v>2841.0</v>
      </c>
      <c r="AT333" s="1">
        <v>2841.0</v>
      </c>
      <c r="AU333" s="1">
        <v>1165.0</v>
      </c>
      <c r="AV333" s="1">
        <v>40.0</v>
      </c>
      <c r="AW333" s="1">
        <v>166.0</v>
      </c>
      <c r="AX333" s="1">
        <v>6482.0</v>
      </c>
      <c r="AY333" s="1">
        <v>1094.0</v>
      </c>
      <c r="AZ333" s="1" t="s">
        <v>154</v>
      </c>
      <c r="BA333" s="1" t="s">
        <v>121</v>
      </c>
    </row>
    <row r="334">
      <c r="A334" s="1" t="s">
        <v>1713</v>
      </c>
      <c r="B334" s="1" t="s">
        <v>53</v>
      </c>
      <c r="C334" s="1">
        <v>2013.0</v>
      </c>
      <c r="D334" s="1" t="s">
        <v>970</v>
      </c>
      <c r="E334" s="1" t="s">
        <v>1714</v>
      </c>
      <c r="F334" s="1" t="s">
        <v>1386</v>
      </c>
      <c r="G334" s="1" t="s">
        <v>1715</v>
      </c>
      <c r="H334" s="1" t="s">
        <v>1716</v>
      </c>
      <c r="I334" s="1">
        <v>73.0</v>
      </c>
      <c r="K334" s="2" t="s">
        <v>1717</v>
      </c>
      <c r="L334" s="2" t="s">
        <v>76</v>
      </c>
      <c r="M334" s="1" t="s">
        <v>1713</v>
      </c>
      <c r="N334" s="1" t="s">
        <v>62</v>
      </c>
      <c r="O334" s="1" t="s">
        <v>112</v>
      </c>
      <c r="P334" s="1" t="s">
        <v>597</v>
      </c>
      <c r="Q334" s="1">
        <v>8.813</v>
      </c>
      <c r="R334" s="1">
        <v>-82.963</v>
      </c>
      <c r="S334" s="1" t="s">
        <v>148</v>
      </c>
      <c r="T334" s="2" t="s">
        <v>135</v>
      </c>
      <c r="U334" s="2" t="s">
        <v>540</v>
      </c>
      <c r="V334" s="3" t="s">
        <v>68</v>
      </c>
      <c r="W334" s="1" t="s">
        <v>1718</v>
      </c>
      <c r="X334" s="2" t="s">
        <v>99</v>
      </c>
      <c r="Y334" s="6" t="s">
        <v>76</v>
      </c>
      <c r="Z334" s="3" t="s">
        <v>76</v>
      </c>
      <c r="AB334" s="1">
        <v>13.0</v>
      </c>
      <c r="AH334" s="1">
        <v>1.0</v>
      </c>
      <c r="AI334" s="2" t="s">
        <v>72</v>
      </c>
      <c r="AJ334" s="1">
        <v>800.0</v>
      </c>
      <c r="AK334" s="1">
        <v>1600.0</v>
      </c>
      <c r="AL334" s="2" t="s">
        <v>72</v>
      </c>
      <c r="AM334" s="2" t="s">
        <v>72</v>
      </c>
      <c r="AN334" s="1" t="s">
        <v>238</v>
      </c>
      <c r="AO334" s="2" t="s">
        <v>72</v>
      </c>
      <c r="AQ334" s="2" t="s">
        <v>102</v>
      </c>
      <c r="AR334" s="2" t="s">
        <v>76</v>
      </c>
      <c r="AS334" s="1">
        <v>2841.0</v>
      </c>
      <c r="AT334" s="1">
        <v>2841.0</v>
      </c>
      <c r="AU334" s="1">
        <v>1165.0</v>
      </c>
      <c r="AV334" s="1">
        <v>40.0</v>
      </c>
      <c r="AW334" s="1">
        <v>166.0</v>
      </c>
      <c r="AX334" s="1">
        <v>6482.0</v>
      </c>
      <c r="AY334" s="1">
        <v>1094.0</v>
      </c>
      <c r="AZ334" s="1" t="s">
        <v>154</v>
      </c>
      <c r="BA334" s="1" t="s">
        <v>121</v>
      </c>
    </row>
    <row r="335">
      <c r="A335" s="1" t="s">
        <v>1253</v>
      </c>
      <c r="B335" s="1" t="s">
        <v>53</v>
      </c>
      <c r="C335" s="1">
        <v>2013.0</v>
      </c>
      <c r="D335" s="1" t="s">
        <v>1254</v>
      </c>
      <c r="E335" s="1" t="s">
        <v>1255</v>
      </c>
      <c r="F335" s="1" t="s">
        <v>1256</v>
      </c>
      <c r="G335" s="1" t="s">
        <v>1257</v>
      </c>
      <c r="H335" s="1" t="s">
        <v>1258</v>
      </c>
      <c r="I335" s="1">
        <v>379.0</v>
      </c>
      <c r="K335" s="2" t="s">
        <v>1259</v>
      </c>
      <c r="L335" s="2" t="s">
        <v>60</v>
      </c>
      <c r="M335" s="1" t="s">
        <v>1260</v>
      </c>
      <c r="N335" s="1" t="s">
        <v>62</v>
      </c>
      <c r="O335" s="1" t="s">
        <v>167</v>
      </c>
      <c r="P335" s="1" t="s">
        <v>1261</v>
      </c>
      <c r="Q335" s="1">
        <v>17.309722</v>
      </c>
      <c r="R335" s="1">
        <v>-89.174722</v>
      </c>
      <c r="S335" s="1" t="s">
        <v>148</v>
      </c>
      <c r="T335" s="2" t="s">
        <v>66</v>
      </c>
      <c r="U335" s="3" t="s">
        <v>1262</v>
      </c>
      <c r="V335" s="3" t="s">
        <v>68</v>
      </c>
      <c r="W335" s="1" t="s">
        <v>589</v>
      </c>
      <c r="X335" s="1" t="s">
        <v>70</v>
      </c>
      <c r="Y335" s="5" t="s">
        <v>60</v>
      </c>
      <c r="Z335" s="3" t="s">
        <v>345</v>
      </c>
      <c r="AB335" s="1">
        <v>10.0</v>
      </c>
      <c r="AI335" s="2" t="s">
        <v>72</v>
      </c>
      <c r="AJ335" s="1">
        <v>-1400.0</v>
      </c>
      <c r="AK335" s="1">
        <v>1950.0</v>
      </c>
      <c r="AL335" s="3" t="s">
        <v>153</v>
      </c>
      <c r="AM335" s="2" t="s">
        <v>72</v>
      </c>
      <c r="AN335" s="2" t="s">
        <v>524</v>
      </c>
      <c r="AO335" s="2" t="s">
        <v>76</v>
      </c>
      <c r="AQ335" s="2" t="s">
        <v>102</v>
      </c>
      <c r="AR335" s="2" t="s">
        <v>76</v>
      </c>
      <c r="AS335" s="1">
        <v>1603.0</v>
      </c>
      <c r="AT335" s="1">
        <v>1603.0</v>
      </c>
      <c r="AU335" s="1">
        <v>622.0</v>
      </c>
      <c r="AV335" s="1">
        <v>39.0</v>
      </c>
      <c r="AW335" s="1">
        <v>134.0</v>
      </c>
      <c r="AX335" s="1">
        <v>5295.0</v>
      </c>
      <c r="AY335" s="1">
        <v>114.0</v>
      </c>
      <c r="AZ335" s="1" t="s">
        <v>133</v>
      </c>
      <c r="BA335" s="1" t="s">
        <v>121</v>
      </c>
    </row>
    <row r="336">
      <c r="A336" s="1" t="s">
        <v>1253</v>
      </c>
      <c r="B336" s="1" t="s">
        <v>53</v>
      </c>
      <c r="C336" s="1">
        <v>2013.0</v>
      </c>
      <c r="D336" s="1" t="s">
        <v>1254</v>
      </c>
      <c r="E336" s="1" t="s">
        <v>1255</v>
      </c>
      <c r="F336" s="1" t="s">
        <v>1256</v>
      </c>
      <c r="G336" s="1" t="s">
        <v>1257</v>
      </c>
      <c r="H336" s="1" t="s">
        <v>1258</v>
      </c>
      <c r="I336" s="1">
        <v>379.0</v>
      </c>
      <c r="K336" s="2" t="s">
        <v>1259</v>
      </c>
      <c r="L336" s="2" t="s">
        <v>60</v>
      </c>
      <c r="M336" s="1" t="s">
        <v>1263</v>
      </c>
      <c r="N336" s="1" t="s">
        <v>62</v>
      </c>
      <c r="O336" s="1" t="s">
        <v>167</v>
      </c>
      <c r="P336" s="1" t="s">
        <v>1261</v>
      </c>
      <c r="Q336" s="1">
        <v>17.309722</v>
      </c>
      <c r="R336" s="1">
        <v>-89.174722</v>
      </c>
      <c r="S336" s="1" t="s">
        <v>148</v>
      </c>
      <c r="T336" s="3" t="s">
        <v>1150</v>
      </c>
      <c r="U336" s="3" t="s">
        <v>81</v>
      </c>
      <c r="V336" s="3" t="s">
        <v>68</v>
      </c>
      <c r="W336" s="1" t="s">
        <v>1264</v>
      </c>
      <c r="X336" s="2" t="s">
        <v>355</v>
      </c>
      <c r="Y336" s="6" t="s">
        <v>76</v>
      </c>
      <c r="Z336" s="3" t="s">
        <v>84</v>
      </c>
      <c r="AB336" s="1">
        <v>10.0</v>
      </c>
      <c r="AI336" s="2" t="s">
        <v>72</v>
      </c>
      <c r="AJ336" s="1">
        <v>-1400.0</v>
      </c>
      <c r="AK336" s="1">
        <v>1950.0</v>
      </c>
      <c r="AL336" s="3" t="s">
        <v>153</v>
      </c>
      <c r="AM336" s="2" t="s">
        <v>72</v>
      </c>
      <c r="AN336" s="2" t="s">
        <v>524</v>
      </c>
      <c r="AO336" s="2" t="s">
        <v>76</v>
      </c>
      <c r="AQ336" s="2" t="s">
        <v>576</v>
      </c>
      <c r="AR336" s="2" t="s">
        <v>76</v>
      </c>
      <c r="AS336" s="1">
        <v>1603.0</v>
      </c>
      <c r="AT336" s="1">
        <v>1603.0</v>
      </c>
      <c r="AU336" s="1">
        <v>622.0</v>
      </c>
      <c r="AV336" s="1">
        <v>39.0</v>
      </c>
      <c r="AW336" s="1">
        <v>134.0</v>
      </c>
      <c r="AX336" s="1">
        <v>5295.0</v>
      </c>
      <c r="AY336" s="1">
        <v>114.0</v>
      </c>
      <c r="AZ336" s="1" t="s">
        <v>133</v>
      </c>
      <c r="BA336" s="1" t="s">
        <v>121</v>
      </c>
    </row>
    <row r="337">
      <c r="A337" s="1" t="s">
        <v>1253</v>
      </c>
      <c r="B337" s="1" t="s">
        <v>53</v>
      </c>
      <c r="C337" s="1">
        <v>2013.0</v>
      </c>
      <c r="D337" s="1" t="s">
        <v>1254</v>
      </c>
      <c r="E337" s="1" t="s">
        <v>1255</v>
      </c>
      <c r="F337" s="1" t="s">
        <v>1256</v>
      </c>
      <c r="G337" s="1" t="s">
        <v>1257</v>
      </c>
      <c r="H337" s="1" t="s">
        <v>1258</v>
      </c>
      <c r="I337" s="1">
        <v>379.0</v>
      </c>
      <c r="K337" s="2" t="s">
        <v>1259</v>
      </c>
      <c r="L337" s="2" t="s">
        <v>60</v>
      </c>
      <c r="M337" s="1" t="s">
        <v>1265</v>
      </c>
      <c r="N337" s="1" t="s">
        <v>62</v>
      </c>
      <c r="O337" s="1" t="s">
        <v>167</v>
      </c>
      <c r="P337" s="1" t="s">
        <v>1261</v>
      </c>
      <c r="Q337" s="1">
        <v>17.309722</v>
      </c>
      <c r="R337" s="1">
        <v>-89.174722</v>
      </c>
      <c r="S337" s="1" t="s">
        <v>148</v>
      </c>
      <c r="T337" s="2" t="s">
        <v>189</v>
      </c>
      <c r="U337" s="9" t="s">
        <v>1266</v>
      </c>
      <c r="V337" s="3" t="s">
        <v>116</v>
      </c>
      <c r="W337" s="1" t="s">
        <v>284</v>
      </c>
      <c r="X337" s="1" t="s">
        <v>70</v>
      </c>
      <c r="Y337" s="6" t="s">
        <v>76</v>
      </c>
      <c r="Z337" s="3" t="s">
        <v>76</v>
      </c>
      <c r="AB337" s="1">
        <v>10.0</v>
      </c>
      <c r="AI337" s="2" t="s">
        <v>72</v>
      </c>
      <c r="AJ337" s="1">
        <v>-1400.0</v>
      </c>
      <c r="AK337" s="1">
        <v>1950.0</v>
      </c>
      <c r="AL337" s="3" t="s">
        <v>153</v>
      </c>
      <c r="AM337" s="2" t="s">
        <v>72</v>
      </c>
      <c r="AN337" s="2" t="s">
        <v>524</v>
      </c>
      <c r="AO337" s="2" t="s">
        <v>76</v>
      </c>
      <c r="AQ337" s="2" t="s">
        <v>576</v>
      </c>
      <c r="AR337" s="2" t="s">
        <v>76</v>
      </c>
      <c r="AS337" s="1">
        <v>1603.0</v>
      </c>
      <c r="AT337" s="1">
        <v>1603.0</v>
      </c>
      <c r="AU337" s="1">
        <v>622.0</v>
      </c>
      <c r="AV337" s="1">
        <v>39.0</v>
      </c>
      <c r="AW337" s="1">
        <v>134.0</v>
      </c>
      <c r="AX337" s="1">
        <v>5295.0</v>
      </c>
      <c r="AY337" s="1">
        <v>114.0</v>
      </c>
      <c r="AZ337" s="1" t="s">
        <v>133</v>
      </c>
      <c r="BA337" s="1" t="s">
        <v>121</v>
      </c>
    </row>
    <row r="338">
      <c r="A338" s="1" t="s">
        <v>1253</v>
      </c>
      <c r="B338" s="1" t="s">
        <v>53</v>
      </c>
      <c r="C338" s="1">
        <v>2013.0</v>
      </c>
      <c r="D338" s="1" t="s">
        <v>1254</v>
      </c>
      <c r="E338" s="1" t="s">
        <v>1255</v>
      </c>
      <c r="F338" s="1" t="s">
        <v>1256</v>
      </c>
      <c r="G338" s="1" t="s">
        <v>1257</v>
      </c>
      <c r="H338" s="1" t="s">
        <v>1258</v>
      </c>
      <c r="I338" s="1">
        <v>379.0</v>
      </c>
      <c r="K338" s="2" t="s">
        <v>1259</v>
      </c>
      <c r="L338" s="2" t="s">
        <v>60</v>
      </c>
      <c r="M338" s="1" t="s">
        <v>1267</v>
      </c>
      <c r="N338" s="1" t="s">
        <v>62</v>
      </c>
      <c r="O338" s="1" t="s">
        <v>167</v>
      </c>
      <c r="P338" s="1" t="s">
        <v>1261</v>
      </c>
      <c r="Q338" s="1">
        <v>17.309722</v>
      </c>
      <c r="R338" s="1">
        <v>-89.174722</v>
      </c>
      <c r="S338" s="1" t="s">
        <v>148</v>
      </c>
      <c r="T338" s="2" t="s">
        <v>382</v>
      </c>
      <c r="U338" s="7" t="s">
        <v>173</v>
      </c>
      <c r="V338" s="3" t="s">
        <v>116</v>
      </c>
      <c r="W338" s="1" t="s">
        <v>1268</v>
      </c>
      <c r="X338" s="1" t="s">
        <v>544</v>
      </c>
      <c r="Y338" s="6" t="s">
        <v>76</v>
      </c>
      <c r="Z338" s="3" t="s">
        <v>76</v>
      </c>
      <c r="AB338" s="1">
        <v>10.0</v>
      </c>
      <c r="AI338" s="2" t="s">
        <v>72</v>
      </c>
      <c r="AJ338" s="1">
        <v>-1400.0</v>
      </c>
      <c r="AK338" s="1">
        <v>1950.0</v>
      </c>
      <c r="AL338" s="3" t="s">
        <v>153</v>
      </c>
      <c r="AM338" s="2" t="s">
        <v>72</v>
      </c>
      <c r="AN338" s="2" t="s">
        <v>524</v>
      </c>
      <c r="AO338" s="2" t="s">
        <v>76</v>
      </c>
      <c r="AQ338" s="2" t="s">
        <v>576</v>
      </c>
      <c r="AR338" s="2" t="s">
        <v>76</v>
      </c>
      <c r="AS338" s="1">
        <v>1603.0</v>
      </c>
      <c r="AT338" s="1">
        <v>1603.0</v>
      </c>
      <c r="AU338" s="1">
        <v>622.0</v>
      </c>
      <c r="AV338" s="1">
        <v>39.0</v>
      </c>
      <c r="AW338" s="1">
        <v>134.0</v>
      </c>
      <c r="AX338" s="1">
        <v>5295.0</v>
      </c>
      <c r="AY338" s="1">
        <v>114.0</v>
      </c>
      <c r="AZ338" s="1" t="s">
        <v>133</v>
      </c>
      <c r="BA338" s="1" t="s">
        <v>121</v>
      </c>
    </row>
    <row r="339">
      <c r="A339" s="1" t="s">
        <v>1253</v>
      </c>
      <c r="B339" s="1" t="s">
        <v>53</v>
      </c>
      <c r="C339" s="1">
        <v>2013.0</v>
      </c>
      <c r="D339" s="1" t="s">
        <v>1254</v>
      </c>
      <c r="E339" s="1" t="s">
        <v>1255</v>
      </c>
      <c r="F339" s="1" t="s">
        <v>1256</v>
      </c>
      <c r="G339" s="1" t="s">
        <v>1257</v>
      </c>
      <c r="H339" s="1" t="s">
        <v>1258</v>
      </c>
      <c r="I339" s="1">
        <v>379.0</v>
      </c>
      <c r="K339" s="2" t="s">
        <v>1259</v>
      </c>
      <c r="L339" s="2" t="s">
        <v>60</v>
      </c>
      <c r="M339" s="1" t="s">
        <v>1269</v>
      </c>
      <c r="N339" s="1" t="s">
        <v>62</v>
      </c>
      <c r="O339" s="1" t="s">
        <v>167</v>
      </c>
      <c r="P339" s="1" t="s">
        <v>1261</v>
      </c>
      <c r="Q339" s="1">
        <v>17.309722</v>
      </c>
      <c r="R339" s="1">
        <v>-89.174722</v>
      </c>
      <c r="S339" s="1" t="s">
        <v>148</v>
      </c>
      <c r="T339" s="2" t="s">
        <v>135</v>
      </c>
      <c r="U339" s="2" t="s">
        <v>1266</v>
      </c>
      <c r="V339" s="3" t="s">
        <v>68</v>
      </c>
      <c r="W339" s="1" t="s">
        <v>1270</v>
      </c>
      <c r="X339" s="2" t="s">
        <v>99</v>
      </c>
      <c r="Y339" s="6" t="s">
        <v>76</v>
      </c>
      <c r="Z339" s="3" t="s">
        <v>411</v>
      </c>
      <c r="AB339" s="1">
        <v>10.0</v>
      </c>
      <c r="AI339" s="2" t="s">
        <v>72</v>
      </c>
      <c r="AJ339" s="1">
        <v>-1400.0</v>
      </c>
      <c r="AK339" s="1">
        <v>1950.0</v>
      </c>
      <c r="AL339" s="3" t="s">
        <v>153</v>
      </c>
      <c r="AM339" s="2" t="s">
        <v>72</v>
      </c>
      <c r="AN339" s="2" t="s">
        <v>524</v>
      </c>
      <c r="AO339" s="2" t="s">
        <v>76</v>
      </c>
      <c r="AQ339" s="2" t="s">
        <v>576</v>
      </c>
      <c r="AR339" s="2" t="s">
        <v>76</v>
      </c>
      <c r="AS339" s="1">
        <v>1603.0</v>
      </c>
      <c r="AT339" s="1">
        <v>1603.0</v>
      </c>
      <c r="AU339" s="1">
        <v>622.0</v>
      </c>
      <c r="AV339" s="1">
        <v>39.0</v>
      </c>
      <c r="AW339" s="1">
        <v>134.0</v>
      </c>
      <c r="AX339" s="1">
        <v>5295.0</v>
      </c>
      <c r="AY339" s="1">
        <v>114.0</v>
      </c>
      <c r="AZ339" s="1" t="s">
        <v>133</v>
      </c>
      <c r="BA339" s="1" t="s">
        <v>121</v>
      </c>
    </row>
    <row r="340">
      <c r="A340" s="1" t="s">
        <v>1253</v>
      </c>
      <c r="B340" s="1" t="s">
        <v>53</v>
      </c>
      <c r="C340" s="1">
        <v>2013.0</v>
      </c>
      <c r="D340" s="1" t="s">
        <v>1254</v>
      </c>
      <c r="E340" s="1" t="s">
        <v>1255</v>
      </c>
      <c r="F340" s="1" t="s">
        <v>1256</v>
      </c>
      <c r="G340" s="1" t="s">
        <v>1257</v>
      </c>
      <c r="H340" s="1" t="s">
        <v>1258</v>
      </c>
      <c r="I340" s="1">
        <v>379.0</v>
      </c>
      <c r="K340" s="2" t="s">
        <v>1259</v>
      </c>
      <c r="L340" s="2" t="s">
        <v>60</v>
      </c>
      <c r="M340" s="1" t="s">
        <v>1271</v>
      </c>
      <c r="N340" s="1" t="s">
        <v>62</v>
      </c>
      <c r="O340" s="1" t="s">
        <v>167</v>
      </c>
      <c r="P340" s="1" t="s">
        <v>1261</v>
      </c>
      <c r="Q340" s="1">
        <v>17.309722</v>
      </c>
      <c r="R340" s="1">
        <v>-89.174722</v>
      </c>
      <c r="S340" s="1" t="s">
        <v>148</v>
      </c>
      <c r="T340" s="2" t="s">
        <v>194</v>
      </c>
      <c r="U340" s="9" t="s">
        <v>1266</v>
      </c>
      <c r="V340" s="3" t="s">
        <v>116</v>
      </c>
      <c r="W340" s="1" t="s">
        <v>286</v>
      </c>
      <c r="X340" s="1" t="s">
        <v>70</v>
      </c>
      <c r="Y340" s="6" t="s">
        <v>76</v>
      </c>
      <c r="Z340" s="3" t="s">
        <v>76</v>
      </c>
      <c r="AB340" s="1">
        <v>10.0</v>
      </c>
      <c r="AI340" s="2" t="s">
        <v>72</v>
      </c>
      <c r="AJ340" s="1">
        <v>-1400.0</v>
      </c>
      <c r="AK340" s="1">
        <v>1950.0</v>
      </c>
      <c r="AL340" s="3" t="s">
        <v>153</v>
      </c>
      <c r="AM340" s="2" t="s">
        <v>72</v>
      </c>
      <c r="AN340" s="2" t="s">
        <v>524</v>
      </c>
      <c r="AO340" s="2" t="s">
        <v>76</v>
      </c>
      <c r="AQ340" s="2" t="s">
        <v>576</v>
      </c>
      <c r="AR340" s="2" t="s">
        <v>76</v>
      </c>
      <c r="AS340" s="1">
        <v>1603.0</v>
      </c>
      <c r="AT340" s="1">
        <v>1603.0</v>
      </c>
      <c r="AU340" s="1">
        <v>622.0</v>
      </c>
      <c r="AV340" s="1">
        <v>39.0</v>
      </c>
      <c r="AW340" s="1">
        <v>134.0</v>
      </c>
      <c r="AX340" s="1">
        <v>5295.0</v>
      </c>
      <c r="AY340" s="1">
        <v>114.0</v>
      </c>
      <c r="AZ340" s="1" t="s">
        <v>133</v>
      </c>
      <c r="BA340" s="1" t="s">
        <v>121</v>
      </c>
    </row>
    <row r="341">
      <c r="A341" s="1" t="s">
        <v>459</v>
      </c>
      <c r="B341" s="1" t="s">
        <v>53</v>
      </c>
      <c r="C341" s="1">
        <v>2014.0</v>
      </c>
      <c r="D341" s="1" t="s">
        <v>460</v>
      </c>
      <c r="E341" s="1" t="s">
        <v>461</v>
      </c>
      <c r="F341" s="1" t="s">
        <v>462</v>
      </c>
      <c r="G341" s="1" t="s">
        <v>463</v>
      </c>
      <c r="H341" s="1" t="s">
        <v>464</v>
      </c>
      <c r="I341" s="1">
        <v>141.0</v>
      </c>
      <c r="K341" s="2" t="s">
        <v>374</v>
      </c>
      <c r="L341" s="2" t="s">
        <v>60</v>
      </c>
      <c r="M341" s="1" t="s">
        <v>465</v>
      </c>
      <c r="N341" s="1" t="s">
        <v>62</v>
      </c>
      <c r="O341" s="1" t="s">
        <v>92</v>
      </c>
      <c r="P341" s="1" t="s">
        <v>466</v>
      </c>
      <c r="Q341" s="1">
        <v>19.87</v>
      </c>
      <c r="R341" s="1">
        <v>-88.77</v>
      </c>
      <c r="S341" s="1" t="s">
        <v>148</v>
      </c>
      <c r="T341" s="2" t="s">
        <v>135</v>
      </c>
      <c r="U341" s="1" t="s">
        <v>467</v>
      </c>
      <c r="V341" s="3" t="s">
        <v>97</v>
      </c>
      <c r="W341" s="1" t="s">
        <v>468</v>
      </c>
      <c r="X341" s="1" t="s">
        <v>456</v>
      </c>
      <c r="Y341" s="6" t="s">
        <v>76</v>
      </c>
      <c r="Z341" s="3" t="s">
        <v>76</v>
      </c>
      <c r="AB341" s="1">
        <v>9.0</v>
      </c>
      <c r="AI341" s="1" t="s">
        <v>469</v>
      </c>
      <c r="AJ341" s="1" t="s">
        <v>470</v>
      </c>
      <c r="AK341" s="1" t="s">
        <v>470</v>
      </c>
      <c r="AL341" s="2" t="s">
        <v>73</v>
      </c>
      <c r="AM341" s="2" t="s">
        <v>72</v>
      </c>
      <c r="AN341" s="2" t="s">
        <v>132</v>
      </c>
      <c r="AO341" s="2" t="s">
        <v>60</v>
      </c>
      <c r="AP341" s="1" t="s">
        <v>471</v>
      </c>
      <c r="AQ341" s="2" t="s">
        <v>102</v>
      </c>
      <c r="AR341" s="2" t="s">
        <v>60</v>
      </c>
      <c r="AS341" s="1">
        <v>1244.0</v>
      </c>
      <c r="AT341" s="1">
        <v>1244.0</v>
      </c>
      <c r="AU341" s="1">
        <v>548.0</v>
      </c>
      <c r="AV341" s="1">
        <v>31.0</v>
      </c>
      <c r="AW341" s="1">
        <v>105.0</v>
      </c>
      <c r="AX341" s="1">
        <v>6267.0</v>
      </c>
      <c r="AY341" s="1">
        <v>36.0</v>
      </c>
      <c r="AZ341" s="1" t="s">
        <v>239</v>
      </c>
      <c r="BA341" s="1" t="s">
        <v>121</v>
      </c>
    </row>
    <row r="342">
      <c r="A342" s="1" t="s">
        <v>459</v>
      </c>
      <c r="B342" s="1" t="s">
        <v>53</v>
      </c>
      <c r="C342" s="1">
        <v>2014.0</v>
      </c>
      <c r="D342" s="1" t="s">
        <v>460</v>
      </c>
      <c r="E342" s="1" t="s">
        <v>461</v>
      </c>
      <c r="F342" s="1" t="s">
        <v>462</v>
      </c>
      <c r="G342" s="1" t="s">
        <v>472</v>
      </c>
      <c r="H342" s="1" t="s">
        <v>464</v>
      </c>
      <c r="I342" s="1">
        <v>141.0</v>
      </c>
      <c r="K342" s="2" t="s">
        <v>374</v>
      </c>
      <c r="L342" s="2" t="s">
        <v>60</v>
      </c>
      <c r="M342" s="1" t="s">
        <v>473</v>
      </c>
      <c r="N342" s="1" t="s">
        <v>62</v>
      </c>
      <c r="O342" s="1" t="s">
        <v>92</v>
      </c>
      <c r="P342" s="1" t="s">
        <v>466</v>
      </c>
      <c r="Q342" s="1">
        <v>19.87</v>
      </c>
      <c r="R342" s="1">
        <v>-88.77</v>
      </c>
      <c r="S342" s="1" t="s">
        <v>148</v>
      </c>
      <c r="T342" s="2" t="s">
        <v>474</v>
      </c>
      <c r="U342" s="8" t="s">
        <v>96</v>
      </c>
      <c r="V342" s="3" t="s">
        <v>97</v>
      </c>
      <c r="W342" s="1" t="s">
        <v>468</v>
      </c>
      <c r="X342" s="1" t="s">
        <v>456</v>
      </c>
      <c r="Y342" s="6" t="s">
        <v>76</v>
      </c>
      <c r="Z342" s="3" t="s">
        <v>76</v>
      </c>
      <c r="AB342" s="1">
        <v>9.0</v>
      </c>
      <c r="AI342" s="1" t="s">
        <v>469</v>
      </c>
      <c r="AJ342" s="1" t="s">
        <v>470</v>
      </c>
      <c r="AK342" s="1" t="s">
        <v>470</v>
      </c>
      <c r="AL342" s="2" t="s">
        <v>73</v>
      </c>
      <c r="AM342" s="2" t="s">
        <v>72</v>
      </c>
      <c r="AN342" s="2" t="s">
        <v>132</v>
      </c>
      <c r="AO342" s="2" t="s">
        <v>60</v>
      </c>
      <c r="AP342" s="1" t="s">
        <v>471</v>
      </c>
      <c r="AQ342" s="2" t="s">
        <v>102</v>
      </c>
      <c r="AR342" s="2" t="s">
        <v>60</v>
      </c>
      <c r="AS342" s="1">
        <v>1244.0</v>
      </c>
      <c r="AT342" s="1">
        <v>1244.0</v>
      </c>
      <c r="AU342" s="1">
        <v>548.0</v>
      </c>
      <c r="AV342" s="1">
        <v>31.0</v>
      </c>
      <c r="AW342" s="1">
        <v>105.0</v>
      </c>
      <c r="AX342" s="1">
        <v>6267.0</v>
      </c>
      <c r="AY342" s="1">
        <v>36.0</v>
      </c>
      <c r="AZ342" s="1" t="s">
        <v>239</v>
      </c>
      <c r="BA342" s="1" t="s">
        <v>121</v>
      </c>
    </row>
    <row r="343">
      <c r="A343" s="1" t="s">
        <v>712</v>
      </c>
      <c r="B343" s="1" t="s">
        <v>53</v>
      </c>
      <c r="C343" s="1">
        <v>2014.0</v>
      </c>
      <c r="D343" s="1" t="s">
        <v>713</v>
      </c>
      <c r="E343" s="1" t="s">
        <v>714</v>
      </c>
      <c r="F343" s="1" t="s">
        <v>715</v>
      </c>
      <c r="G343" s="1" t="s">
        <v>716</v>
      </c>
      <c r="H343" s="1" t="s">
        <v>717</v>
      </c>
      <c r="I343" s="1">
        <v>54.0</v>
      </c>
      <c r="J343" s="1">
        <v>1.0</v>
      </c>
      <c r="K343" s="2" t="s">
        <v>718</v>
      </c>
      <c r="L343" s="2" t="s">
        <v>60</v>
      </c>
      <c r="M343" s="1" t="s">
        <v>719</v>
      </c>
      <c r="N343" s="1" t="s">
        <v>62</v>
      </c>
      <c r="O343" s="1" t="s">
        <v>167</v>
      </c>
      <c r="P343" s="1" t="s">
        <v>720</v>
      </c>
      <c r="Q343" s="1">
        <v>17.14</v>
      </c>
      <c r="R343" s="1">
        <v>-90.4</v>
      </c>
      <c r="S343" s="1" t="s">
        <v>148</v>
      </c>
      <c r="T343" s="2" t="s">
        <v>614</v>
      </c>
      <c r="U343" s="3" t="s">
        <v>721</v>
      </c>
      <c r="V343" s="3" t="s">
        <v>299</v>
      </c>
      <c r="W343" s="2" t="s">
        <v>72</v>
      </c>
      <c r="X343" s="2" t="s">
        <v>83</v>
      </c>
      <c r="Y343" s="6" t="s">
        <v>76</v>
      </c>
      <c r="Z343" s="3" t="s">
        <v>173</v>
      </c>
      <c r="AB343" s="1">
        <v>7.0</v>
      </c>
      <c r="AI343" s="2" t="s">
        <v>72</v>
      </c>
      <c r="AJ343" s="1">
        <v>-3331.0</v>
      </c>
      <c r="AK343" s="1">
        <v>1950.0</v>
      </c>
      <c r="AL343" s="2" t="s">
        <v>100</v>
      </c>
      <c r="AM343" s="2" t="s">
        <v>72</v>
      </c>
      <c r="AN343" s="2" t="s">
        <v>72</v>
      </c>
      <c r="AO343" s="2" t="s">
        <v>72</v>
      </c>
      <c r="AQ343" s="2" t="s">
        <v>75</v>
      </c>
      <c r="AR343" s="2" t="s">
        <v>76</v>
      </c>
      <c r="AS343" s="1">
        <v>2046.0</v>
      </c>
      <c r="AT343" s="1">
        <v>2046.0</v>
      </c>
      <c r="AU343" s="1">
        <v>883.0</v>
      </c>
      <c r="AV343" s="1">
        <v>41.0</v>
      </c>
      <c r="AW343" s="1">
        <v>148.0</v>
      </c>
      <c r="AX343" s="1">
        <v>6297.0</v>
      </c>
      <c r="AY343" s="1">
        <v>62.0</v>
      </c>
      <c r="AZ343" s="1" t="s">
        <v>133</v>
      </c>
      <c r="BA343" s="1" t="s">
        <v>121</v>
      </c>
    </row>
    <row r="344">
      <c r="A344" s="1" t="s">
        <v>712</v>
      </c>
      <c r="B344" s="1" t="s">
        <v>53</v>
      </c>
      <c r="C344" s="1">
        <v>2014.0</v>
      </c>
      <c r="D344" s="1" t="s">
        <v>713</v>
      </c>
      <c r="E344" s="1" t="s">
        <v>714</v>
      </c>
      <c r="F344" s="1" t="s">
        <v>715</v>
      </c>
      <c r="G344" s="1" t="s">
        <v>716</v>
      </c>
      <c r="H344" s="1" t="s">
        <v>717</v>
      </c>
      <c r="I344" s="1">
        <v>54.0</v>
      </c>
      <c r="J344" s="1">
        <v>1.0</v>
      </c>
      <c r="K344" s="2" t="s">
        <v>718</v>
      </c>
      <c r="L344" s="2" t="s">
        <v>60</v>
      </c>
      <c r="M344" s="1" t="s">
        <v>722</v>
      </c>
      <c r="N344" s="1" t="s">
        <v>62</v>
      </c>
      <c r="O344" s="1" t="s">
        <v>167</v>
      </c>
      <c r="P344" s="1" t="s">
        <v>720</v>
      </c>
      <c r="Q344" s="1">
        <v>17.14</v>
      </c>
      <c r="R344" s="1">
        <v>-90.4</v>
      </c>
      <c r="S344" s="1" t="s">
        <v>148</v>
      </c>
      <c r="T344" s="2" t="s">
        <v>194</v>
      </c>
      <c r="U344" s="1" t="s">
        <v>723</v>
      </c>
      <c r="V344" s="3" t="s">
        <v>97</v>
      </c>
      <c r="W344" s="1" t="s">
        <v>724</v>
      </c>
      <c r="X344" s="1" t="s">
        <v>70</v>
      </c>
      <c r="Y344" s="6" t="s">
        <v>76</v>
      </c>
      <c r="Z344" s="3" t="s">
        <v>76</v>
      </c>
      <c r="AB344" s="1">
        <v>7.0</v>
      </c>
      <c r="AI344" s="2" t="s">
        <v>72</v>
      </c>
      <c r="AJ344" s="1">
        <v>-3331.0</v>
      </c>
      <c r="AK344" s="1">
        <v>1950.0</v>
      </c>
      <c r="AL344" s="2" t="s">
        <v>100</v>
      </c>
      <c r="AM344" s="2" t="s">
        <v>72</v>
      </c>
      <c r="AN344" s="2" t="s">
        <v>72</v>
      </c>
      <c r="AO344" s="2" t="s">
        <v>72</v>
      </c>
      <c r="AQ344" s="2" t="s">
        <v>102</v>
      </c>
      <c r="AR344" s="2" t="s">
        <v>76</v>
      </c>
      <c r="AS344" s="1">
        <v>2046.0</v>
      </c>
      <c r="AT344" s="1">
        <v>2046.0</v>
      </c>
      <c r="AU344" s="1">
        <v>883.0</v>
      </c>
      <c r="AV344" s="1">
        <v>41.0</v>
      </c>
      <c r="AW344" s="1">
        <v>148.0</v>
      </c>
      <c r="AX344" s="1">
        <v>6297.0</v>
      </c>
      <c r="AY344" s="1">
        <v>62.0</v>
      </c>
      <c r="AZ344" s="1" t="s">
        <v>133</v>
      </c>
      <c r="BA344" s="1" t="s">
        <v>121</v>
      </c>
    </row>
    <row r="345">
      <c r="A345" s="1" t="s">
        <v>712</v>
      </c>
      <c r="B345" s="1" t="s">
        <v>53</v>
      </c>
      <c r="C345" s="1">
        <v>2014.0</v>
      </c>
      <c r="D345" s="1" t="s">
        <v>713</v>
      </c>
      <c r="E345" s="1" t="s">
        <v>714</v>
      </c>
      <c r="F345" s="1" t="s">
        <v>715</v>
      </c>
      <c r="G345" s="1" t="s">
        <v>716</v>
      </c>
      <c r="H345" s="1" t="s">
        <v>717</v>
      </c>
      <c r="I345" s="1">
        <v>54.0</v>
      </c>
      <c r="J345" s="1">
        <v>1.0</v>
      </c>
      <c r="K345" s="2" t="s">
        <v>718</v>
      </c>
      <c r="L345" s="2" t="s">
        <v>60</v>
      </c>
      <c r="M345" s="1" t="s">
        <v>725</v>
      </c>
      <c r="N345" s="1" t="s">
        <v>62</v>
      </c>
      <c r="O345" s="1" t="s">
        <v>167</v>
      </c>
      <c r="P345" s="1" t="s">
        <v>720</v>
      </c>
      <c r="Q345" s="1">
        <v>17.14</v>
      </c>
      <c r="R345" s="1">
        <v>-90.4</v>
      </c>
      <c r="S345" s="1" t="s">
        <v>148</v>
      </c>
      <c r="T345" s="2" t="s">
        <v>275</v>
      </c>
      <c r="U345" s="7" t="s">
        <v>116</v>
      </c>
      <c r="V345" s="3" t="s">
        <v>116</v>
      </c>
      <c r="W345" s="1" t="s">
        <v>278</v>
      </c>
      <c r="X345" s="1" t="s">
        <v>279</v>
      </c>
      <c r="Y345" s="6" t="s">
        <v>76</v>
      </c>
      <c r="Z345" s="3" t="s">
        <v>173</v>
      </c>
      <c r="AB345" s="1">
        <v>7.0</v>
      </c>
      <c r="AI345" s="2" t="s">
        <v>72</v>
      </c>
      <c r="AJ345" s="1">
        <v>-3331.0</v>
      </c>
      <c r="AK345" s="1">
        <v>1950.0</v>
      </c>
      <c r="AL345" s="2" t="s">
        <v>100</v>
      </c>
      <c r="AM345" s="2" t="s">
        <v>72</v>
      </c>
      <c r="AN345" s="2" t="s">
        <v>72</v>
      </c>
      <c r="AO345" s="2" t="s">
        <v>72</v>
      </c>
      <c r="AQ345" s="2" t="s">
        <v>102</v>
      </c>
      <c r="AR345" s="2" t="s">
        <v>76</v>
      </c>
      <c r="AS345" s="1">
        <v>2046.0</v>
      </c>
      <c r="AT345" s="1">
        <v>2046.0</v>
      </c>
      <c r="AU345" s="1">
        <v>883.0</v>
      </c>
      <c r="AV345" s="1">
        <v>41.0</v>
      </c>
      <c r="AW345" s="1">
        <v>148.0</v>
      </c>
      <c r="AX345" s="1">
        <v>6297.0</v>
      </c>
      <c r="AY345" s="1">
        <v>62.0</v>
      </c>
      <c r="AZ345" s="1" t="s">
        <v>133</v>
      </c>
      <c r="BA345" s="1" t="s">
        <v>121</v>
      </c>
    </row>
    <row r="346">
      <c r="A346" s="1" t="s">
        <v>712</v>
      </c>
      <c r="B346" s="1" t="s">
        <v>53</v>
      </c>
      <c r="C346" s="1">
        <v>2014.0</v>
      </c>
      <c r="D346" s="1" t="s">
        <v>713</v>
      </c>
      <c r="E346" s="1" t="s">
        <v>714</v>
      </c>
      <c r="F346" s="1" t="s">
        <v>715</v>
      </c>
      <c r="G346" s="1" t="s">
        <v>716</v>
      </c>
      <c r="H346" s="1" t="s">
        <v>717</v>
      </c>
      <c r="I346" s="1">
        <v>54.0</v>
      </c>
      <c r="J346" s="1">
        <v>1.0</v>
      </c>
      <c r="K346" s="2" t="s">
        <v>718</v>
      </c>
      <c r="L346" s="2" t="s">
        <v>60</v>
      </c>
      <c r="M346" s="1" t="s">
        <v>726</v>
      </c>
      <c r="N346" s="1" t="s">
        <v>62</v>
      </c>
      <c r="O346" s="1" t="s">
        <v>167</v>
      </c>
      <c r="P346" s="1" t="s">
        <v>720</v>
      </c>
      <c r="Q346" s="1">
        <v>17.14</v>
      </c>
      <c r="R346" s="1">
        <v>-90.4</v>
      </c>
      <c r="S346" s="1" t="s">
        <v>148</v>
      </c>
      <c r="T346" s="2" t="s">
        <v>95</v>
      </c>
      <c r="U346" s="2" t="s">
        <v>727</v>
      </c>
      <c r="V346" s="3" t="s">
        <v>97</v>
      </c>
      <c r="W346" s="2" t="s">
        <v>72</v>
      </c>
      <c r="X346" s="2" t="s">
        <v>728</v>
      </c>
      <c r="Y346" s="6" t="s">
        <v>76</v>
      </c>
      <c r="Z346" s="3" t="s">
        <v>76</v>
      </c>
      <c r="AB346" s="1">
        <v>7.0</v>
      </c>
      <c r="AI346" s="2" t="s">
        <v>72</v>
      </c>
      <c r="AJ346" s="1">
        <v>-3331.0</v>
      </c>
      <c r="AK346" s="1">
        <v>1950.0</v>
      </c>
      <c r="AL346" s="2" t="s">
        <v>100</v>
      </c>
      <c r="AM346" s="2" t="s">
        <v>72</v>
      </c>
      <c r="AN346" s="2" t="s">
        <v>72</v>
      </c>
      <c r="AO346" s="2" t="s">
        <v>72</v>
      </c>
      <c r="AQ346" s="2" t="s">
        <v>102</v>
      </c>
      <c r="AR346" s="2" t="s">
        <v>76</v>
      </c>
      <c r="AS346" s="1">
        <v>2046.0</v>
      </c>
      <c r="AT346" s="1">
        <v>2046.0</v>
      </c>
      <c r="AU346" s="1">
        <v>883.0</v>
      </c>
      <c r="AV346" s="1">
        <v>41.0</v>
      </c>
      <c r="AW346" s="1">
        <v>148.0</v>
      </c>
      <c r="AX346" s="1">
        <v>6297.0</v>
      </c>
      <c r="AY346" s="1">
        <v>62.0</v>
      </c>
      <c r="AZ346" s="1" t="s">
        <v>133</v>
      </c>
      <c r="BA346" s="1" t="s">
        <v>121</v>
      </c>
    </row>
    <row r="347">
      <c r="A347" s="1" t="s">
        <v>548</v>
      </c>
      <c r="B347" s="1" t="s">
        <v>53</v>
      </c>
      <c r="C347" s="1">
        <v>2014.0</v>
      </c>
      <c r="D347" s="1" t="s">
        <v>549</v>
      </c>
      <c r="E347" s="1" t="s">
        <v>550</v>
      </c>
      <c r="F347" s="1" t="s">
        <v>551</v>
      </c>
      <c r="G347" s="1" t="s">
        <v>552</v>
      </c>
      <c r="H347" s="1" t="s">
        <v>553</v>
      </c>
      <c r="I347" s="1">
        <v>41.0</v>
      </c>
      <c r="J347" s="1">
        <v>14.0</v>
      </c>
      <c r="K347" s="2" t="s">
        <v>554</v>
      </c>
      <c r="L347" s="2" t="s">
        <v>76</v>
      </c>
      <c r="M347" s="1" t="s">
        <v>548</v>
      </c>
      <c r="N347" s="1" t="s">
        <v>62</v>
      </c>
      <c r="O347" s="1" t="s">
        <v>92</v>
      </c>
      <c r="P347" s="1" t="s">
        <v>555</v>
      </c>
      <c r="Q347" s="1">
        <v>20.46</v>
      </c>
      <c r="R347" s="1">
        <v>-89.17</v>
      </c>
      <c r="S347" s="1" t="s">
        <v>94</v>
      </c>
      <c r="T347" s="2" t="s">
        <v>275</v>
      </c>
      <c r="U347" s="2" t="s">
        <v>556</v>
      </c>
      <c r="V347" s="3" t="s">
        <v>97</v>
      </c>
      <c r="W347" s="2" t="s">
        <v>72</v>
      </c>
      <c r="X347" s="1" t="s">
        <v>279</v>
      </c>
      <c r="Y347" s="6" t="s">
        <v>76</v>
      </c>
      <c r="Z347" s="3" t="s">
        <v>76</v>
      </c>
      <c r="AD347" s="1">
        <v>1.0</v>
      </c>
      <c r="AF347" s="1">
        <v>1.0</v>
      </c>
      <c r="AI347" s="2" t="s">
        <v>72</v>
      </c>
      <c r="AJ347" s="1">
        <v>1851.0</v>
      </c>
      <c r="AK347" s="1">
        <v>2007.0</v>
      </c>
      <c r="AL347" s="2" t="s">
        <v>153</v>
      </c>
      <c r="AM347" s="3" t="s">
        <v>60</v>
      </c>
      <c r="AN347" s="2" t="s">
        <v>101</v>
      </c>
      <c r="AO347" s="2" t="s">
        <v>101</v>
      </c>
      <c r="AQ347" s="2" t="s">
        <v>102</v>
      </c>
      <c r="AR347" s="2" t="s">
        <v>60</v>
      </c>
      <c r="AS347" s="1">
        <v>1167.0</v>
      </c>
      <c r="AT347" s="1">
        <v>1167.0</v>
      </c>
      <c r="AU347" s="1">
        <v>540.0</v>
      </c>
      <c r="AV347" s="1">
        <v>29.0</v>
      </c>
      <c r="AW347" s="1">
        <v>103.0</v>
      </c>
      <c r="AX347" s="1">
        <v>6564.0</v>
      </c>
      <c r="AY347" s="1">
        <v>21.0</v>
      </c>
      <c r="AZ347" s="1" t="s">
        <v>103</v>
      </c>
      <c r="BA347" s="1" t="s">
        <v>104</v>
      </c>
    </row>
    <row r="348">
      <c r="A348" s="1" t="s">
        <v>1719</v>
      </c>
      <c r="B348" s="1" t="s">
        <v>53</v>
      </c>
      <c r="C348" s="1">
        <v>2014.0</v>
      </c>
      <c r="D348" s="1" t="s">
        <v>1720</v>
      </c>
      <c r="E348" s="1" t="s">
        <v>1721</v>
      </c>
      <c r="F348" s="1" t="s">
        <v>1386</v>
      </c>
      <c r="G348" s="1" t="s">
        <v>1722</v>
      </c>
      <c r="H348" s="1" t="s">
        <v>1723</v>
      </c>
      <c r="I348" s="1">
        <v>103.0</v>
      </c>
      <c r="K348" s="2" t="s">
        <v>1724</v>
      </c>
      <c r="L348" s="2" t="s">
        <v>60</v>
      </c>
      <c r="M348" s="1" t="s">
        <v>1725</v>
      </c>
      <c r="N348" s="1" t="s">
        <v>62</v>
      </c>
      <c r="O348" s="1" t="s">
        <v>167</v>
      </c>
      <c r="P348" s="1" t="s">
        <v>588</v>
      </c>
      <c r="Q348" s="1">
        <v>17.533333</v>
      </c>
      <c r="R348" s="1">
        <v>-90.183333</v>
      </c>
      <c r="S348" s="1" t="s">
        <v>148</v>
      </c>
      <c r="T348" s="2" t="s">
        <v>66</v>
      </c>
      <c r="U348" s="3" t="s">
        <v>67</v>
      </c>
      <c r="V348" s="3" t="s">
        <v>68</v>
      </c>
      <c r="W348" s="2" t="s">
        <v>72</v>
      </c>
      <c r="X348" s="1" t="s">
        <v>70</v>
      </c>
      <c r="Y348" s="5" t="s">
        <v>60</v>
      </c>
      <c r="Z348" s="3" t="s">
        <v>625</v>
      </c>
      <c r="AB348" s="1">
        <v>7.0</v>
      </c>
      <c r="AI348" s="2" t="s">
        <v>72</v>
      </c>
      <c r="AJ348" s="1">
        <v>-7000.0</v>
      </c>
      <c r="AK348" s="1">
        <v>1950.0</v>
      </c>
      <c r="AL348" s="2" t="s">
        <v>73</v>
      </c>
      <c r="AM348" s="2" t="s">
        <v>72</v>
      </c>
      <c r="AN348" s="2" t="s">
        <v>132</v>
      </c>
      <c r="AO348" s="2" t="s">
        <v>72</v>
      </c>
      <c r="AQ348" s="2" t="s">
        <v>102</v>
      </c>
      <c r="AR348" s="2" t="s">
        <v>76</v>
      </c>
      <c r="AS348" s="1">
        <v>1598.0</v>
      </c>
      <c r="AT348" s="1">
        <v>1598.0</v>
      </c>
      <c r="AU348" s="1">
        <v>686.0</v>
      </c>
      <c r="AV348" s="1">
        <v>33.0</v>
      </c>
      <c r="AW348" s="1">
        <v>119.0</v>
      </c>
      <c r="AX348" s="1">
        <v>6059.0</v>
      </c>
      <c r="AY348" s="1">
        <v>238.0</v>
      </c>
      <c r="AZ348" s="1" t="s">
        <v>133</v>
      </c>
      <c r="BA348" s="1" t="s">
        <v>121</v>
      </c>
    </row>
    <row r="349">
      <c r="A349" s="1" t="s">
        <v>1719</v>
      </c>
      <c r="B349" s="1" t="s">
        <v>53</v>
      </c>
      <c r="C349" s="1">
        <v>2014.0</v>
      </c>
      <c r="D349" s="1" t="s">
        <v>1720</v>
      </c>
      <c r="E349" s="1" t="s">
        <v>1721</v>
      </c>
      <c r="F349" s="1" t="s">
        <v>1386</v>
      </c>
      <c r="G349" s="1" t="s">
        <v>1722</v>
      </c>
      <c r="H349" s="1" t="s">
        <v>1723</v>
      </c>
      <c r="I349" s="1">
        <v>103.0</v>
      </c>
      <c r="K349" s="2" t="s">
        <v>1724</v>
      </c>
      <c r="L349" s="2" t="s">
        <v>60</v>
      </c>
      <c r="M349" s="1" t="s">
        <v>1726</v>
      </c>
      <c r="N349" s="1" t="s">
        <v>62</v>
      </c>
      <c r="O349" s="1" t="s">
        <v>167</v>
      </c>
      <c r="P349" s="1" t="s">
        <v>588</v>
      </c>
      <c r="Q349" s="1">
        <v>17.533333</v>
      </c>
      <c r="R349" s="1">
        <v>-90.183333</v>
      </c>
      <c r="S349" s="1" t="s">
        <v>148</v>
      </c>
      <c r="T349" s="2" t="s">
        <v>95</v>
      </c>
      <c r="U349" s="2" t="s">
        <v>96</v>
      </c>
      <c r="V349" s="3" t="s">
        <v>97</v>
      </c>
      <c r="W349" s="2" t="s">
        <v>72</v>
      </c>
      <c r="X349" s="2" t="s">
        <v>99</v>
      </c>
      <c r="Y349" s="6" t="s">
        <v>76</v>
      </c>
      <c r="Z349" s="3" t="s">
        <v>76</v>
      </c>
      <c r="AB349" s="1">
        <v>7.0</v>
      </c>
      <c r="AI349" s="2" t="s">
        <v>72</v>
      </c>
      <c r="AJ349" s="1">
        <v>-7000.0</v>
      </c>
      <c r="AK349" s="1">
        <v>1950.0</v>
      </c>
      <c r="AL349" s="2" t="s">
        <v>73</v>
      </c>
      <c r="AM349" s="2" t="s">
        <v>72</v>
      </c>
      <c r="AN349" s="2" t="s">
        <v>132</v>
      </c>
      <c r="AO349" s="2" t="s">
        <v>72</v>
      </c>
      <c r="AQ349" s="2" t="s">
        <v>102</v>
      </c>
      <c r="AR349" s="2" t="s">
        <v>76</v>
      </c>
      <c r="AS349" s="1">
        <v>1598.0</v>
      </c>
      <c r="AT349" s="1">
        <v>1598.0</v>
      </c>
      <c r="AU349" s="1">
        <v>686.0</v>
      </c>
      <c r="AV349" s="1">
        <v>33.0</v>
      </c>
      <c r="AW349" s="1">
        <v>119.0</v>
      </c>
      <c r="AX349" s="1">
        <v>6059.0</v>
      </c>
      <c r="AY349" s="1">
        <v>238.0</v>
      </c>
      <c r="AZ349" s="1" t="s">
        <v>133</v>
      </c>
      <c r="BA349" s="1" t="s">
        <v>121</v>
      </c>
    </row>
    <row r="350">
      <c r="A350" s="1" t="s">
        <v>1607</v>
      </c>
      <c r="B350" s="1" t="s">
        <v>53</v>
      </c>
      <c r="C350" s="1">
        <v>2014.0</v>
      </c>
      <c r="D350" s="1" t="s">
        <v>1608</v>
      </c>
      <c r="E350" s="1" t="s">
        <v>1609</v>
      </c>
      <c r="F350" s="3" t="s">
        <v>303</v>
      </c>
      <c r="G350" s="1" t="s">
        <v>1611</v>
      </c>
      <c r="H350" s="1" t="s">
        <v>1612</v>
      </c>
      <c r="I350" s="1">
        <v>82.0</v>
      </c>
      <c r="J350" s="1">
        <v>1.0</v>
      </c>
      <c r="K350" s="2" t="s">
        <v>1613</v>
      </c>
      <c r="L350" s="2" t="s">
        <v>60</v>
      </c>
      <c r="M350" s="1" t="s">
        <v>1624</v>
      </c>
      <c r="N350" s="1" t="s">
        <v>62</v>
      </c>
      <c r="O350" s="1" t="s">
        <v>187</v>
      </c>
      <c r="P350" s="1" t="s">
        <v>1615</v>
      </c>
      <c r="Q350" s="1">
        <v>16.166667</v>
      </c>
      <c r="R350" s="1">
        <v>-89.0</v>
      </c>
      <c r="S350" s="1" t="s">
        <v>148</v>
      </c>
      <c r="T350" s="2" t="s">
        <v>80</v>
      </c>
      <c r="U350" s="3" t="s">
        <v>81</v>
      </c>
      <c r="V350" s="3" t="s">
        <v>68</v>
      </c>
      <c r="W350" s="1" t="s">
        <v>1625</v>
      </c>
      <c r="X350" s="2" t="s">
        <v>928</v>
      </c>
      <c r="Y350" s="6" t="s">
        <v>76</v>
      </c>
      <c r="Z350" s="3" t="s">
        <v>84</v>
      </c>
      <c r="AB350" s="1">
        <v>4.0</v>
      </c>
      <c r="AI350" s="1" t="s">
        <v>1616</v>
      </c>
      <c r="AJ350" s="1">
        <v>-750.0</v>
      </c>
      <c r="AK350" s="1">
        <v>2007.0</v>
      </c>
      <c r="AL350" s="2" t="s">
        <v>73</v>
      </c>
      <c r="AM350" s="2" t="s">
        <v>72</v>
      </c>
      <c r="AN350" s="2" t="s">
        <v>524</v>
      </c>
      <c r="AO350" s="2" t="s">
        <v>72</v>
      </c>
      <c r="AQ350" s="2" t="s">
        <v>75</v>
      </c>
      <c r="AR350" s="2" t="s">
        <v>76</v>
      </c>
      <c r="AS350" s="1">
        <v>3461.0</v>
      </c>
      <c r="AT350" s="1">
        <v>3461.0</v>
      </c>
      <c r="AU350" s="1">
        <v>1751.0</v>
      </c>
      <c r="AV350" s="1">
        <v>69.0</v>
      </c>
      <c r="AW350" s="1">
        <v>251.0</v>
      </c>
      <c r="AX350" s="1">
        <v>7260.0</v>
      </c>
      <c r="AY350" s="1">
        <v>34.0</v>
      </c>
      <c r="AZ350" s="1" t="s">
        <v>133</v>
      </c>
      <c r="BA350" s="1" t="s">
        <v>121</v>
      </c>
    </row>
    <row r="351">
      <c r="A351" s="1" t="s">
        <v>1607</v>
      </c>
      <c r="B351" s="1" t="s">
        <v>53</v>
      </c>
      <c r="C351" s="1">
        <v>2014.0</v>
      </c>
      <c r="D351" s="1" t="s">
        <v>1608</v>
      </c>
      <c r="E351" s="1" t="s">
        <v>1609</v>
      </c>
      <c r="F351" s="3" t="s">
        <v>303</v>
      </c>
      <c r="G351" s="1" t="s">
        <v>1611</v>
      </c>
      <c r="H351" s="1" t="s">
        <v>1612</v>
      </c>
      <c r="I351" s="1">
        <v>82.0</v>
      </c>
      <c r="J351" s="1">
        <v>1.0</v>
      </c>
      <c r="K351" s="2" t="s">
        <v>1613</v>
      </c>
      <c r="L351" s="2" t="s">
        <v>60</v>
      </c>
      <c r="M351" s="1" t="s">
        <v>1634</v>
      </c>
      <c r="N351" s="1" t="s">
        <v>62</v>
      </c>
      <c r="O351" s="1" t="s">
        <v>187</v>
      </c>
      <c r="P351" s="1" t="s">
        <v>1615</v>
      </c>
      <c r="Q351" s="1">
        <v>16.166667</v>
      </c>
      <c r="R351" s="1">
        <v>-89.0</v>
      </c>
      <c r="S351" s="1" t="s">
        <v>148</v>
      </c>
      <c r="T351" s="2" t="s">
        <v>66</v>
      </c>
      <c r="U351" s="3" t="s">
        <v>67</v>
      </c>
      <c r="V351" s="3" t="s">
        <v>68</v>
      </c>
      <c r="W351" s="1" t="s">
        <v>589</v>
      </c>
      <c r="X351" s="1" t="s">
        <v>70</v>
      </c>
      <c r="Y351" s="5" t="s">
        <v>60</v>
      </c>
      <c r="Z351" s="3" t="s">
        <v>625</v>
      </c>
      <c r="AB351" s="1">
        <v>4.0</v>
      </c>
      <c r="AI351" s="1" t="s">
        <v>1616</v>
      </c>
      <c r="AJ351" s="1">
        <v>-2600.0</v>
      </c>
      <c r="AK351" s="1">
        <v>2007.0</v>
      </c>
      <c r="AL351" s="2" t="s">
        <v>73</v>
      </c>
      <c r="AM351" s="2" t="s">
        <v>72</v>
      </c>
      <c r="AN351" s="2" t="s">
        <v>524</v>
      </c>
      <c r="AO351" s="2" t="s">
        <v>72</v>
      </c>
      <c r="AQ351" s="2" t="s">
        <v>75</v>
      </c>
      <c r="AR351" s="2" t="s">
        <v>76</v>
      </c>
      <c r="AS351" s="1">
        <v>3461.0</v>
      </c>
      <c r="AT351" s="1">
        <v>3461.0</v>
      </c>
      <c r="AU351" s="1">
        <v>1751.0</v>
      </c>
      <c r="AV351" s="1">
        <v>69.0</v>
      </c>
      <c r="AW351" s="1">
        <v>251.0</v>
      </c>
      <c r="AX351" s="1">
        <v>7260.0</v>
      </c>
      <c r="AY351" s="1">
        <v>34.0</v>
      </c>
      <c r="AZ351" s="1" t="s">
        <v>133</v>
      </c>
      <c r="BA351" s="1" t="s">
        <v>121</v>
      </c>
    </row>
    <row r="352">
      <c r="A352" s="1" t="s">
        <v>1607</v>
      </c>
      <c r="B352" s="1" t="s">
        <v>53</v>
      </c>
      <c r="C352" s="1">
        <v>2014.0</v>
      </c>
      <c r="D352" s="1" t="s">
        <v>1608</v>
      </c>
      <c r="E352" s="1" t="s">
        <v>1609</v>
      </c>
      <c r="F352" s="3" t="s">
        <v>303</v>
      </c>
      <c r="G352" s="1" t="s">
        <v>1611</v>
      </c>
      <c r="H352" s="1" t="s">
        <v>1612</v>
      </c>
      <c r="I352" s="1">
        <v>82.0</v>
      </c>
      <c r="J352" s="1">
        <v>1.0</v>
      </c>
      <c r="K352" s="2" t="s">
        <v>1613</v>
      </c>
      <c r="L352" s="2" t="s">
        <v>60</v>
      </c>
      <c r="M352" s="1" t="s">
        <v>1635</v>
      </c>
      <c r="N352" s="1" t="s">
        <v>62</v>
      </c>
      <c r="O352" s="1" t="s">
        <v>187</v>
      </c>
      <c r="P352" s="1" t="s">
        <v>1615</v>
      </c>
      <c r="Q352" s="1">
        <v>16.166667</v>
      </c>
      <c r="R352" s="1">
        <v>-89.0</v>
      </c>
      <c r="S352" s="1" t="s">
        <v>148</v>
      </c>
      <c r="T352" s="2" t="s">
        <v>382</v>
      </c>
      <c r="U352" s="7" t="s">
        <v>173</v>
      </c>
      <c r="V352" s="3" t="s">
        <v>116</v>
      </c>
      <c r="W352" s="1" t="s">
        <v>1636</v>
      </c>
      <c r="X352" s="1" t="s">
        <v>544</v>
      </c>
      <c r="Y352" s="6" t="s">
        <v>76</v>
      </c>
      <c r="Z352" s="3" t="s">
        <v>173</v>
      </c>
      <c r="AB352" s="1">
        <v>4.0</v>
      </c>
      <c r="AI352" s="1" t="s">
        <v>1616</v>
      </c>
      <c r="AJ352" s="1">
        <v>-2600.0</v>
      </c>
      <c r="AK352" s="1">
        <v>2007.0</v>
      </c>
      <c r="AL352" s="2" t="s">
        <v>73</v>
      </c>
      <c r="AM352" s="2" t="s">
        <v>72</v>
      </c>
      <c r="AN352" s="2" t="s">
        <v>524</v>
      </c>
      <c r="AO352" s="2" t="s">
        <v>72</v>
      </c>
      <c r="AQ352" s="2" t="s">
        <v>75</v>
      </c>
      <c r="AR352" s="2" t="s">
        <v>76</v>
      </c>
      <c r="AS352" s="1">
        <v>3461.0</v>
      </c>
      <c r="AT352" s="1">
        <v>3461.0</v>
      </c>
      <c r="AU352" s="1">
        <v>1751.0</v>
      </c>
      <c r="AV352" s="1">
        <v>69.0</v>
      </c>
      <c r="AW352" s="1">
        <v>251.0</v>
      </c>
      <c r="AX352" s="1">
        <v>7260.0</v>
      </c>
      <c r="AY352" s="1">
        <v>34.0</v>
      </c>
      <c r="AZ352" s="1" t="s">
        <v>133</v>
      </c>
      <c r="BA352" s="1" t="s">
        <v>121</v>
      </c>
    </row>
    <row r="353">
      <c r="A353" s="1" t="s">
        <v>217</v>
      </c>
      <c r="B353" s="1" t="s">
        <v>53</v>
      </c>
      <c r="C353" s="1">
        <v>2015.0</v>
      </c>
      <c r="D353" s="1" t="s">
        <v>218</v>
      </c>
      <c r="E353" s="1" t="s">
        <v>219</v>
      </c>
      <c r="F353" s="1" t="s">
        <v>220</v>
      </c>
      <c r="G353" s="1" t="s">
        <v>221</v>
      </c>
      <c r="H353" s="1" t="s">
        <v>222</v>
      </c>
      <c r="I353" s="1">
        <v>45.0</v>
      </c>
      <c r="J353" s="1">
        <v>43987.0</v>
      </c>
      <c r="K353" s="2" t="s">
        <v>223</v>
      </c>
      <c r="L353" s="2" t="s">
        <v>76</v>
      </c>
      <c r="M353" s="1" t="s">
        <v>217</v>
      </c>
      <c r="N353" s="1" t="s">
        <v>62</v>
      </c>
      <c r="O353" s="1" t="s">
        <v>167</v>
      </c>
      <c r="P353" s="1" t="s">
        <v>224</v>
      </c>
      <c r="Q353" s="1">
        <v>15.51</v>
      </c>
      <c r="R353" s="1">
        <v>-91.6</v>
      </c>
      <c r="S353" s="1" t="s">
        <v>225</v>
      </c>
      <c r="T353" s="2" t="s">
        <v>225</v>
      </c>
      <c r="U353" s="2" t="s">
        <v>96</v>
      </c>
      <c r="V353" s="3" t="s">
        <v>97</v>
      </c>
      <c r="W353" s="2" t="s">
        <v>72</v>
      </c>
      <c r="X353" s="1" t="s">
        <v>226</v>
      </c>
      <c r="Y353" s="6" t="s">
        <v>76</v>
      </c>
      <c r="Z353" s="3" t="s">
        <v>76</v>
      </c>
      <c r="AG353" s="1">
        <v>1.0</v>
      </c>
      <c r="AI353" s="2" t="s">
        <v>72</v>
      </c>
      <c r="AJ353" s="1">
        <v>1710.0</v>
      </c>
      <c r="AK353" s="1">
        <v>2009.0</v>
      </c>
      <c r="AL353" s="2" t="s">
        <v>153</v>
      </c>
      <c r="AM353" s="2" t="s">
        <v>72</v>
      </c>
      <c r="AN353" s="2" t="s">
        <v>72</v>
      </c>
      <c r="AO353" s="2" t="s">
        <v>101</v>
      </c>
      <c r="AQ353" s="2" t="s">
        <v>102</v>
      </c>
      <c r="AR353" s="2" t="s">
        <v>76</v>
      </c>
      <c r="AS353" s="1">
        <v>1378.0</v>
      </c>
      <c r="AT353" s="1">
        <v>1378.0</v>
      </c>
      <c r="AU353" s="1">
        <v>648.0</v>
      </c>
      <c r="AV353" s="1">
        <v>9.0</v>
      </c>
      <c r="AW353" s="1">
        <v>42.0</v>
      </c>
      <c r="AX353" s="1">
        <v>8430.0</v>
      </c>
      <c r="AY353" s="1">
        <v>2720.0</v>
      </c>
      <c r="AZ353" s="1" t="s">
        <v>77</v>
      </c>
      <c r="BA353" s="1" t="s">
        <v>78</v>
      </c>
    </row>
    <row r="354">
      <c r="A354" s="1" t="s">
        <v>1409</v>
      </c>
      <c r="B354" s="1" t="s">
        <v>53</v>
      </c>
      <c r="C354" s="1">
        <v>2015.0</v>
      </c>
      <c r="D354" s="1" t="s">
        <v>1410</v>
      </c>
      <c r="E354" s="1" t="s">
        <v>1411</v>
      </c>
      <c r="F354" s="1" t="s">
        <v>1395</v>
      </c>
      <c r="G354" s="1" t="s">
        <v>1412</v>
      </c>
      <c r="H354" s="1" t="s">
        <v>1413</v>
      </c>
      <c r="I354" s="1">
        <v>112.0</v>
      </c>
      <c r="J354" s="1">
        <v>18.0</v>
      </c>
      <c r="K354" s="2" t="s">
        <v>1414</v>
      </c>
      <c r="L354" s="2" t="s">
        <v>60</v>
      </c>
      <c r="M354" s="1" t="s">
        <v>1415</v>
      </c>
      <c r="N354" s="1" t="s">
        <v>62</v>
      </c>
      <c r="O354" s="1" t="s">
        <v>92</v>
      </c>
      <c r="P354" s="1" t="s">
        <v>466</v>
      </c>
      <c r="Q354" s="1">
        <v>19.856</v>
      </c>
      <c r="R354" s="1">
        <v>-88.7644</v>
      </c>
      <c r="S354" s="1" t="s">
        <v>148</v>
      </c>
      <c r="T354" s="2" t="s">
        <v>135</v>
      </c>
      <c r="U354" s="3" t="s">
        <v>67</v>
      </c>
      <c r="V354" s="3" t="s">
        <v>68</v>
      </c>
      <c r="W354" s="1" t="s">
        <v>468</v>
      </c>
      <c r="X354" s="1" t="s">
        <v>483</v>
      </c>
      <c r="Y354" s="6" t="s">
        <v>76</v>
      </c>
      <c r="Z354" s="3" t="s">
        <v>411</v>
      </c>
      <c r="AB354" s="1">
        <v>1.0</v>
      </c>
      <c r="AI354" s="1" t="s">
        <v>1416</v>
      </c>
      <c r="AJ354" s="1">
        <v>-1500.0</v>
      </c>
      <c r="AK354" s="1">
        <v>1500.0</v>
      </c>
      <c r="AL354" s="2" t="s">
        <v>73</v>
      </c>
      <c r="AM354" s="2" t="s">
        <v>72</v>
      </c>
      <c r="AN354" s="2" t="s">
        <v>132</v>
      </c>
      <c r="AO354" s="2" t="s">
        <v>60</v>
      </c>
      <c r="AP354" s="1" t="s">
        <v>471</v>
      </c>
      <c r="AQ354" s="2" t="s">
        <v>102</v>
      </c>
      <c r="AR354" s="2" t="s">
        <v>76</v>
      </c>
      <c r="AS354" s="1">
        <v>1254.0</v>
      </c>
      <c r="AT354" s="1">
        <v>1254.0</v>
      </c>
      <c r="AU354" s="1">
        <v>551.0</v>
      </c>
      <c r="AV354" s="1">
        <v>32.0</v>
      </c>
      <c r="AW354" s="1">
        <v>107.0</v>
      </c>
      <c r="AX354" s="1">
        <v>6228.0</v>
      </c>
      <c r="AY354" s="1">
        <v>36.0</v>
      </c>
      <c r="AZ354" s="1" t="s">
        <v>239</v>
      </c>
      <c r="BA354" s="1" t="s">
        <v>121</v>
      </c>
    </row>
    <row r="355">
      <c r="A355" s="1" t="s">
        <v>1409</v>
      </c>
      <c r="B355" s="1" t="s">
        <v>53</v>
      </c>
      <c r="C355" s="1">
        <v>2015.0</v>
      </c>
      <c r="D355" s="1" t="s">
        <v>1410</v>
      </c>
      <c r="E355" s="1" t="s">
        <v>1411</v>
      </c>
      <c r="F355" s="1" t="s">
        <v>1395</v>
      </c>
      <c r="G355" s="1" t="s">
        <v>1412</v>
      </c>
      <c r="H355" s="1" t="s">
        <v>1413</v>
      </c>
      <c r="I355" s="1">
        <v>112.0</v>
      </c>
      <c r="J355" s="1">
        <v>18.0</v>
      </c>
      <c r="K355" s="2" t="s">
        <v>1414</v>
      </c>
      <c r="L355" s="2" t="s">
        <v>60</v>
      </c>
      <c r="M355" s="1" t="s">
        <v>1417</v>
      </c>
      <c r="N355" s="1" t="s">
        <v>62</v>
      </c>
      <c r="O355" s="1" t="s">
        <v>92</v>
      </c>
      <c r="P355" s="1" t="s">
        <v>878</v>
      </c>
      <c r="Q355" s="1">
        <v>16.98567</v>
      </c>
      <c r="R355" s="1">
        <v>-89.674358</v>
      </c>
      <c r="S355" s="1" t="s">
        <v>148</v>
      </c>
      <c r="T355" s="2" t="s">
        <v>135</v>
      </c>
      <c r="U355" s="3" t="s">
        <v>67</v>
      </c>
      <c r="V355" s="3" t="s">
        <v>68</v>
      </c>
      <c r="W355" s="1" t="s">
        <v>468</v>
      </c>
      <c r="X355" s="1" t="s">
        <v>483</v>
      </c>
      <c r="Y355" s="6" t="s">
        <v>76</v>
      </c>
      <c r="Z355" s="3" t="s">
        <v>411</v>
      </c>
      <c r="AB355" s="1">
        <v>1.0</v>
      </c>
      <c r="AI355" s="1" t="s">
        <v>1416</v>
      </c>
      <c r="AJ355" s="1">
        <v>-2000.0</v>
      </c>
      <c r="AK355" s="1">
        <v>1950.0</v>
      </c>
      <c r="AL355" s="2" t="s">
        <v>73</v>
      </c>
      <c r="AM355" s="2" t="s">
        <v>72</v>
      </c>
      <c r="AN355" s="2" t="s">
        <v>132</v>
      </c>
      <c r="AO355" s="2" t="s">
        <v>60</v>
      </c>
      <c r="AP355" s="1" t="s">
        <v>471</v>
      </c>
      <c r="AQ355" s="2" t="s">
        <v>102</v>
      </c>
      <c r="AR355" s="2" t="s">
        <v>76</v>
      </c>
      <c r="AS355" s="1">
        <v>1757.0</v>
      </c>
      <c r="AT355" s="1">
        <v>1757.0</v>
      </c>
      <c r="AU355" s="1">
        <v>704.0</v>
      </c>
      <c r="AV355" s="1">
        <v>37.0</v>
      </c>
      <c r="AW355" s="1">
        <v>141.0</v>
      </c>
      <c r="AX355" s="1">
        <v>5662.0</v>
      </c>
      <c r="AY355" s="1">
        <v>118.0</v>
      </c>
      <c r="AZ355" s="1" t="s">
        <v>133</v>
      </c>
      <c r="BA355" s="1" t="s">
        <v>121</v>
      </c>
    </row>
    <row r="356">
      <c r="A356" s="1" t="s">
        <v>1409</v>
      </c>
      <c r="B356" s="1" t="s">
        <v>53</v>
      </c>
      <c r="C356" s="1">
        <v>2015.0</v>
      </c>
      <c r="D356" s="1" t="s">
        <v>1410</v>
      </c>
      <c r="E356" s="1" t="s">
        <v>1411</v>
      </c>
      <c r="F356" s="1" t="s">
        <v>1395</v>
      </c>
      <c r="G356" s="1" t="s">
        <v>1412</v>
      </c>
      <c r="H356" s="1" t="s">
        <v>1413</v>
      </c>
      <c r="I356" s="1">
        <v>112.0</v>
      </c>
      <c r="J356" s="1">
        <v>18.0</v>
      </c>
      <c r="K356" s="2" t="s">
        <v>1414</v>
      </c>
      <c r="L356" s="2" t="s">
        <v>60</v>
      </c>
      <c r="M356" s="1" t="s">
        <v>1426</v>
      </c>
      <c r="N356" s="1" t="s">
        <v>62</v>
      </c>
      <c r="O356" s="1" t="s">
        <v>92</v>
      </c>
      <c r="P356" s="1" t="s">
        <v>466</v>
      </c>
      <c r="Q356" s="1">
        <v>19.856</v>
      </c>
      <c r="R356" s="1">
        <v>-88.7644</v>
      </c>
      <c r="S356" s="1" t="s">
        <v>148</v>
      </c>
      <c r="T356" s="2" t="s">
        <v>474</v>
      </c>
      <c r="U356" s="2" t="s">
        <v>96</v>
      </c>
      <c r="V356" s="3" t="s">
        <v>97</v>
      </c>
      <c r="W356" s="1" t="s">
        <v>468</v>
      </c>
      <c r="X356" s="1" t="s">
        <v>483</v>
      </c>
      <c r="Y356" s="6" t="s">
        <v>76</v>
      </c>
      <c r="Z356" s="3" t="s">
        <v>76</v>
      </c>
      <c r="AB356" s="1">
        <v>1.0</v>
      </c>
      <c r="AI356" s="1" t="s">
        <v>1416</v>
      </c>
      <c r="AJ356" s="1">
        <v>-1500.0</v>
      </c>
      <c r="AK356" s="1">
        <v>1500.0</v>
      </c>
      <c r="AL356" s="2" t="s">
        <v>73</v>
      </c>
      <c r="AM356" s="2" t="s">
        <v>72</v>
      </c>
      <c r="AN356" s="2" t="s">
        <v>132</v>
      </c>
      <c r="AO356" s="2" t="s">
        <v>60</v>
      </c>
      <c r="AP356" s="1" t="s">
        <v>471</v>
      </c>
      <c r="AQ356" s="2" t="s">
        <v>102</v>
      </c>
      <c r="AR356" s="2" t="s">
        <v>76</v>
      </c>
      <c r="AS356" s="1">
        <v>1254.0</v>
      </c>
      <c r="AT356" s="1">
        <v>1254.0</v>
      </c>
      <c r="AU356" s="1">
        <v>551.0</v>
      </c>
      <c r="AV356" s="1">
        <v>32.0</v>
      </c>
      <c r="AW356" s="1">
        <v>107.0</v>
      </c>
      <c r="AX356" s="1">
        <v>6228.0</v>
      </c>
      <c r="AY356" s="1">
        <v>36.0</v>
      </c>
      <c r="AZ356" s="1" t="s">
        <v>239</v>
      </c>
      <c r="BA356" s="1" t="s">
        <v>121</v>
      </c>
    </row>
    <row r="357">
      <c r="A357" s="1" t="s">
        <v>1409</v>
      </c>
      <c r="B357" s="1" t="s">
        <v>53</v>
      </c>
      <c r="C357" s="1">
        <v>2015.0</v>
      </c>
      <c r="D357" s="1" t="s">
        <v>1410</v>
      </c>
      <c r="E357" s="1" t="s">
        <v>1411</v>
      </c>
      <c r="F357" s="1" t="s">
        <v>1395</v>
      </c>
      <c r="G357" s="1" t="s">
        <v>1412</v>
      </c>
      <c r="H357" s="1" t="s">
        <v>1413</v>
      </c>
      <c r="I357" s="1">
        <v>112.0</v>
      </c>
      <c r="J357" s="1">
        <v>18.0</v>
      </c>
      <c r="K357" s="2" t="s">
        <v>1414</v>
      </c>
      <c r="L357" s="2" t="s">
        <v>60</v>
      </c>
      <c r="M357" s="1" t="s">
        <v>1427</v>
      </c>
      <c r="N357" s="1" t="s">
        <v>62</v>
      </c>
      <c r="O357" s="1" t="s">
        <v>92</v>
      </c>
      <c r="P357" s="1" t="s">
        <v>878</v>
      </c>
      <c r="Q357" s="1">
        <v>16.98567</v>
      </c>
      <c r="R357" s="1">
        <v>-89.674358</v>
      </c>
      <c r="S357" s="1" t="s">
        <v>148</v>
      </c>
      <c r="T357" s="2" t="s">
        <v>474</v>
      </c>
      <c r="U357" s="2" t="s">
        <v>96</v>
      </c>
      <c r="V357" s="3" t="s">
        <v>97</v>
      </c>
      <c r="W357" s="1" t="s">
        <v>468</v>
      </c>
      <c r="X357" s="1" t="s">
        <v>483</v>
      </c>
      <c r="Y357" s="6" t="s">
        <v>76</v>
      </c>
      <c r="Z357" s="3" t="s">
        <v>76</v>
      </c>
      <c r="AB357" s="1">
        <v>1.0</v>
      </c>
      <c r="AI357" s="1" t="s">
        <v>1416</v>
      </c>
      <c r="AJ357" s="1">
        <v>-2000.0</v>
      </c>
      <c r="AK357" s="1">
        <v>1950.0</v>
      </c>
      <c r="AL357" s="2" t="s">
        <v>73</v>
      </c>
      <c r="AM357" s="2" t="s">
        <v>72</v>
      </c>
      <c r="AN357" s="2" t="s">
        <v>132</v>
      </c>
      <c r="AO357" s="2" t="s">
        <v>60</v>
      </c>
      <c r="AP357" s="1" t="s">
        <v>471</v>
      </c>
      <c r="AQ357" s="2" t="s">
        <v>102</v>
      </c>
      <c r="AR357" s="2" t="s">
        <v>76</v>
      </c>
      <c r="AS357" s="1">
        <v>1757.0</v>
      </c>
      <c r="AT357" s="1">
        <v>1757.0</v>
      </c>
      <c r="AU357" s="1">
        <v>704.0</v>
      </c>
      <c r="AV357" s="1">
        <v>37.0</v>
      </c>
      <c r="AW357" s="1">
        <v>141.0</v>
      </c>
      <c r="AX357" s="1">
        <v>5662.0</v>
      </c>
      <c r="AY357" s="1">
        <v>118.0</v>
      </c>
      <c r="AZ357" s="1" t="s">
        <v>133</v>
      </c>
      <c r="BA357" s="1" t="s">
        <v>121</v>
      </c>
    </row>
    <row r="358">
      <c r="A358" s="1" t="s">
        <v>1626</v>
      </c>
      <c r="B358" s="1" t="s">
        <v>268</v>
      </c>
      <c r="C358" s="1">
        <v>2015.0</v>
      </c>
      <c r="D358" s="1" t="s">
        <v>1627</v>
      </c>
      <c r="E358" s="1" t="s">
        <v>1628</v>
      </c>
      <c r="H358" s="1" t="s">
        <v>1629</v>
      </c>
      <c r="I358" s="1">
        <v>25.0</v>
      </c>
      <c r="K358" s="2" t="s">
        <v>1630</v>
      </c>
      <c r="L358" s="2" t="s">
        <v>60</v>
      </c>
      <c r="M358" s="1" t="s">
        <v>2179</v>
      </c>
      <c r="N358" s="1" t="s">
        <v>62</v>
      </c>
      <c r="O358" s="1" t="s">
        <v>92</v>
      </c>
      <c r="P358" s="1" t="s">
        <v>1632</v>
      </c>
      <c r="Q358" s="1">
        <v>15.149667</v>
      </c>
      <c r="R358" s="1">
        <v>-92.751</v>
      </c>
      <c r="S358" s="1" t="s">
        <v>1108</v>
      </c>
      <c r="T358" s="2" t="s">
        <v>66</v>
      </c>
      <c r="U358" s="2" t="s">
        <v>2180</v>
      </c>
      <c r="V358" s="3" t="s">
        <v>171</v>
      </c>
      <c r="W358" s="1" t="s">
        <v>2181</v>
      </c>
      <c r="X358" s="1" t="s">
        <v>70</v>
      </c>
      <c r="Y358" s="5" t="s">
        <v>60</v>
      </c>
      <c r="Z358" s="3" t="s">
        <v>345</v>
      </c>
      <c r="AB358" s="1">
        <v>4.0</v>
      </c>
      <c r="AI358" s="1" t="s">
        <v>1633</v>
      </c>
      <c r="AJ358" s="1">
        <v>-4200.0</v>
      </c>
      <c r="AK358" s="1">
        <v>1100.0</v>
      </c>
      <c r="AL358" s="2" t="s">
        <v>73</v>
      </c>
      <c r="AM358" s="2" t="s">
        <v>72</v>
      </c>
      <c r="AN358" s="2" t="s">
        <v>132</v>
      </c>
      <c r="AO358" s="2" t="s">
        <v>60</v>
      </c>
      <c r="AQ358" s="2" t="s">
        <v>75</v>
      </c>
      <c r="AR358" s="2" t="s">
        <v>76</v>
      </c>
      <c r="AS358" s="1">
        <v>1799.0</v>
      </c>
      <c r="AT358" s="1">
        <v>1799.0</v>
      </c>
      <c r="AU358" s="1">
        <v>961.0</v>
      </c>
      <c r="AV358" s="1">
        <v>2.0</v>
      </c>
      <c r="AW358" s="1">
        <v>12.0</v>
      </c>
      <c r="AX358" s="1">
        <v>9833.0</v>
      </c>
      <c r="AY358" s="1">
        <v>1.0</v>
      </c>
      <c r="AZ358" s="1" t="s">
        <v>1162</v>
      </c>
      <c r="BA358" s="1" t="s">
        <v>659</v>
      </c>
    </row>
    <row r="359">
      <c r="A359" s="1" t="s">
        <v>1244</v>
      </c>
      <c r="B359" s="1" t="s">
        <v>53</v>
      </c>
      <c r="C359" s="1">
        <v>2015.0</v>
      </c>
      <c r="D359" s="1" t="s">
        <v>1245</v>
      </c>
      <c r="E359" s="1" t="s">
        <v>1246</v>
      </c>
      <c r="F359" s="1" t="s">
        <v>1247</v>
      </c>
      <c r="G359" s="1" t="s">
        <v>1248</v>
      </c>
      <c r="H359" s="1" t="s">
        <v>1249</v>
      </c>
      <c r="I359" s="1">
        <v>8.0</v>
      </c>
      <c r="J359" s="1">
        <v>3.0</v>
      </c>
      <c r="K359" s="2" t="s">
        <v>1250</v>
      </c>
      <c r="L359" s="2" t="s">
        <v>76</v>
      </c>
      <c r="M359" s="1" t="s">
        <v>1244</v>
      </c>
      <c r="N359" s="1" t="s">
        <v>62</v>
      </c>
      <c r="O359" s="1" t="s">
        <v>187</v>
      </c>
      <c r="P359" s="1" t="s">
        <v>1251</v>
      </c>
      <c r="Q359" s="1">
        <v>16.20855</v>
      </c>
      <c r="R359" s="1">
        <v>-89.07345</v>
      </c>
      <c r="S359" s="1" t="s">
        <v>94</v>
      </c>
      <c r="T359" s="2" t="s">
        <v>135</v>
      </c>
      <c r="U359" s="2" t="s">
        <v>96</v>
      </c>
      <c r="V359" s="3" t="s">
        <v>97</v>
      </c>
      <c r="W359" s="1" t="s">
        <v>1252</v>
      </c>
      <c r="X359" s="2" t="s">
        <v>99</v>
      </c>
      <c r="Y359" s="6" t="s">
        <v>76</v>
      </c>
      <c r="Z359" s="3" t="s">
        <v>76</v>
      </c>
      <c r="AF359" s="1">
        <v>18.0</v>
      </c>
      <c r="AJ359" s="1">
        <v>1550.0</v>
      </c>
      <c r="AK359" s="1">
        <v>2006.0</v>
      </c>
      <c r="AL359" s="2" t="s">
        <v>153</v>
      </c>
      <c r="AM359" s="3" t="s">
        <v>60</v>
      </c>
      <c r="AN359" s="2" t="s">
        <v>101</v>
      </c>
      <c r="AO359" s="2" t="s">
        <v>101</v>
      </c>
      <c r="AQ359" s="2" t="s">
        <v>102</v>
      </c>
      <c r="AR359" s="2" t="s">
        <v>60</v>
      </c>
      <c r="AS359" s="1">
        <v>3284.0</v>
      </c>
      <c r="AT359" s="1">
        <v>3284.0</v>
      </c>
      <c r="AU359" s="1">
        <v>1631.0</v>
      </c>
      <c r="AV359" s="1">
        <v>70.0</v>
      </c>
      <c r="AW359" s="1">
        <v>253.0</v>
      </c>
      <c r="AX359" s="1">
        <v>6997.0</v>
      </c>
      <c r="AY359" s="1">
        <v>319.0</v>
      </c>
      <c r="AZ359" s="1" t="s">
        <v>133</v>
      </c>
      <c r="BA359" s="1" t="s">
        <v>121</v>
      </c>
    </row>
    <row r="360">
      <c r="A360" s="1" t="s">
        <v>1727</v>
      </c>
      <c r="B360" s="1" t="s">
        <v>53</v>
      </c>
      <c r="C360" s="1">
        <v>2015.0</v>
      </c>
      <c r="D360" s="1" t="s">
        <v>1728</v>
      </c>
      <c r="E360" s="1" t="s">
        <v>1729</v>
      </c>
      <c r="F360" s="1" t="s">
        <v>1386</v>
      </c>
      <c r="G360" s="1" t="s">
        <v>1730</v>
      </c>
      <c r="H360" s="1" t="s">
        <v>1731</v>
      </c>
      <c r="I360" s="1">
        <v>115.0</v>
      </c>
      <c r="K360" s="2" t="s">
        <v>1732</v>
      </c>
      <c r="L360" s="2" t="s">
        <v>60</v>
      </c>
      <c r="M360" s="1" t="s">
        <v>1733</v>
      </c>
      <c r="N360" s="1" t="s">
        <v>62</v>
      </c>
      <c r="O360" s="1" t="s">
        <v>167</v>
      </c>
      <c r="P360" s="1" t="s">
        <v>512</v>
      </c>
      <c r="Q360" s="1">
        <v>17.0</v>
      </c>
      <c r="R360" s="1">
        <v>-89.5</v>
      </c>
      <c r="S360" s="1" t="s">
        <v>148</v>
      </c>
      <c r="T360" s="2" t="s">
        <v>80</v>
      </c>
      <c r="U360" s="3" t="s">
        <v>81</v>
      </c>
      <c r="V360" s="3" t="s">
        <v>68</v>
      </c>
      <c r="W360" s="1" t="s">
        <v>1734</v>
      </c>
      <c r="X360" s="2" t="s">
        <v>928</v>
      </c>
      <c r="Y360" s="6" t="s">
        <v>76</v>
      </c>
      <c r="Z360" s="3" t="s">
        <v>84</v>
      </c>
      <c r="AB360" s="1">
        <v>12.0</v>
      </c>
      <c r="AI360" s="1" t="s">
        <v>523</v>
      </c>
      <c r="AJ360" s="1">
        <v>-8500.0</v>
      </c>
      <c r="AK360" s="1">
        <v>1950.0</v>
      </c>
      <c r="AL360" s="2" t="s">
        <v>73</v>
      </c>
      <c r="AM360" s="2" t="s">
        <v>60</v>
      </c>
      <c r="AN360" s="2" t="s">
        <v>132</v>
      </c>
      <c r="AO360" s="2" t="s">
        <v>72</v>
      </c>
      <c r="AQ360" s="2" t="s">
        <v>75</v>
      </c>
      <c r="AR360" s="2" t="s">
        <v>76</v>
      </c>
      <c r="AS360" s="1">
        <v>1860.0</v>
      </c>
      <c r="AT360" s="1">
        <v>1860.0</v>
      </c>
      <c r="AU360" s="1">
        <v>756.0</v>
      </c>
      <c r="AV360" s="1">
        <v>41.0</v>
      </c>
      <c r="AW360" s="1">
        <v>153.0</v>
      </c>
      <c r="AX360" s="1">
        <v>5571.0</v>
      </c>
      <c r="AY360" s="1">
        <v>226.0</v>
      </c>
      <c r="AZ360" s="1" t="s">
        <v>133</v>
      </c>
      <c r="BA360" s="1" t="s">
        <v>121</v>
      </c>
    </row>
    <row r="361">
      <c r="A361" s="1" t="s">
        <v>1727</v>
      </c>
      <c r="B361" s="1" t="s">
        <v>53</v>
      </c>
      <c r="C361" s="1">
        <v>2015.0</v>
      </c>
      <c r="D361" s="1" t="s">
        <v>1728</v>
      </c>
      <c r="E361" s="1" t="s">
        <v>1729</v>
      </c>
      <c r="F361" s="1" t="s">
        <v>1386</v>
      </c>
      <c r="G361" s="1" t="s">
        <v>1730</v>
      </c>
      <c r="H361" s="1" t="s">
        <v>1731</v>
      </c>
      <c r="I361" s="1">
        <v>115.0</v>
      </c>
      <c r="K361" s="2" t="s">
        <v>1732</v>
      </c>
      <c r="L361" s="2" t="s">
        <v>60</v>
      </c>
      <c r="M361" s="1" t="s">
        <v>1735</v>
      </c>
      <c r="N361" s="1" t="s">
        <v>62</v>
      </c>
      <c r="O361" s="1" t="s">
        <v>167</v>
      </c>
      <c r="P361" s="1" t="s">
        <v>512</v>
      </c>
      <c r="Q361" s="1">
        <v>17.0</v>
      </c>
      <c r="R361" s="1">
        <v>-89.5</v>
      </c>
      <c r="S361" s="1" t="s">
        <v>148</v>
      </c>
      <c r="T361" s="2" t="s">
        <v>194</v>
      </c>
      <c r="U361" s="1" t="s">
        <v>1736</v>
      </c>
      <c r="V361" s="3" t="s">
        <v>68</v>
      </c>
      <c r="W361" s="1" t="s">
        <v>1737</v>
      </c>
      <c r="X361" s="1" t="s">
        <v>70</v>
      </c>
      <c r="Y361" s="6" t="s">
        <v>76</v>
      </c>
      <c r="Z361" s="3" t="s">
        <v>173</v>
      </c>
      <c r="AB361" s="1">
        <v>12.0</v>
      </c>
      <c r="AI361" s="1" t="s">
        <v>523</v>
      </c>
      <c r="AJ361" s="1">
        <v>-8500.0</v>
      </c>
      <c r="AK361" s="1">
        <v>1950.0</v>
      </c>
      <c r="AL361" s="2" t="s">
        <v>73</v>
      </c>
      <c r="AM361" s="2" t="s">
        <v>60</v>
      </c>
      <c r="AN361" s="2" t="s">
        <v>132</v>
      </c>
      <c r="AO361" s="2" t="s">
        <v>72</v>
      </c>
      <c r="AQ361" s="2" t="s">
        <v>75</v>
      </c>
      <c r="AR361" s="2" t="s">
        <v>76</v>
      </c>
      <c r="AS361" s="1">
        <v>1860.0</v>
      </c>
      <c r="AT361" s="1">
        <v>1860.0</v>
      </c>
      <c r="AU361" s="1">
        <v>756.0</v>
      </c>
      <c r="AV361" s="1">
        <v>41.0</v>
      </c>
      <c r="AW361" s="1">
        <v>153.0</v>
      </c>
      <c r="AX361" s="1">
        <v>5571.0</v>
      </c>
      <c r="AY361" s="1">
        <v>226.0</v>
      </c>
      <c r="AZ361" s="1" t="s">
        <v>133</v>
      </c>
      <c r="BA361" s="1" t="s">
        <v>121</v>
      </c>
    </row>
    <row r="362">
      <c r="A362" s="1" t="s">
        <v>1446</v>
      </c>
      <c r="B362" s="1" t="s">
        <v>53</v>
      </c>
      <c r="C362" s="1">
        <v>2015.0</v>
      </c>
      <c r="D362" s="1" t="s">
        <v>1447</v>
      </c>
      <c r="E362" s="1" t="s">
        <v>1448</v>
      </c>
      <c r="F362" s="1" t="s">
        <v>1186</v>
      </c>
      <c r="G362" s="1" t="s">
        <v>1449</v>
      </c>
      <c r="H362" s="1" t="s">
        <v>1450</v>
      </c>
      <c r="I362" s="1">
        <v>365.0</v>
      </c>
      <c r="K362" s="2" t="s">
        <v>1451</v>
      </c>
      <c r="L362" s="2" t="s">
        <v>60</v>
      </c>
      <c r="M362" s="1" t="s">
        <v>1452</v>
      </c>
      <c r="N362" s="1" t="s">
        <v>62</v>
      </c>
      <c r="O362" s="1" t="s">
        <v>92</v>
      </c>
      <c r="P362" s="1" t="s">
        <v>1453</v>
      </c>
      <c r="Q362" s="1">
        <v>17.718838</v>
      </c>
      <c r="R362" s="1">
        <v>-91.695387</v>
      </c>
      <c r="S362" s="1" t="s">
        <v>1454</v>
      </c>
      <c r="T362" s="2" t="s">
        <v>135</v>
      </c>
      <c r="U362" s="2" t="s">
        <v>1455</v>
      </c>
      <c r="V362" s="3" t="s">
        <v>97</v>
      </c>
      <c r="W362" s="1" t="s">
        <v>1456</v>
      </c>
      <c r="X362" s="1" t="s">
        <v>256</v>
      </c>
      <c r="Y362" s="6" t="s">
        <v>76</v>
      </c>
      <c r="Z362" s="3" t="s">
        <v>76</v>
      </c>
      <c r="AB362" s="1">
        <v>7.0</v>
      </c>
      <c r="AC362" s="1">
        <v>3.0</v>
      </c>
      <c r="AI362" s="1" t="s">
        <v>1457</v>
      </c>
      <c r="AJ362" s="1">
        <v>-65000.0</v>
      </c>
      <c r="AK362" s="1">
        <v>980.0</v>
      </c>
      <c r="AL362" s="2" t="s">
        <v>100</v>
      </c>
      <c r="AM362" s="2" t="s">
        <v>76</v>
      </c>
      <c r="AN362" s="2" t="s">
        <v>72</v>
      </c>
      <c r="AO362" s="2" t="s">
        <v>72</v>
      </c>
      <c r="AQ362" s="2" t="s">
        <v>75</v>
      </c>
      <c r="AR362" s="2" t="s">
        <v>76</v>
      </c>
      <c r="AS362" s="1">
        <v>2096.0</v>
      </c>
      <c r="AT362" s="1">
        <v>2096.0</v>
      </c>
      <c r="AU362" s="1">
        <v>892.0</v>
      </c>
      <c r="AV362" s="1">
        <v>57.0</v>
      </c>
      <c r="AW362" s="1">
        <v>205.0</v>
      </c>
      <c r="AX362" s="1">
        <v>5426.0</v>
      </c>
      <c r="AY362" s="1">
        <v>15.0</v>
      </c>
      <c r="AZ362" s="1" t="s">
        <v>1401</v>
      </c>
      <c r="BA362" s="1" t="s">
        <v>121</v>
      </c>
    </row>
    <row r="363">
      <c r="A363" s="1" t="s">
        <v>1446</v>
      </c>
      <c r="B363" s="1" t="s">
        <v>53</v>
      </c>
      <c r="C363" s="1">
        <v>2015.0</v>
      </c>
      <c r="D363" s="1" t="s">
        <v>1447</v>
      </c>
      <c r="E363" s="1" t="s">
        <v>1448</v>
      </c>
      <c r="F363" s="1" t="s">
        <v>1186</v>
      </c>
      <c r="G363" s="1" t="s">
        <v>1449</v>
      </c>
      <c r="H363" s="1" t="s">
        <v>1450</v>
      </c>
      <c r="I363" s="1">
        <v>365.0</v>
      </c>
      <c r="K363" s="2" t="s">
        <v>1451</v>
      </c>
      <c r="L363" s="2" t="s">
        <v>60</v>
      </c>
      <c r="M363" s="1" t="s">
        <v>1458</v>
      </c>
      <c r="N363" s="1" t="s">
        <v>62</v>
      </c>
      <c r="O363" s="1" t="s">
        <v>92</v>
      </c>
      <c r="P363" s="1" t="s">
        <v>1453</v>
      </c>
      <c r="Q363" s="1">
        <v>17.718838</v>
      </c>
      <c r="R363" s="1">
        <v>-91.695387</v>
      </c>
      <c r="S363" s="1" t="s">
        <v>1454</v>
      </c>
      <c r="T363" s="2" t="s">
        <v>1459</v>
      </c>
      <c r="U363" s="1" t="s">
        <v>1460</v>
      </c>
      <c r="V363" s="3" t="s">
        <v>97</v>
      </c>
      <c r="W363" s="1" t="s">
        <v>1461</v>
      </c>
      <c r="X363" s="1" t="s">
        <v>279</v>
      </c>
      <c r="Y363" s="6" t="s">
        <v>76</v>
      </c>
      <c r="Z363" s="3" t="s">
        <v>76</v>
      </c>
      <c r="AB363" s="1">
        <v>7.0</v>
      </c>
      <c r="AC363" s="1">
        <v>3.0</v>
      </c>
      <c r="AI363" s="1" t="s">
        <v>1457</v>
      </c>
      <c r="AJ363" s="1">
        <v>-65000.0</v>
      </c>
      <c r="AK363" s="1">
        <v>980.0</v>
      </c>
      <c r="AL363" s="2" t="s">
        <v>100</v>
      </c>
      <c r="AM363" s="2" t="s">
        <v>76</v>
      </c>
      <c r="AN363" s="2" t="s">
        <v>72</v>
      </c>
      <c r="AO363" s="2" t="s">
        <v>72</v>
      </c>
      <c r="AQ363" s="2" t="s">
        <v>75</v>
      </c>
      <c r="AR363" s="2" t="s">
        <v>76</v>
      </c>
      <c r="AS363" s="1">
        <v>2096.0</v>
      </c>
      <c r="AT363" s="1">
        <v>2096.0</v>
      </c>
      <c r="AU363" s="1">
        <v>892.0</v>
      </c>
      <c r="AV363" s="1">
        <v>57.0</v>
      </c>
      <c r="AW363" s="1">
        <v>205.0</v>
      </c>
      <c r="AX363" s="1">
        <v>5426.0</v>
      </c>
      <c r="AY363" s="1">
        <v>15.0</v>
      </c>
      <c r="AZ363" s="1" t="s">
        <v>1401</v>
      </c>
      <c r="BA363" s="1" t="s">
        <v>121</v>
      </c>
    </row>
    <row r="364">
      <c r="A364" s="1" t="s">
        <v>1446</v>
      </c>
      <c r="B364" s="1" t="s">
        <v>53</v>
      </c>
      <c r="C364" s="1">
        <v>2015.0</v>
      </c>
      <c r="D364" s="1" t="s">
        <v>1447</v>
      </c>
      <c r="E364" s="1" t="s">
        <v>1448</v>
      </c>
      <c r="F364" s="1" t="s">
        <v>1186</v>
      </c>
      <c r="G364" s="1" t="s">
        <v>1449</v>
      </c>
      <c r="H364" s="1" t="s">
        <v>1450</v>
      </c>
      <c r="I364" s="1">
        <v>365.0</v>
      </c>
      <c r="K364" s="2" t="s">
        <v>1451</v>
      </c>
      <c r="L364" s="2" t="s">
        <v>60</v>
      </c>
      <c r="M364" s="1" t="s">
        <v>1462</v>
      </c>
      <c r="N364" s="1" t="s">
        <v>62</v>
      </c>
      <c r="O364" s="1" t="s">
        <v>92</v>
      </c>
      <c r="P364" s="1" t="s">
        <v>1453</v>
      </c>
      <c r="Q364" s="1">
        <v>17.718838</v>
      </c>
      <c r="R364" s="1">
        <v>-91.695387</v>
      </c>
      <c r="S364" s="1" t="s">
        <v>1454</v>
      </c>
      <c r="T364" s="2" t="s">
        <v>293</v>
      </c>
      <c r="U364" s="3" t="s">
        <v>1353</v>
      </c>
      <c r="V364" s="3" t="s">
        <v>788</v>
      </c>
      <c r="W364" s="1" t="s">
        <v>1463</v>
      </c>
      <c r="X364" s="1" t="s">
        <v>70</v>
      </c>
      <c r="Y364" s="5" t="s">
        <v>60</v>
      </c>
      <c r="Z364" s="3" t="s">
        <v>118</v>
      </c>
      <c r="AB364" s="1">
        <v>7.0</v>
      </c>
      <c r="AC364" s="1">
        <v>3.0</v>
      </c>
      <c r="AI364" s="1" t="s">
        <v>1457</v>
      </c>
      <c r="AJ364" s="1">
        <v>-65000.0</v>
      </c>
      <c r="AK364" s="1">
        <v>980.0</v>
      </c>
      <c r="AL364" s="2" t="s">
        <v>100</v>
      </c>
      <c r="AM364" s="2" t="s">
        <v>76</v>
      </c>
      <c r="AN364" s="2" t="s">
        <v>72</v>
      </c>
      <c r="AO364" s="2" t="s">
        <v>72</v>
      </c>
      <c r="AQ364" s="2" t="s">
        <v>75</v>
      </c>
      <c r="AR364" s="2" t="s">
        <v>76</v>
      </c>
      <c r="AS364" s="1">
        <v>2096.0</v>
      </c>
      <c r="AT364" s="1">
        <v>2096.0</v>
      </c>
      <c r="AU364" s="1">
        <v>892.0</v>
      </c>
      <c r="AV364" s="1">
        <v>57.0</v>
      </c>
      <c r="AW364" s="1">
        <v>205.0</v>
      </c>
      <c r="AX364" s="1">
        <v>5426.0</v>
      </c>
      <c r="AY364" s="1">
        <v>15.0</v>
      </c>
      <c r="AZ364" s="1" t="s">
        <v>1401</v>
      </c>
      <c r="BA364" s="1" t="s">
        <v>121</v>
      </c>
    </row>
    <row r="365">
      <c r="A365" s="1" t="s">
        <v>1446</v>
      </c>
      <c r="B365" s="1" t="s">
        <v>53</v>
      </c>
      <c r="C365" s="1">
        <v>2015.0</v>
      </c>
      <c r="D365" s="1" t="s">
        <v>1447</v>
      </c>
      <c r="E365" s="1" t="s">
        <v>1448</v>
      </c>
      <c r="F365" s="1" t="s">
        <v>1186</v>
      </c>
      <c r="G365" s="1" t="s">
        <v>1449</v>
      </c>
      <c r="H365" s="1" t="s">
        <v>1450</v>
      </c>
      <c r="I365" s="1">
        <v>365.0</v>
      </c>
      <c r="K365" s="2" t="s">
        <v>1451</v>
      </c>
      <c r="L365" s="2" t="s">
        <v>60</v>
      </c>
      <c r="M365" s="1" t="s">
        <v>1464</v>
      </c>
      <c r="N365" s="1" t="s">
        <v>62</v>
      </c>
      <c r="O365" s="1" t="s">
        <v>92</v>
      </c>
      <c r="P365" s="1" t="s">
        <v>1453</v>
      </c>
      <c r="Q365" s="1">
        <v>17.718838</v>
      </c>
      <c r="R365" s="1">
        <v>-91.695387</v>
      </c>
      <c r="S365" s="1" t="s">
        <v>1454</v>
      </c>
      <c r="T365" s="2" t="s">
        <v>275</v>
      </c>
      <c r="U365" s="1" t="s">
        <v>1460</v>
      </c>
      <c r="V365" s="3" t="s">
        <v>97</v>
      </c>
      <c r="W365" s="1" t="s">
        <v>278</v>
      </c>
      <c r="X365" s="1" t="s">
        <v>279</v>
      </c>
      <c r="Y365" s="6" t="s">
        <v>76</v>
      </c>
      <c r="Z365" s="3" t="s">
        <v>76</v>
      </c>
      <c r="AB365" s="1">
        <v>7.0</v>
      </c>
      <c r="AC365" s="1">
        <v>3.0</v>
      </c>
      <c r="AI365" s="1" t="s">
        <v>1457</v>
      </c>
      <c r="AJ365" s="1">
        <v>-65000.0</v>
      </c>
      <c r="AK365" s="1">
        <v>980.0</v>
      </c>
      <c r="AL365" s="2" t="s">
        <v>100</v>
      </c>
      <c r="AM365" s="2" t="s">
        <v>76</v>
      </c>
      <c r="AN365" s="2" t="s">
        <v>72</v>
      </c>
      <c r="AO365" s="2" t="s">
        <v>72</v>
      </c>
      <c r="AQ365" s="2" t="s">
        <v>75</v>
      </c>
      <c r="AR365" s="2" t="s">
        <v>76</v>
      </c>
      <c r="AS365" s="1">
        <v>2096.0</v>
      </c>
      <c r="AT365" s="1">
        <v>2096.0</v>
      </c>
      <c r="AU365" s="1">
        <v>892.0</v>
      </c>
      <c r="AV365" s="1">
        <v>57.0</v>
      </c>
      <c r="AW365" s="1">
        <v>205.0</v>
      </c>
      <c r="AX365" s="1">
        <v>5426.0</v>
      </c>
      <c r="AY365" s="1">
        <v>15.0</v>
      </c>
      <c r="AZ365" s="1" t="s">
        <v>1401</v>
      </c>
      <c r="BA365" s="1" t="s">
        <v>121</v>
      </c>
    </row>
    <row r="366">
      <c r="A366" s="1" t="s">
        <v>969</v>
      </c>
      <c r="B366" s="1" t="s">
        <v>53</v>
      </c>
      <c r="C366" s="1">
        <v>2015.0</v>
      </c>
      <c r="D366" s="1" t="s">
        <v>970</v>
      </c>
      <c r="E366" s="1" t="s">
        <v>971</v>
      </c>
      <c r="F366" s="1" t="s">
        <v>732</v>
      </c>
      <c r="G366" s="1" t="s">
        <v>972</v>
      </c>
      <c r="H366" s="1" t="s">
        <v>973</v>
      </c>
      <c r="I366" s="1">
        <v>54.0</v>
      </c>
      <c r="J366" s="1">
        <v>4.0</v>
      </c>
      <c r="K366" s="2" t="s">
        <v>974</v>
      </c>
      <c r="L366" s="2" t="s">
        <v>60</v>
      </c>
      <c r="M366" s="1" t="s">
        <v>975</v>
      </c>
      <c r="N366" s="1" t="s">
        <v>62</v>
      </c>
      <c r="O366" s="1" t="s">
        <v>112</v>
      </c>
      <c r="P366" s="1" t="s">
        <v>597</v>
      </c>
      <c r="Q366" s="1">
        <v>8.812</v>
      </c>
      <c r="R366" s="1">
        <v>-82.961</v>
      </c>
      <c r="S366" s="1" t="s">
        <v>148</v>
      </c>
      <c r="T366" s="2" t="s">
        <v>189</v>
      </c>
      <c r="U366" s="10" t="s">
        <v>976</v>
      </c>
      <c r="V366" s="3" t="s">
        <v>116</v>
      </c>
      <c r="W366" s="1" t="s">
        <v>977</v>
      </c>
      <c r="X366" s="1" t="s">
        <v>70</v>
      </c>
      <c r="Y366" s="6" t="s">
        <v>76</v>
      </c>
      <c r="Z366" s="3" t="s">
        <v>173</v>
      </c>
      <c r="AB366" s="1">
        <v>3.0</v>
      </c>
      <c r="AI366" s="1" t="s">
        <v>978</v>
      </c>
      <c r="AJ366" s="1">
        <v>0.0</v>
      </c>
      <c r="AK366" s="1">
        <v>1950.0</v>
      </c>
      <c r="AL366" s="2" t="s">
        <v>73</v>
      </c>
      <c r="AM366" s="2" t="s">
        <v>72</v>
      </c>
      <c r="AN366" s="1" t="s">
        <v>238</v>
      </c>
      <c r="AO366" s="2" t="s">
        <v>72</v>
      </c>
      <c r="AQ366" s="2" t="s">
        <v>102</v>
      </c>
      <c r="AR366" s="2" t="s">
        <v>76</v>
      </c>
      <c r="AS366" s="1">
        <v>2841.0</v>
      </c>
      <c r="AT366" s="1">
        <v>2841.0</v>
      </c>
      <c r="AU366" s="1">
        <v>1165.0</v>
      </c>
      <c r="AV366" s="1">
        <v>40.0</v>
      </c>
      <c r="AW366" s="1">
        <v>166.0</v>
      </c>
      <c r="AX366" s="1">
        <v>6482.0</v>
      </c>
      <c r="AY366" s="1">
        <v>1094.0</v>
      </c>
      <c r="AZ366" s="1" t="s">
        <v>154</v>
      </c>
      <c r="BA366" s="1" t="s">
        <v>121</v>
      </c>
    </row>
    <row r="367">
      <c r="A367" s="1" t="s">
        <v>969</v>
      </c>
      <c r="B367" s="1" t="s">
        <v>53</v>
      </c>
      <c r="C367" s="1">
        <v>2015.0</v>
      </c>
      <c r="D367" s="1" t="s">
        <v>970</v>
      </c>
      <c r="E367" s="1" t="s">
        <v>971</v>
      </c>
      <c r="F367" s="1" t="s">
        <v>732</v>
      </c>
      <c r="G367" s="1" t="s">
        <v>972</v>
      </c>
      <c r="H367" s="1" t="s">
        <v>973</v>
      </c>
      <c r="I367" s="1">
        <v>54.0</v>
      </c>
      <c r="J367" s="1">
        <v>4.0</v>
      </c>
      <c r="K367" s="2" t="s">
        <v>974</v>
      </c>
      <c r="L367" s="2" t="s">
        <v>60</v>
      </c>
      <c r="M367" s="1" t="s">
        <v>979</v>
      </c>
      <c r="N367" s="1" t="s">
        <v>62</v>
      </c>
      <c r="O367" s="1" t="s">
        <v>112</v>
      </c>
      <c r="P367" s="1" t="s">
        <v>597</v>
      </c>
      <c r="Q367" s="1">
        <v>8.812</v>
      </c>
      <c r="R367" s="1">
        <v>-82.961</v>
      </c>
      <c r="S367" s="1" t="s">
        <v>148</v>
      </c>
      <c r="T367" s="2" t="s">
        <v>189</v>
      </c>
      <c r="U367" s="10" t="s">
        <v>976</v>
      </c>
      <c r="V367" s="3" t="s">
        <v>116</v>
      </c>
      <c r="W367" s="1" t="s">
        <v>977</v>
      </c>
      <c r="X367" s="1" t="s">
        <v>70</v>
      </c>
      <c r="Y367" s="6" t="s">
        <v>76</v>
      </c>
      <c r="Z367" s="3" t="s">
        <v>173</v>
      </c>
      <c r="AB367" s="1">
        <v>2.0</v>
      </c>
      <c r="AI367" s="1" t="s">
        <v>980</v>
      </c>
      <c r="AJ367" s="1">
        <v>0.0</v>
      </c>
      <c r="AK367" s="1">
        <v>1950.0</v>
      </c>
      <c r="AL367" s="2" t="s">
        <v>100</v>
      </c>
      <c r="AM367" s="2" t="s">
        <v>72</v>
      </c>
      <c r="AN367" s="1" t="s">
        <v>238</v>
      </c>
      <c r="AO367" s="2" t="s">
        <v>72</v>
      </c>
      <c r="AQ367" s="2" t="s">
        <v>102</v>
      </c>
      <c r="AR367" s="2" t="s">
        <v>76</v>
      </c>
      <c r="AS367" s="1">
        <v>2841.0</v>
      </c>
      <c r="AT367" s="1">
        <v>2841.0</v>
      </c>
      <c r="AU367" s="1">
        <v>1165.0</v>
      </c>
      <c r="AV367" s="1">
        <v>40.0</v>
      </c>
      <c r="AW367" s="1">
        <v>166.0</v>
      </c>
      <c r="AX367" s="1">
        <v>6482.0</v>
      </c>
      <c r="AY367" s="1">
        <v>1094.0</v>
      </c>
      <c r="AZ367" s="1" t="s">
        <v>154</v>
      </c>
      <c r="BA367" s="1" t="s">
        <v>121</v>
      </c>
    </row>
    <row r="368">
      <c r="A368" s="1" t="s">
        <v>969</v>
      </c>
      <c r="B368" s="1" t="s">
        <v>53</v>
      </c>
      <c r="C368" s="1">
        <v>2015.0</v>
      </c>
      <c r="D368" s="1" t="s">
        <v>970</v>
      </c>
      <c r="E368" s="1" t="s">
        <v>971</v>
      </c>
      <c r="F368" s="1" t="s">
        <v>732</v>
      </c>
      <c r="G368" s="1" t="s">
        <v>972</v>
      </c>
      <c r="H368" s="1" t="s">
        <v>973</v>
      </c>
      <c r="I368" s="1">
        <v>54.0</v>
      </c>
      <c r="J368" s="1">
        <v>4.0</v>
      </c>
      <c r="K368" s="2" t="s">
        <v>974</v>
      </c>
      <c r="L368" s="2" t="s">
        <v>60</v>
      </c>
      <c r="M368" s="1" t="s">
        <v>981</v>
      </c>
      <c r="N368" s="1" t="s">
        <v>62</v>
      </c>
      <c r="O368" s="1" t="s">
        <v>112</v>
      </c>
      <c r="P368" s="1" t="s">
        <v>597</v>
      </c>
      <c r="Q368" s="1">
        <v>8.812</v>
      </c>
      <c r="R368" s="1">
        <v>-82.961</v>
      </c>
      <c r="S368" s="1" t="s">
        <v>148</v>
      </c>
      <c r="T368" s="2" t="s">
        <v>189</v>
      </c>
      <c r="U368" s="10" t="s">
        <v>976</v>
      </c>
      <c r="V368" s="3" t="s">
        <v>116</v>
      </c>
      <c r="W368" s="1" t="s">
        <v>977</v>
      </c>
      <c r="X368" s="1" t="s">
        <v>70</v>
      </c>
      <c r="Y368" s="6" t="s">
        <v>76</v>
      </c>
      <c r="Z368" s="3" t="s">
        <v>173</v>
      </c>
      <c r="AB368" s="1">
        <v>3.0</v>
      </c>
      <c r="AI368" s="1" t="s">
        <v>425</v>
      </c>
      <c r="AJ368" s="1">
        <v>0.0</v>
      </c>
      <c r="AK368" s="1">
        <v>1950.0</v>
      </c>
      <c r="AL368" s="2" t="s">
        <v>100</v>
      </c>
      <c r="AM368" s="2" t="s">
        <v>72</v>
      </c>
      <c r="AN368" s="1" t="s">
        <v>238</v>
      </c>
      <c r="AO368" s="2" t="s">
        <v>72</v>
      </c>
      <c r="AQ368" s="2" t="s">
        <v>102</v>
      </c>
      <c r="AR368" s="2" t="s">
        <v>76</v>
      </c>
      <c r="AS368" s="1">
        <v>2841.0</v>
      </c>
      <c r="AT368" s="1">
        <v>2841.0</v>
      </c>
      <c r="AU368" s="1">
        <v>1165.0</v>
      </c>
      <c r="AV368" s="1">
        <v>40.0</v>
      </c>
      <c r="AW368" s="1">
        <v>166.0</v>
      </c>
      <c r="AX368" s="1">
        <v>6482.0</v>
      </c>
      <c r="AY368" s="1">
        <v>1094.0</v>
      </c>
      <c r="AZ368" s="1" t="s">
        <v>154</v>
      </c>
      <c r="BA368" s="1" t="s">
        <v>121</v>
      </c>
    </row>
    <row r="369">
      <c r="A369" s="1" t="s">
        <v>969</v>
      </c>
      <c r="B369" s="1" t="s">
        <v>53</v>
      </c>
      <c r="C369" s="1">
        <v>2015.0</v>
      </c>
      <c r="D369" s="1" t="s">
        <v>970</v>
      </c>
      <c r="E369" s="1" t="s">
        <v>971</v>
      </c>
      <c r="F369" s="1" t="s">
        <v>732</v>
      </c>
      <c r="G369" s="1" t="s">
        <v>972</v>
      </c>
      <c r="H369" s="1" t="s">
        <v>973</v>
      </c>
      <c r="I369" s="1">
        <v>54.0</v>
      </c>
      <c r="J369" s="1">
        <v>4.0</v>
      </c>
      <c r="K369" s="2" t="s">
        <v>974</v>
      </c>
      <c r="L369" s="2" t="s">
        <v>60</v>
      </c>
      <c r="M369" s="1" t="s">
        <v>982</v>
      </c>
      <c r="N369" s="1" t="s">
        <v>62</v>
      </c>
      <c r="O369" s="1" t="s">
        <v>112</v>
      </c>
      <c r="P369" s="1" t="s">
        <v>597</v>
      </c>
      <c r="Q369" s="1">
        <v>8.812</v>
      </c>
      <c r="R369" s="1">
        <v>-82.961</v>
      </c>
      <c r="S369" s="1" t="s">
        <v>148</v>
      </c>
      <c r="T369" s="2" t="s">
        <v>189</v>
      </c>
      <c r="U369" s="10" t="s">
        <v>976</v>
      </c>
      <c r="V369" s="3" t="s">
        <v>116</v>
      </c>
      <c r="W369" s="1" t="s">
        <v>977</v>
      </c>
      <c r="X369" s="1" t="s">
        <v>70</v>
      </c>
      <c r="Y369" s="6" t="s">
        <v>76</v>
      </c>
      <c r="Z369" s="3" t="s">
        <v>173</v>
      </c>
      <c r="AB369" s="1">
        <v>2.0</v>
      </c>
      <c r="AI369" s="1" t="s">
        <v>983</v>
      </c>
      <c r="AJ369" s="1">
        <v>0.0</v>
      </c>
      <c r="AK369" s="1">
        <v>1950.0</v>
      </c>
      <c r="AL369" s="2" t="s">
        <v>73</v>
      </c>
      <c r="AM369" s="2" t="s">
        <v>72</v>
      </c>
      <c r="AN369" s="1" t="s">
        <v>238</v>
      </c>
      <c r="AO369" s="2" t="s">
        <v>72</v>
      </c>
      <c r="AQ369" s="2" t="s">
        <v>102</v>
      </c>
      <c r="AR369" s="2" t="s">
        <v>76</v>
      </c>
      <c r="AS369" s="1">
        <v>2841.0</v>
      </c>
      <c r="AT369" s="1">
        <v>2841.0</v>
      </c>
      <c r="AU369" s="1">
        <v>1165.0</v>
      </c>
      <c r="AV369" s="1">
        <v>40.0</v>
      </c>
      <c r="AW369" s="1">
        <v>166.0</v>
      </c>
      <c r="AX369" s="1">
        <v>6482.0</v>
      </c>
      <c r="AY369" s="1">
        <v>1094.0</v>
      </c>
      <c r="AZ369" s="1" t="s">
        <v>154</v>
      </c>
      <c r="BA369" s="1" t="s">
        <v>121</v>
      </c>
    </row>
    <row r="370">
      <c r="A370" s="1" t="s">
        <v>969</v>
      </c>
      <c r="B370" s="1" t="s">
        <v>53</v>
      </c>
      <c r="C370" s="1">
        <v>2015.0</v>
      </c>
      <c r="D370" s="1" t="s">
        <v>970</v>
      </c>
      <c r="E370" s="1" t="s">
        <v>971</v>
      </c>
      <c r="F370" s="1" t="s">
        <v>732</v>
      </c>
      <c r="G370" s="1" t="s">
        <v>972</v>
      </c>
      <c r="H370" s="1" t="s">
        <v>973</v>
      </c>
      <c r="I370" s="1">
        <v>54.0</v>
      </c>
      <c r="J370" s="1">
        <v>4.0</v>
      </c>
      <c r="K370" s="2" t="s">
        <v>974</v>
      </c>
      <c r="L370" s="2" t="s">
        <v>60</v>
      </c>
      <c r="M370" s="1" t="s">
        <v>984</v>
      </c>
      <c r="N370" s="1" t="s">
        <v>62</v>
      </c>
      <c r="O370" s="1" t="s">
        <v>112</v>
      </c>
      <c r="P370" s="1" t="s">
        <v>597</v>
      </c>
      <c r="Q370" s="1">
        <v>8.812</v>
      </c>
      <c r="R370" s="1">
        <v>-82.961</v>
      </c>
      <c r="S370" s="1" t="s">
        <v>148</v>
      </c>
      <c r="T370" s="2" t="s">
        <v>189</v>
      </c>
      <c r="U370" s="10" t="s">
        <v>976</v>
      </c>
      <c r="V370" s="3" t="s">
        <v>116</v>
      </c>
      <c r="W370" s="1" t="s">
        <v>977</v>
      </c>
      <c r="X370" s="1" t="s">
        <v>70</v>
      </c>
      <c r="Y370" s="6" t="s">
        <v>76</v>
      </c>
      <c r="Z370" s="3" t="s">
        <v>173</v>
      </c>
      <c r="AB370" s="1">
        <v>3.0</v>
      </c>
      <c r="AI370" s="1" t="s">
        <v>985</v>
      </c>
      <c r="AJ370" s="1">
        <v>0.0</v>
      </c>
      <c r="AK370" s="1">
        <v>1950.0</v>
      </c>
      <c r="AL370" s="2" t="s">
        <v>73</v>
      </c>
      <c r="AM370" s="2" t="s">
        <v>72</v>
      </c>
      <c r="AN370" s="1" t="s">
        <v>238</v>
      </c>
      <c r="AO370" s="2" t="s">
        <v>72</v>
      </c>
      <c r="AQ370" s="2" t="s">
        <v>102</v>
      </c>
      <c r="AR370" s="2" t="s">
        <v>76</v>
      </c>
      <c r="AS370" s="1">
        <v>2841.0</v>
      </c>
      <c r="AT370" s="1">
        <v>2841.0</v>
      </c>
      <c r="AU370" s="1">
        <v>1165.0</v>
      </c>
      <c r="AV370" s="1">
        <v>40.0</v>
      </c>
      <c r="AW370" s="1">
        <v>166.0</v>
      </c>
      <c r="AX370" s="1">
        <v>6482.0</v>
      </c>
      <c r="AY370" s="1">
        <v>1094.0</v>
      </c>
      <c r="AZ370" s="1" t="s">
        <v>154</v>
      </c>
      <c r="BA370" s="1" t="s">
        <v>121</v>
      </c>
    </row>
    <row r="371">
      <c r="A371" s="1" t="s">
        <v>969</v>
      </c>
      <c r="B371" s="1" t="s">
        <v>53</v>
      </c>
      <c r="C371" s="1">
        <v>2015.0</v>
      </c>
      <c r="D371" s="1" t="s">
        <v>970</v>
      </c>
      <c r="E371" s="1" t="s">
        <v>971</v>
      </c>
      <c r="F371" s="1" t="s">
        <v>732</v>
      </c>
      <c r="G371" s="1" t="s">
        <v>972</v>
      </c>
      <c r="H371" s="1" t="s">
        <v>973</v>
      </c>
      <c r="I371" s="1">
        <v>54.0</v>
      </c>
      <c r="J371" s="1">
        <v>4.0</v>
      </c>
      <c r="K371" s="2" t="s">
        <v>974</v>
      </c>
      <c r="L371" s="2" t="s">
        <v>60</v>
      </c>
      <c r="M371" s="1" t="s">
        <v>986</v>
      </c>
      <c r="N371" s="1" t="s">
        <v>62</v>
      </c>
      <c r="O371" s="1" t="s">
        <v>112</v>
      </c>
      <c r="P371" s="1" t="s">
        <v>597</v>
      </c>
      <c r="Q371" s="1">
        <v>8.812</v>
      </c>
      <c r="R371" s="1">
        <v>-82.961</v>
      </c>
      <c r="S371" s="1" t="s">
        <v>148</v>
      </c>
      <c r="T371" s="2" t="s">
        <v>135</v>
      </c>
      <c r="U371" s="10" t="s">
        <v>976</v>
      </c>
      <c r="V371" s="3" t="s">
        <v>116</v>
      </c>
      <c r="W371" s="1" t="s">
        <v>987</v>
      </c>
      <c r="X371" s="2" t="s">
        <v>99</v>
      </c>
      <c r="Y371" s="6" t="s">
        <v>76</v>
      </c>
      <c r="Z371" s="3" t="s">
        <v>173</v>
      </c>
      <c r="AB371" s="1">
        <v>3.0</v>
      </c>
      <c r="AI371" s="1" t="s">
        <v>978</v>
      </c>
      <c r="AJ371" s="1">
        <v>0.0</v>
      </c>
      <c r="AK371" s="1">
        <v>1950.0</v>
      </c>
      <c r="AL371" s="2" t="s">
        <v>100</v>
      </c>
      <c r="AM371" s="2" t="s">
        <v>72</v>
      </c>
      <c r="AN371" s="1" t="s">
        <v>238</v>
      </c>
      <c r="AO371" s="2" t="s">
        <v>72</v>
      </c>
      <c r="AQ371" s="2" t="s">
        <v>102</v>
      </c>
      <c r="AR371" s="2" t="s">
        <v>76</v>
      </c>
      <c r="AS371" s="1">
        <v>2841.0</v>
      </c>
      <c r="AT371" s="1">
        <v>2841.0</v>
      </c>
      <c r="AU371" s="1">
        <v>1165.0</v>
      </c>
      <c r="AV371" s="1">
        <v>40.0</v>
      </c>
      <c r="AW371" s="1">
        <v>166.0</v>
      </c>
      <c r="AX371" s="1">
        <v>6482.0</v>
      </c>
      <c r="AY371" s="1">
        <v>1094.0</v>
      </c>
      <c r="AZ371" s="1" t="s">
        <v>154</v>
      </c>
      <c r="BA371" s="1" t="s">
        <v>121</v>
      </c>
    </row>
    <row r="372">
      <c r="A372" s="1" t="s">
        <v>969</v>
      </c>
      <c r="B372" s="1" t="s">
        <v>53</v>
      </c>
      <c r="C372" s="1">
        <v>2015.0</v>
      </c>
      <c r="D372" s="1" t="s">
        <v>970</v>
      </c>
      <c r="E372" s="1" t="s">
        <v>971</v>
      </c>
      <c r="F372" s="1" t="s">
        <v>732</v>
      </c>
      <c r="G372" s="1" t="s">
        <v>972</v>
      </c>
      <c r="H372" s="1" t="s">
        <v>973</v>
      </c>
      <c r="I372" s="1">
        <v>54.0</v>
      </c>
      <c r="J372" s="1">
        <v>4.0</v>
      </c>
      <c r="K372" s="2" t="s">
        <v>974</v>
      </c>
      <c r="L372" s="2" t="s">
        <v>60</v>
      </c>
      <c r="M372" s="1" t="s">
        <v>988</v>
      </c>
      <c r="N372" s="1" t="s">
        <v>62</v>
      </c>
      <c r="O372" s="1" t="s">
        <v>112</v>
      </c>
      <c r="P372" s="1" t="s">
        <v>597</v>
      </c>
      <c r="Q372" s="1">
        <v>8.812</v>
      </c>
      <c r="R372" s="1">
        <v>-82.961</v>
      </c>
      <c r="S372" s="1" t="s">
        <v>148</v>
      </c>
      <c r="T372" s="2" t="s">
        <v>135</v>
      </c>
      <c r="U372" s="10" t="s">
        <v>976</v>
      </c>
      <c r="V372" s="3" t="s">
        <v>116</v>
      </c>
      <c r="W372" s="1" t="s">
        <v>987</v>
      </c>
      <c r="X372" s="2" t="s">
        <v>99</v>
      </c>
      <c r="Y372" s="6" t="s">
        <v>76</v>
      </c>
      <c r="Z372" s="3" t="s">
        <v>173</v>
      </c>
      <c r="AB372" s="1">
        <v>2.0</v>
      </c>
      <c r="AI372" s="1" t="s">
        <v>980</v>
      </c>
      <c r="AJ372" s="1">
        <v>0.0</v>
      </c>
      <c r="AK372" s="1">
        <v>1950.0</v>
      </c>
      <c r="AL372" s="2" t="s">
        <v>100</v>
      </c>
      <c r="AM372" s="2" t="s">
        <v>72</v>
      </c>
      <c r="AN372" s="1" t="s">
        <v>238</v>
      </c>
      <c r="AO372" s="2" t="s">
        <v>72</v>
      </c>
      <c r="AQ372" s="2" t="s">
        <v>102</v>
      </c>
      <c r="AR372" s="2" t="s">
        <v>76</v>
      </c>
      <c r="AS372" s="1">
        <v>2841.0</v>
      </c>
      <c r="AT372" s="1">
        <v>2841.0</v>
      </c>
      <c r="AU372" s="1">
        <v>1165.0</v>
      </c>
      <c r="AV372" s="1">
        <v>40.0</v>
      </c>
      <c r="AW372" s="1">
        <v>166.0</v>
      </c>
      <c r="AX372" s="1">
        <v>6482.0</v>
      </c>
      <c r="AY372" s="1">
        <v>1094.0</v>
      </c>
      <c r="AZ372" s="1" t="s">
        <v>154</v>
      </c>
      <c r="BA372" s="1" t="s">
        <v>121</v>
      </c>
    </row>
    <row r="373">
      <c r="A373" s="1" t="s">
        <v>969</v>
      </c>
      <c r="B373" s="1" t="s">
        <v>53</v>
      </c>
      <c r="C373" s="1">
        <v>2015.0</v>
      </c>
      <c r="D373" s="1" t="s">
        <v>970</v>
      </c>
      <c r="E373" s="1" t="s">
        <v>971</v>
      </c>
      <c r="F373" s="1" t="s">
        <v>732</v>
      </c>
      <c r="G373" s="1" t="s">
        <v>972</v>
      </c>
      <c r="H373" s="1" t="s">
        <v>973</v>
      </c>
      <c r="I373" s="1">
        <v>54.0</v>
      </c>
      <c r="J373" s="1">
        <v>4.0</v>
      </c>
      <c r="K373" s="2" t="s">
        <v>974</v>
      </c>
      <c r="L373" s="2" t="s">
        <v>60</v>
      </c>
      <c r="M373" s="1" t="s">
        <v>989</v>
      </c>
      <c r="N373" s="1" t="s">
        <v>62</v>
      </c>
      <c r="O373" s="1" t="s">
        <v>112</v>
      </c>
      <c r="P373" s="1" t="s">
        <v>597</v>
      </c>
      <c r="Q373" s="1">
        <v>8.812</v>
      </c>
      <c r="R373" s="1">
        <v>-82.961</v>
      </c>
      <c r="S373" s="1" t="s">
        <v>148</v>
      </c>
      <c r="T373" s="2" t="s">
        <v>135</v>
      </c>
      <c r="U373" s="10" t="s">
        <v>976</v>
      </c>
      <c r="V373" s="3" t="s">
        <v>116</v>
      </c>
      <c r="W373" s="1" t="s">
        <v>987</v>
      </c>
      <c r="X373" s="2" t="s">
        <v>99</v>
      </c>
      <c r="Y373" s="6" t="s">
        <v>76</v>
      </c>
      <c r="Z373" s="3" t="s">
        <v>173</v>
      </c>
      <c r="AB373" s="1">
        <v>3.0</v>
      </c>
      <c r="AI373" s="1" t="s">
        <v>425</v>
      </c>
      <c r="AJ373" s="1">
        <v>0.0</v>
      </c>
      <c r="AK373" s="1">
        <v>1950.0</v>
      </c>
      <c r="AL373" s="2" t="s">
        <v>73</v>
      </c>
      <c r="AM373" s="2" t="s">
        <v>72</v>
      </c>
      <c r="AN373" s="1" t="s">
        <v>238</v>
      </c>
      <c r="AO373" s="2" t="s">
        <v>72</v>
      </c>
      <c r="AQ373" s="2" t="s">
        <v>102</v>
      </c>
      <c r="AR373" s="2" t="s">
        <v>76</v>
      </c>
      <c r="AS373" s="1">
        <v>2841.0</v>
      </c>
      <c r="AT373" s="1">
        <v>2841.0</v>
      </c>
      <c r="AU373" s="1">
        <v>1165.0</v>
      </c>
      <c r="AV373" s="1">
        <v>40.0</v>
      </c>
      <c r="AW373" s="1">
        <v>166.0</v>
      </c>
      <c r="AX373" s="1">
        <v>6482.0</v>
      </c>
      <c r="AY373" s="1">
        <v>1094.0</v>
      </c>
      <c r="AZ373" s="1" t="s">
        <v>154</v>
      </c>
      <c r="BA373" s="1" t="s">
        <v>121</v>
      </c>
    </row>
    <row r="374">
      <c r="A374" s="1" t="s">
        <v>969</v>
      </c>
      <c r="B374" s="1" t="s">
        <v>53</v>
      </c>
      <c r="C374" s="1">
        <v>2015.0</v>
      </c>
      <c r="D374" s="1" t="s">
        <v>970</v>
      </c>
      <c r="E374" s="1" t="s">
        <v>971</v>
      </c>
      <c r="F374" s="1" t="s">
        <v>732</v>
      </c>
      <c r="G374" s="1" t="s">
        <v>972</v>
      </c>
      <c r="H374" s="1" t="s">
        <v>973</v>
      </c>
      <c r="I374" s="1">
        <v>54.0</v>
      </c>
      <c r="J374" s="1">
        <v>4.0</v>
      </c>
      <c r="K374" s="2" t="s">
        <v>974</v>
      </c>
      <c r="L374" s="2" t="s">
        <v>60</v>
      </c>
      <c r="M374" s="1" t="s">
        <v>990</v>
      </c>
      <c r="N374" s="1" t="s">
        <v>62</v>
      </c>
      <c r="O374" s="1" t="s">
        <v>112</v>
      </c>
      <c r="P374" s="1" t="s">
        <v>597</v>
      </c>
      <c r="Q374" s="1">
        <v>8.812</v>
      </c>
      <c r="R374" s="1">
        <v>-82.961</v>
      </c>
      <c r="S374" s="1" t="s">
        <v>148</v>
      </c>
      <c r="T374" s="2" t="s">
        <v>135</v>
      </c>
      <c r="U374" s="10" t="s">
        <v>976</v>
      </c>
      <c r="V374" s="3" t="s">
        <v>116</v>
      </c>
      <c r="W374" s="1" t="s">
        <v>987</v>
      </c>
      <c r="X374" s="2" t="s">
        <v>99</v>
      </c>
      <c r="Y374" s="6" t="s">
        <v>76</v>
      </c>
      <c r="Z374" s="3" t="s">
        <v>173</v>
      </c>
      <c r="AB374" s="1">
        <v>2.0</v>
      </c>
      <c r="AI374" s="1" t="s">
        <v>983</v>
      </c>
      <c r="AJ374" s="1">
        <v>0.0</v>
      </c>
      <c r="AK374" s="1">
        <v>1950.0</v>
      </c>
      <c r="AL374" s="2" t="s">
        <v>73</v>
      </c>
      <c r="AM374" s="2" t="s">
        <v>72</v>
      </c>
      <c r="AN374" s="1" t="s">
        <v>238</v>
      </c>
      <c r="AO374" s="2" t="s">
        <v>72</v>
      </c>
      <c r="AQ374" s="2" t="s">
        <v>102</v>
      </c>
      <c r="AR374" s="2" t="s">
        <v>76</v>
      </c>
      <c r="AS374" s="1">
        <v>2841.0</v>
      </c>
      <c r="AT374" s="1">
        <v>2841.0</v>
      </c>
      <c r="AU374" s="1">
        <v>1165.0</v>
      </c>
      <c r="AV374" s="1">
        <v>40.0</v>
      </c>
      <c r="AW374" s="1">
        <v>166.0</v>
      </c>
      <c r="AX374" s="1">
        <v>6482.0</v>
      </c>
      <c r="AY374" s="1">
        <v>1094.0</v>
      </c>
      <c r="AZ374" s="1" t="s">
        <v>154</v>
      </c>
      <c r="BA374" s="1" t="s">
        <v>121</v>
      </c>
    </row>
    <row r="375">
      <c r="A375" s="1" t="s">
        <v>969</v>
      </c>
      <c r="B375" s="1" t="s">
        <v>53</v>
      </c>
      <c r="C375" s="1">
        <v>2015.0</v>
      </c>
      <c r="D375" s="1" t="s">
        <v>970</v>
      </c>
      <c r="E375" s="1" t="s">
        <v>971</v>
      </c>
      <c r="F375" s="1" t="s">
        <v>732</v>
      </c>
      <c r="G375" s="1" t="s">
        <v>972</v>
      </c>
      <c r="H375" s="1" t="s">
        <v>973</v>
      </c>
      <c r="I375" s="1">
        <v>54.0</v>
      </c>
      <c r="J375" s="1">
        <v>4.0</v>
      </c>
      <c r="K375" s="2" t="s">
        <v>974</v>
      </c>
      <c r="L375" s="2" t="s">
        <v>60</v>
      </c>
      <c r="M375" s="1" t="s">
        <v>991</v>
      </c>
      <c r="N375" s="1" t="s">
        <v>62</v>
      </c>
      <c r="O375" s="1" t="s">
        <v>112</v>
      </c>
      <c r="P375" s="1" t="s">
        <v>597</v>
      </c>
      <c r="Q375" s="1">
        <v>8.812</v>
      </c>
      <c r="R375" s="1">
        <v>-82.961</v>
      </c>
      <c r="S375" s="1" t="s">
        <v>148</v>
      </c>
      <c r="T375" s="2" t="s">
        <v>135</v>
      </c>
      <c r="U375" s="10" t="s">
        <v>976</v>
      </c>
      <c r="V375" s="3" t="s">
        <v>116</v>
      </c>
      <c r="W375" s="1" t="s">
        <v>987</v>
      </c>
      <c r="X375" s="2" t="s">
        <v>99</v>
      </c>
      <c r="Y375" s="6" t="s">
        <v>76</v>
      </c>
      <c r="Z375" s="3" t="s">
        <v>173</v>
      </c>
      <c r="AB375" s="1">
        <v>3.0</v>
      </c>
      <c r="AI375" s="1" t="s">
        <v>985</v>
      </c>
      <c r="AJ375" s="1">
        <v>0.0</v>
      </c>
      <c r="AK375" s="1">
        <v>1950.0</v>
      </c>
      <c r="AL375" s="2" t="s">
        <v>100</v>
      </c>
      <c r="AM375" s="2" t="s">
        <v>72</v>
      </c>
      <c r="AN375" s="1" t="s">
        <v>238</v>
      </c>
      <c r="AO375" s="2" t="s">
        <v>72</v>
      </c>
      <c r="AQ375" s="2" t="s">
        <v>102</v>
      </c>
      <c r="AR375" s="2" t="s">
        <v>76</v>
      </c>
      <c r="AS375" s="1">
        <v>2841.0</v>
      </c>
      <c r="AT375" s="1">
        <v>2841.0</v>
      </c>
      <c r="AU375" s="1">
        <v>1165.0</v>
      </c>
      <c r="AV375" s="1">
        <v>40.0</v>
      </c>
      <c r="AW375" s="1">
        <v>166.0</v>
      </c>
      <c r="AX375" s="1">
        <v>6482.0</v>
      </c>
      <c r="AY375" s="1">
        <v>1094.0</v>
      </c>
      <c r="AZ375" s="1" t="s">
        <v>154</v>
      </c>
      <c r="BA375" s="1" t="s">
        <v>121</v>
      </c>
    </row>
    <row r="376">
      <c r="A376" s="1" t="s">
        <v>969</v>
      </c>
      <c r="B376" s="1" t="s">
        <v>53</v>
      </c>
      <c r="C376" s="1">
        <v>2015.0</v>
      </c>
      <c r="D376" s="1" t="s">
        <v>970</v>
      </c>
      <c r="E376" s="1" t="s">
        <v>971</v>
      </c>
      <c r="F376" s="1" t="s">
        <v>732</v>
      </c>
      <c r="G376" s="1" t="s">
        <v>972</v>
      </c>
      <c r="H376" s="1" t="s">
        <v>973</v>
      </c>
      <c r="I376" s="1">
        <v>54.0</v>
      </c>
      <c r="J376" s="1">
        <v>4.0</v>
      </c>
      <c r="K376" s="2" t="s">
        <v>974</v>
      </c>
      <c r="L376" s="2" t="s">
        <v>60</v>
      </c>
      <c r="M376" s="1" t="s">
        <v>992</v>
      </c>
      <c r="N376" s="1" t="s">
        <v>62</v>
      </c>
      <c r="O376" s="1" t="s">
        <v>112</v>
      </c>
      <c r="P376" s="1" t="s">
        <v>597</v>
      </c>
      <c r="Q376" s="1">
        <v>8.812</v>
      </c>
      <c r="R376" s="1">
        <v>-82.961</v>
      </c>
      <c r="S376" s="1" t="s">
        <v>148</v>
      </c>
      <c r="T376" s="2" t="s">
        <v>194</v>
      </c>
      <c r="U376" s="10" t="s">
        <v>976</v>
      </c>
      <c r="V376" s="3" t="s">
        <v>116</v>
      </c>
      <c r="W376" s="1" t="s">
        <v>977</v>
      </c>
      <c r="X376" s="1" t="s">
        <v>70</v>
      </c>
      <c r="Y376" s="6" t="s">
        <v>76</v>
      </c>
      <c r="Z376" s="3" t="s">
        <v>173</v>
      </c>
      <c r="AB376" s="1">
        <v>3.0</v>
      </c>
      <c r="AI376" s="1" t="s">
        <v>978</v>
      </c>
      <c r="AJ376" s="1">
        <v>0.0</v>
      </c>
      <c r="AK376" s="1">
        <v>1950.0</v>
      </c>
      <c r="AL376" s="2" t="s">
        <v>100</v>
      </c>
      <c r="AM376" s="2" t="s">
        <v>72</v>
      </c>
      <c r="AN376" s="1" t="s">
        <v>238</v>
      </c>
      <c r="AO376" s="2" t="s">
        <v>72</v>
      </c>
      <c r="AQ376" s="2" t="s">
        <v>102</v>
      </c>
      <c r="AR376" s="2" t="s">
        <v>76</v>
      </c>
      <c r="AS376" s="1">
        <v>2841.0</v>
      </c>
      <c r="AT376" s="1">
        <v>2841.0</v>
      </c>
      <c r="AU376" s="1">
        <v>1165.0</v>
      </c>
      <c r="AV376" s="1">
        <v>40.0</v>
      </c>
      <c r="AW376" s="1">
        <v>166.0</v>
      </c>
      <c r="AX376" s="1">
        <v>6482.0</v>
      </c>
      <c r="AY376" s="1">
        <v>1094.0</v>
      </c>
      <c r="AZ376" s="1" t="s">
        <v>154</v>
      </c>
      <c r="BA376" s="1" t="s">
        <v>121</v>
      </c>
    </row>
    <row r="377">
      <c r="A377" s="1" t="s">
        <v>969</v>
      </c>
      <c r="B377" s="1" t="s">
        <v>53</v>
      </c>
      <c r="C377" s="1">
        <v>2015.0</v>
      </c>
      <c r="D377" s="1" t="s">
        <v>970</v>
      </c>
      <c r="E377" s="1" t="s">
        <v>971</v>
      </c>
      <c r="F377" s="1" t="s">
        <v>732</v>
      </c>
      <c r="G377" s="1" t="s">
        <v>972</v>
      </c>
      <c r="H377" s="1" t="s">
        <v>973</v>
      </c>
      <c r="I377" s="1">
        <v>54.0</v>
      </c>
      <c r="J377" s="1">
        <v>4.0</v>
      </c>
      <c r="K377" s="2" t="s">
        <v>974</v>
      </c>
      <c r="L377" s="2" t="s">
        <v>60</v>
      </c>
      <c r="M377" s="1" t="s">
        <v>1001</v>
      </c>
      <c r="N377" s="1" t="s">
        <v>62</v>
      </c>
      <c r="O377" s="1" t="s">
        <v>112</v>
      </c>
      <c r="P377" s="1" t="s">
        <v>597</v>
      </c>
      <c r="Q377" s="1">
        <v>8.812</v>
      </c>
      <c r="R377" s="1">
        <v>-82.961</v>
      </c>
      <c r="S377" s="1" t="s">
        <v>148</v>
      </c>
      <c r="T377" s="2" t="s">
        <v>194</v>
      </c>
      <c r="U377" s="10" t="s">
        <v>976</v>
      </c>
      <c r="V377" s="3" t="s">
        <v>116</v>
      </c>
      <c r="W377" s="1" t="s">
        <v>977</v>
      </c>
      <c r="X377" s="1" t="s">
        <v>70</v>
      </c>
      <c r="Y377" s="6" t="s">
        <v>76</v>
      </c>
      <c r="Z377" s="3" t="s">
        <v>173</v>
      </c>
      <c r="AB377" s="1">
        <v>2.0</v>
      </c>
      <c r="AI377" s="1" t="s">
        <v>980</v>
      </c>
      <c r="AJ377" s="1">
        <v>0.0</v>
      </c>
      <c r="AK377" s="1">
        <v>1950.0</v>
      </c>
      <c r="AL377" s="2" t="s">
        <v>73</v>
      </c>
      <c r="AM377" s="2" t="s">
        <v>72</v>
      </c>
      <c r="AN377" s="1" t="s">
        <v>238</v>
      </c>
      <c r="AO377" s="2" t="s">
        <v>72</v>
      </c>
      <c r="AQ377" s="2" t="s">
        <v>102</v>
      </c>
      <c r="AR377" s="2" t="s">
        <v>76</v>
      </c>
      <c r="AS377" s="1">
        <v>2841.0</v>
      </c>
      <c r="AT377" s="1">
        <v>2841.0</v>
      </c>
      <c r="AU377" s="1">
        <v>1165.0</v>
      </c>
      <c r="AV377" s="1">
        <v>40.0</v>
      </c>
      <c r="AW377" s="1">
        <v>166.0</v>
      </c>
      <c r="AX377" s="1">
        <v>6482.0</v>
      </c>
      <c r="AY377" s="1">
        <v>1094.0</v>
      </c>
      <c r="AZ377" s="1" t="s">
        <v>154</v>
      </c>
      <c r="BA377" s="1" t="s">
        <v>121</v>
      </c>
    </row>
    <row r="378">
      <c r="A378" s="1" t="s">
        <v>969</v>
      </c>
      <c r="B378" s="1" t="s">
        <v>53</v>
      </c>
      <c r="C378" s="1">
        <v>2015.0</v>
      </c>
      <c r="D378" s="1" t="s">
        <v>970</v>
      </c>
      <c r="E378" s="1" t="s">
        <v>971</v>
      </c>
      <c r="F378" s="1" t="s">
        <v>732</v>
      </c>
      <c r="G378" s="1" t="s">
        <v>972</v>
      </c>
      <c r="H378" s="1" t="s">
        <v>973</v>
      </c>
      <c r="I378" s="1">
        <v>54.0</v>
      </c>
      <c r="J378" s="1">
        <v>4.0</v>
      </c>
      <c r="K378" s="2" t="s">
        <v>974</v>
      </c>
      <c r="L378" s="2" t="s">
        <v>60</v>
      </c>
      <c r="M378" s="1" t="s">
        <v>1002</v>
      </c>
      <c r="N378" s="1" t="s">
        <v>62</v>
      </c>
      <c r="O378" s="1" t="s">
        <v>112</v>
      </c>
      <c r="P378" s="1" t="s">
        <v>597</v>
      </c>
      <c r="Q378" s="1">
        <v>8.812</v>
      </c>
      <c r="R378" s="1">
        <v>-82.961</v>
      </c>
      <c r="S378" s="1" t="s">
        <v>148</v>
      </c>
      <c r="T378" s="2" t="s">
        <v>194</v>
      </c>
      <c r="U378" s="10" t="s">
        <v>976</v>
      </c>
      <c r="V378" s="3" t="s">
        <v>116</v>
      </c>
      <c r="W378" s="1" t="s">
        <v>977</v>
      </c>
      <c r="X378" s="1" t="s">
        <v>70</v>
      </c>
      <c r="Y378" s="6" t="s">
        <v>76</v>
      </c>
      <c r="Z378" s="3" t="s">
        <v>173</v>
      </c>
      <c r="AB378" s="1">
        <v>3.0</v>
      </c>
      <c r="AI378" s="1" t="s">
        <v>425</v>
      </c>
      <c r="AJ378" s="1">
        <v>0.0</v>
      </c>
      <c r="AK378" s="1">
        <v>1950.0</v>
      </c>
      <c r="AL378" s="2" t="s">
        <v>73</v>
      </c>
      <c r="AM378" s="2" t="s">
        <v>72</v>
      </c>
      <c r="AN378" s="1" t="s">
        <v>238</v>
      </c>
      <c r="AO378" s="2" t="s">
        <v>72</v>
      </c>
      <c r="AQ378" s="2" t="s">
        <v>102</v>
      </c>
      <c r="AR378" s="2" t="s">
        <v>76</v>
      </c>
      <c r="AS378" s="1">
        <v>2841.0</v>
      </c>
      <c r="AT378" s="1">
        <v>2841.0</v>
      </c>
      <c r="AU378" s="1">
        <v>1165.0</v>
      </c>
      <c r="AV378" s="1">
        <v>40.0</v>
      </c>
      <c r="AW378" s="1">
        <v>166.0</v>
      </c>
      <c r="AX378" s="1">
        <v>6482.0</v>
      </c>
      <c r="AY378" s="1">
        <v>1094.0</v>
      </c>
      <c r="AZ378" s="1" t="s">
        <v>154</v>
      </c>
      <c r="BA378" s="1" t="s">
        <v>121</v>
      </c>
    </row>
    <row r="379">
      <c r="A379" s="1" t="s">
        <v>969</v>
      </c>
      <c r="B379" s="1" t="s">
        <v>53</v>
      </c>
      <c r="C379" s="1">
        <v>2015.0</v>
      </c>
      <c r="D379" s="1" t="s">
        <v>970</v>
      </c>
      <c r="E379" s="1" t="s">
        <v>971</v>
      </c>
      <c r="F379" s="1" t="s">
        <v>732</v>
      </c>
      <c r="G379" s="1" t="s">
        <v>972</v>
      </c>
      <c r="H379" s="1" t="s">
        <v>973</v>
      </c>
      <c r="I379" s="1">
        <v>54.0</v>
      </c>
      <c r="J379" s="1">
        <v>4.0</v>
      </c>
      <c r="K379" s="2" t="s">
        <v>974</v>
      </c>
      <c r="L379" s="2" t="s">
        <v>60</v>
      </c>
      <c r="M379" s="1" t="s">
        <v>1003</v>
      </c>
      <c r="N379" s="1" t="s">
        <v>62</v>
      </c>
      <c r="O379" s="1" t="s">
        <v>112</v>
      </c>
      <c r="P379" s="1" t="s">
        <v>597</v>
      </c>
      <c r="Q379" s="1">
        <v>8.812</v>
      </c>
      <c r="R379" s="1">
        <v>-82.961</v>
      </c>
      <c r="S379" s="1" t="s">
        <v>148</v>
      </c>
      <c r="T379" s="2" t="s">
        <v>194</v>
      </c>
      <c r="U379" s="10" t="s">
        <v>976</v>
      </c>
      <c r="V379" s="3" t="s">
        <v>116</v>
      </c>
      <c r="W379" s="1" t="s">
        <v>977</v>
      </c>
      <c r="X379" s="1" t="s">
        <v>70</v>
      </c>
      <c r="Y379" s="6" t="s">
        <v>76</v>
      </c>
      <c r="Z379" s="3" t="s">
        <v>173</v>
      </c>
      <c r="AB379" s="1">
        <v>2.0</v>
      </c>
      <c r="AI379" s="1" t="s">
        <v>983</v>
      </c>
      <c r="AJ379" s="1">
        <v>0.0</v>
      </c>
      <c r="AK379" s="1">
        <v>1950.0</v>
      </c>
      <c r="AL379" s="2" t="s">
        <v>100</v>
      </c>
      <c r="AM379" s="2" t="s">
        <v>72</v>
      </c>
      <c r="AN379" s="1" t="s">
        <v>238</v>
      </c>
      <c r="AO379" s="2" t="s">
        <v>72</v>
      </c>
      <c r="AQ379" s="2" t="s">
        <v>102</v>
      </c>
      <c r="AR379" s="2" t="s">
        <v>76</v>
      </c>
      <c r="AS379" s="1">
        <v>2841.0</v>
      </c>
      <c r="AT379" s="1">
        <v>2841.0</v>
      </c>
      <c r="AU379" s="1">
        <v>1165.0</v>
      </c>
      <c r="AV379" s="1">
        <v>40.0</v>
      </c>
      <c r="AW379" s="1">
        <v>166.0</v>
      </c>
      <c r="AX379" s="1">
        <v>6482.0</v>
      </c>
      <c r="AY379" s="1">
        <v>1094.0</v>
      </c>
      <c r="AZ379" s="1" t="s">
        <v>154</v>
      </c>
      <c r="BA379" s="1" t="s">
        <v>121</v>
      </c>
    </row>
    <row r="380">
      <c r="A380" s="1" t="s">
        <v>969</v>
      </c>
      <c r="B380" s="1" t="s">
        <v>53</v>
      </c>
      <c r="C380" s="1">
        <v>2015.0</v>
      </c>
      <c r="D380" s="1" t="s">
        <v>970</v>
      </c>
      <c r="E380" s="1" t="s">
        <v>971</v>
      </c>
      <c r="F380" s="1" t="s">
        <v>732</v>
      </c>
      <c r="G380" s="1" t="s">
        <v>972</v>
      </c>
      <c r="H380" s="1" t="s">
        <v>973</v>
      </c>
      <c r="I380" s="1">
        <v>54.0</v>
      </c>
      <c r="J380" s="1">
        <v>4.0</v>
      </c>
      <c r="K380" s="2" t="s">
        <v>974</v>
      </c>
      <c r="L380" s="2" t="s">
        <v>60</v>
      </c>
      <c r="M380" s="1" t="s">
        <v>1004</v>
      </c>
      <c r="N380" s="1" t="s">
        <v>62</v>
      </c>
      <c r="O380" s="1" t="s">
        <v>112</v>
      </c>
      <c r="P380" s="1" t="s">
        <v>597</v>
      </c>
      <c r="Q380" s="1">
        <v>8.812</v>
      </c>
      <c r="R380" s="1">
        <v>-82.961</v>
      </c>
      <c r="S380" s="1" t="s">
        <v>148</v>
      </c>
      <c r="T380" s="2" t="s">
        <v>194</v>
      </c>
      <c r="U380" s="10" t="s">
        <v>976</v>
      </c>
      <c r="V380" s="3" t="s">
        <v>116</v>
      </c>
      <c r="W380" s="1" t="s">
        <v>977</v>
      </c>
      <c r="X380" s="1" t="s">
        <v>70</v>
      </c>
      <c r="Y380" s="6" t="s">
        <v>76</v>
      </c>
      <c r="Z380" s="3" t="s">
        <v>173</v>
      </c>
      <c r="AB380" s="1">
        <v>3.0</v>
      </c>
      <c r="AI380" s="1" t="s">
        <v>985</v>
      </c>
      <c r="AJ380" s="1">
        <v>0.0</v>
      </c>
      <c r="AK380" s="1">
        <v>1950.0</v>
      </c>
      <c r="AL380" s="2" t="s">
        <v>100</v>
      </c>
      <c r="AM380" s="2" t="s">
        <v>72</v>
      </c>
      <c r="AN380" s="1" t="s">
        <v>238</v>
      </c>
      <c r="AO380" s="2" t="s">
        <v>72</v>
      </c>
      <c r="AQ380" s="2" t="s">
        <v>102</v>
      </c>
      <c r="AR380" s="2" t="s">
        <v>76</v>
      </c>
      <c r="AS380" s="1">
        <v>2841.0</v>
      </c>
      <c r="AT380" s="1">
        <v>2841.0</v>
      </c>
      <c r="AU380" s="1">
        <v>1165.0</v>
      </c>
      <c r="AV380" s="1">
        <v>40.0</v>
      </c>
      <c r="AW380" s="1">
        <v>166.0</v>
      </c>
      <c r="AX380" s="1">
        <v>6482.0</v>
      </c>
      <c r="AY380" s="1">
        <v>1094.0</v>
      </c>
      <c r="AZ380" s="1" t="s">
        <v>154</v>
      </c>
      <c r="BA380" s="1" t="s">
        <v>121</v>
      </c>
    </row>
    <row r="381">
      <c r="A381" s="1" t="s">
        <v>969</v>
      </c>
      <c r="B381" s="1" t="s">
        <v>53</v>
      </c>
      <c r="C381" s="1">
        <v>2015.0</v>
      </c>
      <c r="D381" s="1" t="s">
        <v>970</v>
      </c>
      <c r="E381" s="1" t="s">
        <v>971</v>
      </c>
      <c r="F381" s="1" t="s">
        <v>732</v>
      </c>
      <c r="G381" s="1" t="s">
        <v>972</v>
      </c>
      <c r="H381" s="1" t="s">
        <v>973</v>
      </c>
      <c r="I381" s="1">
        <v>54.0</v>
      </c>
      <c r="J381" s="1">
        <v>4.0</v>
      </c>
      <c r="K381" s="2" t="s">
        <v>974</v>
      </c>
      <c r="L381" s="2" t="s">
        <v>60</v>
      </c>
      <c r="M381" s="1" t="s">
        <v>1005</v>
      </c>
      <c r="N381" s="1" t="s">
        <v>62</v>
      </c>
      <c r="O381" s="1" t="s">
        <v>112</v>
      </c>
      <c r="P381" s="1" t="s">
        <v>597</v>
      </c>
      <c r="Q381" s="1">
        <v>8.812</v>
      </c>
      <c r="R381" s="1">
        <v>-82.961</v>
      </c>
      <c r="S381" s="1" t="s">
        <v>148</v>
      </c>
      <c r="T381" s="2" t="s">
        <v>388</v>
      </c>
      <c r="U381" s="10" t="s">
        <v>976</v>
      </c>
      <c r="V381" s="3" t="s">
        <v>116</v>
      </c>
      <c r="W381" s="1" t="s">
        <v>987</v>
      </c>
      <c r="X381" s="1" t="s">
        <v>256</v>
      </c>
      <c r="Y381" s="6" t="s">
        <v>76</v>
      </c>
      <c r="Z381" s="3" t="s">
        <v>173</v>
      </c>
      <c r="AB381" s="1">
        <v>3.0</v>
      </c>
      <c r="AI381" s="1" t="s">
        <v>978</v>
      </c>
      <c r="AJ381" s="1">
        <v>0.0</v>
      </c>
      <c r="AK381" s="1">
        <v>1950.0</v>
      </c>
      <c r="AL381" s="2" t="s">
        <v>73</v>
      </c>
      <c r="AM381" s="2" t="s">
        <v>72</v>
      </c>
      <c r="AN381" s="1" t="s">
        <v>238</v>
      </c>
      <c r="AO381" s="2" t="s">
        <v>72</v>
      </c>
      <c r="AQ381" s="2" t="s">
        <v>102</v>
      </c>
      <c r="AR381" s="2" t="s">
        <v>76</v>
      </c>
      <c r="AS381" s="1">
        <v>2841.0</v>
      </c>
      <c r="AT381" s="1">
        <v>2841.0</v>
      </c>
      <c r="AU381" s="1">
        <v>1165.0</v>
      </c>
      <c r="AV381" s="1">
        <v>40.0</v>
      </c>
      <c r="AW381" s="1">
        <v>166.0</v>
      </c>
      <c r="AX381" s="1">
        <v>6482.0</v>
      </c>
      <c r="AY381" s="1">
        <v>1094.0</v>
      </c>
      <c r="AZ381" s="1" t="s">
        <v>154</v>
      </c>
      <c r="BA381" s="1" t="s">
        <v>121</v>
      </c>
    </row>
    <row r="382">
      <c r="A382" s="1" t="s">
        <v>969</v>
      </c>
      <c r="B382" s="1" t="s">
        <v>53</v>
      </c>
      <c r="C382" s="1">
        <v>2015.0</v>
      </c>
      <c r="D382" s="1" t="s">
        <v>970</v>
      </c>
      <c r="E382" s="1" t="s">
        <v>971</v>
      </c>
      <c r="F382" s="1" t="s">
        <v>732</v>
      </c>
      <c r="G382" s="1" t="s">
        <v>972</v>
      </c>
      <c r="H382" s="1" t="s">
        <v>973</v>
      </c>
      <c r="I382" s="1">
        <v>54.0</v>
      </c>
      <c r="J382" s="1">
        <v>4.0</v>
      </c>
      <c r="K382" s="2" t="s">
        <v>974</v>
      </c>
      <c r="L382" s="2" t="s">
        <v>60</v>
      </c>
      <c r="M382" s="1" t="s">
        <v>1006</v>
      </c>
      <c r="N382" s="1" t="s">
        <v>62</v>
      </c>
      <c r="O382" s="1" t="s">
        <v>112</v>
      </c>
      <c r="P382" s="1" t="s">
        <v>597</v>
      </c>
      <c r="Q382" s="1">
        <v>8.812</v>
      </c>
      <c r="R382" s="1">
        <v>-82.961</v>
      </c>
      <c r="S382" s="1" t="s">
        <v>148</v>
      </c>
      <c r="T382" s="2" t="s">
        <v>388</v>
      </c>
      <c r="U382" s="10" t="s">
        <v>976</v>
      </c>
      <c r="V382" s="3" t="s">
        <v>116</v>
      </c>
      <c r="W382" s="1" t="s">
        <v>987</v>
      </c>
      <c r="X382" s="1" t="s">
        <v>256</v>
      </c>
      <c r="Y382" s="6" t="s">
        <v>76</v>
      </c>
      <c r="Z382" s="3" t="s">
        <v>173</v>
      </c>
      <c r="AB382" s="1">
        <v>2.0</v>
      </c>
      <c r="AI382" s="1" t="s">
        <v>980</v>
      </c>
      <c r="AJ382" s="1">
        <v>0.0</v>
      </c>
      <c r="AK382" s="1">
        <v>1950.0</v>
      </c>
      <c r="AL382" s="2" t="s">
        <v>73</v>
      </c>
      <c r="AM382" s="2" t="s">
        <v>72</v>
      </c>
      <c r="AN382" s="1" t="s">
        <v>238</v>
      </c>
      <c r="AO382" s="2" t="s">
        <v>72</v>
      </c>
      <c r="AQ382" s="2" t="s">
        <v>102</v>
      </c>
      <c r="AR382" s="2" t="s">
        <v>76</v>
      </c>
      <c r="AS382" s="1">
        <v>2841.0</v>
      </c>
      <c r="AT382" s="1">
        <v>2841.0</v>
      </c>
      <c r="AU382" s="1">
        <v>1165.0</v>
      </c>
      <c r="AV382" s="1">
        <v>40.0</v>
      </c>
      <c r="AW382" s="1">
        <v>166.0</v>
      </c>
      <c r="AX382" s="1">
        <v>6482.0</v>
      </c>
      <c r="AY382" s="1">
        <v>1094.0</v>
      </c>
      <c r="AZ382" s="1" t="s">
        <v>154</v>
      </c>
      <c r="BA382" s="1" t="s">
        <v>121</v>
      </c>
    </row>
    <row r="383">
      <c r="A383" s="1" t="s">
        <v>969</v>
      </c>
      <c r="B383" s="1" t="s">
        <v>53</v>
      </c>
      <c r="C383" s="1">
        <v>2015.0</v>
      </c>
      <c r="D383" s="1" t="s">
        <v>970</v>
      </c>
      <c r="E383" s="1" t="s">
        <v>971</v>
      </c>
      <c r="F383" s="1" t="s">
        <v>732</v>
      </c>
      <c r="G383" s="1" t="s">
        <v>972</v>
      </c>
      <c r="H383" s="1" t="s">
        <v>973</v>
      </c>
      <c r="I383" s="1">
        <v>54.0</v>
      </c>
      <c r="J383" s="1">
        <v>4.0</v>
      </c>
      <c r="K383" s="2" t="s">
        <v>974</v>
      </c>
      <c r="L383" s="2" t="s">
        <v>60</v>
      </c>
      <c r="M383" s="1" t="s">
        <v>1007</v>
      </c>
      <c r="N383" s="1" t="s">
        <v>62</v>
      </c>
      <c r="O383" s="1" t="s">
        <v>112</v>
      </c>
      <c r="P383" s="1" t="s">
        <v>597</v>
      </c>
      <c r="Q383" s="1">
        <v>8.812</v>
      </c>
      <c r="R383" s="1">
        <v>-82.961</v>
      </c>
      <c r="S383" s="1" t="s">
        <v>148</v>
      </c>
      <c r="T383" s="2" t="s">
        <v>388</v>
      </c>
      <c r="U383" s="10" t="s">
        <v>976</v>
      </c>
      <c r="V383" s="3" t="s">
        <v>116</v>
      </c>
      <c r="W383" s="1" t="s">
        <v>987</v>
      </c>
      <c r="X383" s="1" t="s">
        <v>256</v>
      </c>
      <c r="Y383" s="6" t="s">
        <v>76</v>
      </c>
      <c r="Z383" s="3" t="s">
        <v>173</v>
      </c>
      <c r="AB383" s="1">
        <v>3.0</v>
      </c>
      <c r="AI383" s="1" t="s">
        <v>425</v>
      </c>
      <c r="AJ383" s="1">
        <v>0.0</v>
      </c>
      <c r="AK383" s="1">
        <v>1950.0</v>
      </c>
      <c r="AL383" s="2" t="s">
        <v>100</v>
      </c>
      <c r="AM383" s="2" t="s">
        <v>72</v>
      </c>
      <c r="AN383" s="1" t="s">
        <v>238</v>
      </c>
      <c r="AO383" s="2" t="s">
        <v>72</v>
      </c>
      <c r="AQ383" s="2" t="s">
        <v>102</v>
      </c>
      <c r="AR383" s="2" t="s">
        <v>76</v>
      </c>
      <c r="AS383" s="1">
        <v>2841.0</v>
      </c>
      <c r="AT383" s="1">
        <v>2841.0</v>
      </c>
      <c r="AU383" s="1">
        <v>1165.0</v>
      </c>
      <c r="AV383" s="1">
        <v>40.0</v>
      </c>
      <c r="AW383" s="1">
        <v>166.0</v>
      </c>
      <c r="AX383" s="1">
        <v>6482.0</v>
      </c>
      <c r="AY383" s="1">
        <v>1094.0</v>
      </c>
      <c r="AZ383" s="1" t="s">
        <v>154</v>
      </c>
      <c r="BA383" s="1" t="s">
        <v>121</v>
      </c>
    </row>
    <row r="384">
      <c r="A384" s="1" t="s">
        <v>969</v>
      </c>
      <c r="B384" s="1" t="s">
        <v>53</v>
      </c>
      <c r="C384" s="1">
        <v>2015.0</v>
      </c>
      <c r="D384" s="1" t="s">
        <v>970</v>
      </c>
      <c r="E384" s="1" t="s">
        <v>971</v>
      </c>
      <c r="F384" s="1" t="s">
        <v>732</v>
      </c>
      <c r="G384" s="1" t="s">
        <v>972</v>
      </c>
      <c r="H384" s="1" t="s">
        <v>973</v>
      </c>
      <c r="I384" s="1">
        <v>54.0</v>
      </c>
      <c r="J384" s="1">
        <v>4.0</v>
      </c>
      <c r="K384" s="2" t="s">
        <v>974</v>
      </c>
      <c r="L384" s="2" t="s">
        <v>60</v>
      </c>
      <c r="M384" s="1" t="s">
        <v>1008</v>
      </c>
      <c r="N384" s="1" t="s">
        <v>62</v>
      </c>
      <c r="O384" s="1" t="s">
        <v>112</v>
      </c>
      <c r="P384" s="1" t="s">
        <v>597</v>
      </c>
      <c r="Q384" s="1">
        <v>8.812</v>
      </c>
      <c r="R384" s="1">
        <v>-82.961</v>
      </c>
      <c r="S384" s="1" t="s">
        <v>148</v>
      </c>
      <c r="T384" s="2" t="s">
        <v>388</v>
      </c>
      <c r="U384" s="10" t="s">
        <v>976</v>
      </c>
      <c r="V384" s="3" t="s">
        <v>116</v>
      </c>
      <c r="W384" s="1" t="s">
        <v>987</v>
      </c>
      <c r="X384" s="1" t="s">
        <v>256</v>
      </c>
      <c r="Y384" s="6" t="s">
        <v>76</v>
      </c>
      <c r="Z384" s="3" t="s">
        <v>173</v>
      </c>
      <c r="AB384" s="1">
        <v>2.0</v>
      </c>
      <c r="AI384" s="1" t="s">
        <v>983</v>
      </c>
      <c r="AJ384" s="1">
        <v>0.0</v>
      </c>
      <c r="AK384" s="1">
        <v>1950.0</v>
      </c>
      <c r="AL384" s="2" t="s">
        <v>100</v>
      </c>
      <c r="AM384" s="2" t="s">
        <v>72</v>
      </c>
      <c r="AN384" s="1" t="s">
        <v>238</v>
      </c>
      <c r="AO384" s="2" t="s">
        <v>72</v>
      </c>
      <c r="AQ384" s="2" t="s">
        <v>102</v>
      </c>
      <c r="AR384" s="2" t="s">
        <v>76</v>
      </c>
      <c r="AS384" s="1">
        <v>2841.0</v>
      </c>
      <c r="AT384" s="1">
        <v>2841.0</v>
      </c>
      <c r="AU384" s="1">
        <v>1165.0</v>
      </c>
      <c r="AV384" s="1">
        <v>40.0</v>
      </c>
      <c r="AW384" s="1">
        <v>166.0</v>
      </c>
      <c r="AX384" s="1">
        <v>6482.0</v>
      </c>
      <c r="AY384" s="1">
        <v>1094.0</v>
      </c>
      <c r="AZ384" s="1" t="s">
        <v>154</v>
      </c>
      <c r="BA384" s="1" t="s">
        <v>121</v>
      </c>
    </row>
    <row r="385">
      <c r="A385" s="1" t="s">
        <v>969</v>
      </c>
      <c r="B385" s="1" t="s">
        <v>53</v>
      </c>
      <c r="C385" s="1">
        <v>2015.0</v>
      </c>
      <c r="D385" s="1" t="s">
        <v>970</v>
      </c>
      <c r="E385" s="1" t="s">
        <v>971</v>
      </c>
      <c r="F385" s="1" t="s">
        <v>732</v>
      </c>
      <c r="G385" s="1" t="s">
        <v>972</v>
      </c>
      <c r="H385" s="1" t="s">
        <v>973</v>
      </c>
      <c r="I385" s="1">
        <v>54.0</v>
      </c>
      <c r="J385" s="1">
        <v>4.0</v>
      </c>
      <c r="K385" s="2" t="s">
        <v>974</v>
      </c>
      <c r="L385" s="2" t="s">
        <v>60</v>
      </c>
      <c r="M385" s="1" t="s">
        <v>1009</v>
      </c>
      <c r="N385" s="1" t="s">
        <v>62</v>
      </c>
      <c r="O385" s="1" t="s">
        <v>112</v>
      </c>
      <c r="P385" s="1" t="s">
        <v>597</v>
      </c>
      <c r="Q385" s="1">
        <v>8.812</v>
      </c>
      <c r="R385" s="1">
        <v>-82.961</v>
      </c>
      <c r="S385" s="1" t="s">
        <v>148</v>
      </c>
      <c r="T385" s="2" t="s">
        <v>388</v>
      </c>
      <c r="U385" s="10" t="s">
        <v>976</v>
      </c>
      <c r="V385" s="3" t="s">
        <v>116</v>
      </c>
      <c r="W385" s="1" t="s">
        <v>987</v>
      </c>
      <c r="X385" s="1" t="s">
        <v>256</v>
      </c>
      <c r="Y385" s="6" t="s">
        <v>76</v>
      </c>
      <c r="Z385" s="3" t="s">
        <v>173</v>
      </c>
      <c r="AB385" s="1">
        <v>3.0</v>
      </c>
      <c r="AI385" s="1" t="s">
        <v>985</v>
      </c>
      <c r="AJ385" s="1">
        <v>0.0</v>
      </c>
      <c r="AK385" s="1">
        <v>1950.0</v>
      </c>
      <c r="AL385" s="2" t="s">
        <v>73</v>
      </c>
      <c r="AM385" s="2" t="s">
        <v>72</v>
      </c>
      <c r="AN385" s="1" t="s">
        <v>238</v>
      </c>
      <c r="AO385" s="2" t="s">
        <v>72</v>
      </c>
      <c r="AQ385" s="2" t="s">
        <v>102</v>
      </c>
      <c r="AR385" s="2" t="s">
        <v>76</v>
      </c>
      <c r="AS385" s="1">
        <v>2841.0</v>
      </c>
      <c r="AT385" s="1">
        <v>2841.0</v>
      </c>
      <c r="AU385" s="1">
        <v>1165.0</v>
      </c>
      <c r="AV385" s="1">
        <v>40.0</v>
      </c>
      <c r="AW385" s="1">
        <v>166.0</v>
      </c>
      <c r="AX385" s="1">
        <v>6482.0</v>
      </c>
      <c r="AY385" s="1">
        <v>1094.0</v>
      </c>
      <c r="AZ385" s="1" t="s">
        <v>154</v>
      </c>
      <c r="BA385" s="1" t="s">
        <v>121</v>
      </c>
    </row>
    <row r="386">
      <c r="A386" s="1" t="s">
        <v>1781</v>
      </c>
      <c r="B386" s="1" t="s">
        <v>53</v>
      </c>
      <c r="C386" s="1">
        <v>2015.0</v>
      </c>
      <c r="D386" s="1" t="s">
        <v>1782</v>
      </c>
      <c r="E386" s="1" t="s">
        <v>1783</v>
      </c>
      <c r="F386" s="1" t="s">
        <v>1772</v>
      </c>
      <c r="G386" s="1" t="s">
        <v>1784</v>
      </c>
      <c r="H386" s="1" t="s">
        <v>1785</v>
      </c>
      <c r="I386" s="1">
        <v>217.0</v>
      </c>
      <c r="K386" s="2">
        <v>44409.0</v>
      </c>
      <c r="L386" s="2" t="s">
        <v>76</v>
      </c>
      <c r="M386" s="1" t="s">
        <v>1781</v>
      </c>
      <c r="N386" s="1" t="s">
        <v>62</v>
      </c>
      <c r="O386" s="1" t="s">
        <v>92</v>
      </c>
      <c r="P386" s="1" t="s">
        <v>1786</v>
      </c>
      <c r="Q386" s="1">
        <v>18.372</v>
      </c>
      <c r="R386" s="1">
        <v>-90.294833</v>
      </c>
      <c r="S386" s="1" t="s">
        <v>148</v>
      </c>
      <c r="T386" s="2" t="s">
        <v>66</v>
      </c>
      <c r="U386" s="3" t="s">
        <v>67</v>
      </c>
      <c r="V386" s="3" t="s">
        <v>68</v>
      </c>
      <c r="W386" s="1" t="s">
        <v>1787</v>
      </c>
      <c r="X386" s="1" t="s">
        <v>70</v>
      </c>
      <c r="Y386" s="5" t="s">
        <v>60</v>
      </c>
      <c r="Z386" s="3" t="s">
        <v>345</v>
      </c>
      <c r="AB386" s="1">
        <v>6.0</v>
      </c>
      <c r="AI386" s="1" t="s">
        <v>1788</v>
      </c>
      <c r="AJ386" s="1">
        <v>-5950.0</v>
      </c>
      <c r="AK386" s="1">
        <v>1950.0</v>
      </c>
      <c r="AL386" s="2" t="s">
        <v>100</v>
      </c>
      <c r="AM386" s="2" t="s">
        <v>76</v>
      </c>
      <c r="AN386" s="1" t="s">
        <v>74</v>
      </c>
      <c r="AO386" s="2" t="s">
        <v>72</v>
      </c>
      <c r="AQ386" s="2" t="s">
        <v>576</v>
      </c>
      <c r="AR386" s="2" t="s">
        <v>76</v>
      </c>
      <c r="AS386" s="1">
        <v>1201.0</v>
      </c>
      <c r="AT386" s="1">
        <v>1201.0</v>
      </c>
      <c r="AU386" s="1">
        <v>575.0</v>
      </c>
      <c r="AV386" s="1">
        <v>25.0</v>
      </c>
      <c r="AW386" s="1">
        <v>83.0</v>
      </c>
      <c r="AX386" s="1">
        <v>7081.0</v>
      </c>
      <c r="AY386" s="1">
        <v>81.0</v>
      </c>
      <c r="AZ386" s="1" t="s">
        <v>239</v>
      </c>
      <c r="BA386" s="1" t="s">
        <v>121</v>
      </c>
    </row>
    <row r="387">
      <c r="A387" s="1" t="s">
        <v>1310</v>
      </c>
      <c r="B387" s="1" t="s">
        <v>53</v>
      </c>
      <c r="C387" s="1">
        <v>2016.0</v>
      </c>
      <c r="D387" s="1" t="s">
        <v>1311</v>
      </c>
      <c r="E387" s="1" t="s">
        <v>1312</v>
      </c>
      <c r="F387" s="1" t="s">
        <v>793</v>
      </c>
      <c r="G387" s="1" t="s">
        <v>1313</v>
      </c>
      <c r="H387" s="1" t="s">
        <v>1314</v>
      </c>
      <c r="I387" s="1">
        <v>459.0</v>
      </c>
      <c r="K387" s="2" t="s">
        <v>1315</v>
      </c>
      <c r="L387" s="2" t="s">
        <v>60</v>
      </c>
      <c r="M387" s="1" t="s">
        <v>1316</v>
      </c>
      <c r="N387" s="1" t="s">
        <v>62</v>
      </c>
      <c r="O387" s="1" t="s">
        <v>187</v>
      </c>
      <c r="P387" s="1" t="s">
        <v>1317</v>
      </c>
      <c r="Q387" s="1">
        <v>16.883</v>
      </c>
      <c r="R387" s="1">
        <v>-89.108</v>
      </c>
      <c r="S387" s="1" t="s">
        <v>94</v>
      </c>
      <c r="T387" s="2" t="s">
        <v>95</v>
      </c>
      <c r="U387" s="2" t="s">
        <v>96</v>
      </c>
      <c r="V387" s="3" t="s">
        <v>97</v>
      </c>
      <c r="W387" s="2" t="s">
        <v>72</v>
      </c>
      <c r="X387" s="2" t="s">
        <v>99</v>
      </c>
      <c r="Y387" s="6" t="s">
        <v>76</v>
      </c>
      <c r="Z387" s="3" t="s">
        <v>76</v>
      </c>
      <c r="AF387" s="1">
        <v>24.0</v>
      </c>
      <c r="AJ387" s="1">
        <v>-3300.0</v>
      </c>
      <c r="AK387" s="1">
        <v>2000.0</v>
      </c>
      <c r="AL387" s="2" t="s">
        <v>153</v>
      </c>
      <c r="AM387" s="2" t="s">
        <v>60</v>
      </c>
      <c r="AN387" s="2" t="s">
        <v>72</v>
      </c>
      <c r="AO387" s="2" t="s">
        <v>101</v>
      </c>
      <c r="AQ387" s="2" t="s">
        <v>102</v>
      </c>
      <c r="AR387" s="2" t="s">
        <v>76</v>
      </c>
      <c r="AS387" s="1">
        <v>2142.0</v>
      </c>
      <c r="AT387" s="1">
        <v>2142.0</v>
      </c>
      <c r="AU387" s="1">
        <v>878.0</v>
      </c>
      <c r="AV387" s="1">
        <v>52.0</v>
      </c>
      <c r="AW387" s="1">
        <v>184.0</v>
      </c>
      <c r="AX387" s="1">
        <v>5497.0</v>
      </c>
      <c r="AY387" s="1">
        <v>500.0</v>
      </c>
      <c r="AZ387" s="1" t="s">
        <v>133</v>
      </c>
      <c r="BA387" s="1" t="s">
        <v>121</v>
      </c>
    </row>
    <row r="388">
      <c r="A388" s="1" t="s">
        <v>1310</v>
      </c>
      <c r="B388" s="1" t="s">
        <v>53</v>
      </c>
      <c r="C388" s="1">
        <v>2016.0</v>
      </c>
      <c r="D388" s="1" t="s">
        <v>1311</v>
      </c>
      <c r="E388" s="1" t="s">
        <v>1312</v>
      </c>
      <c r="F388" s="1" t="s">
        <v>793</v>
      </c>
      <c r="G388" s="1" t="s">
        <v>1313</v>
      </c>
      <c r="H388" s="1" t="s">
        <v>1314</v>
      </c>
      <c r="I388" s="1">
        <v>459.0</v>
      </c>
      <c r="K388" s="2" t="s">
        <v>1315</v>
      </c>
      <c r="L388" s="2" t="s">
        <v>60</v>
      </c>
      <c r="M388" s="1" t="s">
        <v>1318</v>
      </c>
      <c r="N388" s="1" t="s">
        <v>62</v>
      </c>
      <c r="O388" s="1" t="s">
        <v>187</v>
      </c>
      <c r="P388" s="1" t="s">
        <v>1317</v>
      </c>
      <c r="Q388" s="1">
        <v>16.883</v>
      </c>
      <c r="R388" s="1">
        <v>-89.108</v>
      </c>
      <c r="S388" s="1" t="s">
        <v>94</v>
      </c>
      <c r="T388" s="2" t="s">
        <v>135</v>
      </c>
      <c r="U388" s="2" t="s">
        <v>96</v>
      </c>
      <c r="V388" s="3" t="s">
        <v>97</v>
      </c>
      <c r="W388" s="2" t="s">
        <v>72</v>
      </c>
      <c r="X388" s="2" t="s">
        <v>99</v>
      </c>
      <c r="Y388" s="6" t="s">
        <v>76</v>
      </c>
      <c r="Z388" s="3" t="s">
        <v>76</v>
      </c>
      <c r="AF388" s="1">
        <v>24.0</v>
      </c>
      <c r="AJ388" s="1">
        <v>-3300.0</v>
      </c>
      <c r="AK388" s="1">
        <v>2000.0</v>
      </c>
      <c r="AL388" s="2" t="s">
        <v>153</v>
      </c>
      <c r="AM388" s="2" t="s">
        <v>60</v>
      </c>
      <c r="AN388" s="2" t="s">
        <v>72</v>
      </c>
      <c r="AO388" s="2" t="s">
        <v>101</v>
      </c>
      <c r="AQ388" s="2" t="s">
        <v>102</v>
      </c>
      <c r="AR388" s="2" t="s">
        <v>76</v>
      </c>
      <c r="AS388" s="1">
        <v>2142.0</v>
      </c>
      <c r="AT388" s="1">
        <v>2142.0</v>
      </c>
      <c r="AU388" s="1">
        <v>878.0</v>
      </c>
      <c r="AV388" s="1">
        <v>52.0</v>
      </c>
      <c r="AW388" s="1">
        <v>184.0</v>
      </c>
      <c r="AX388" s="1">
        <v>5497.0</v>
      </c>
      <c r="AY388" s="1">
        <v>500.0</v>
      </c>
      <c r="AZ388" s="1" t="s">
        <v>133</v>
      </c>
      <c r="BA388" s="1" t="s">
        <v>121</v>
      </c>
    </row>
    <row r="389">
      <c r="A389" s="1" t="s">
        <v>2182</v>
      </c>
      <c r="B389" s="1" t="s">
        <v>268</v>
      </c>
      <c r="C389" s="1">
        <v>2016.0</v>
      </c>
      <c r="D389" s="1" t="s">
        <v>2183</v>
      </c>
      <c r="E389" s="1" t="s">
        <v>2184</v>
      </c>
      <c r="H389" s="1" t="s">
        <v>2185</v>
      </c>
      <c r="I389" s="1">
        <v>138.0</v>
      </c>
      <c r="K389" s="2" t="s">
        <v>2186</v>
      </c>
      <c r="L389" s="2" t="s">
        <v>60</v>
      </c>
      <c r="M389" s="1" t="s">
        <v>2187</v>
      </c>
      <c r="N389" s="1" t="s">
        <v>62</v>
      </c>
      <c r="O389" s="1" t="s">
        <v>167</v>
      </c>
      <c r="P389" s="1" t="s">
        <v>588</v>
      </c>
      <c r="Q389" s="1">
        <v>17.533333</v>
      </c>
      <c r="R389" s="1">
        <v>-90.183333</v>
      </c>
      <c r="S389" s="1" t="s">
        <v>148</v>
      </c>
      <c r="T389" s="2" t="s">
        <v>95</v>
      </c>
      <c r="U389" s="2" t="s">
        <v>96</v>
      </c>
      <c r="V389" s="3" t="s">
        <v>97</v>
      </c>
      <c r="W389" s="2" t="s">
        <v>72</v>
      </c>
      <c r="X389" s="2" t="s">
        <v>728</v>
      </c>
      <c r="Y389" s="6" t="s">
        <v>76</v>
      </c>
      <c r="Z389" s="3" t="s">
        <v>76</v>
      </c>
      <c r="AB389" s="1">
        <v>7.0</v>
      </c>
      <c r="AI389" s="2" t="s">
        <v>72</v>
      </c>
      <c r="AJ389" s="1">
        <v>-7000.0</v>
      </c>
      <c r="AK389" s="1">
        <v>2003.0</v>
      </c>
      <c r="AL389" s="2" t="s">
        <v>73</v>
      </c>
      <c r="AM389" s="3" t="s">
        <v>72</v>
      </c>
      <c r="AN389" s="2" t="s">
        <v>72</v>
      </c>
      <c r="AO389" s="2" t="s">
        <v>72</v>
      </c>
      <c r="AQ389" s="2" t="s">
        <v>102</v>
      </c>
      <c r="AR389" s="2" t="s">
        <v>76</v>
      </c>
      <c r="AS389" s="1">
        <v>1598.0</v>
      </c>
      <c r="AT389" s="1">
        <v>1598.0</v>
      </c>
      <c r="AU389" s="1">
        <v>686.0</v>
      </c>
      <c r="AV389" s="1">
        <v>33.0</v>
      </c>
      <c r="AW389" s="1">
        <v>119.0</v>
      </c>
      <c r="AX389" s="1">
        <v>6059.0</v>
      </c>
      <c r="AY389" s="1">
        <v>238.0</v>
      </c>
      <c r="AZ389" s="1" t="s">
        <v>133</v>
      </c>
      <c r="BA389" s="1" t="s">
        <v>121</v>
      </c>
    </row>
    <row r="390">
      <c r="A390" s="1" t="s">
        <v>2182</v>
      </c>
      <c r="B390" s="1" t="s">
        <v>268</v>
      </c>
      <c r="C390" s="1">
        <v>2016.0</v>
      </c>
      <c r="D390" s="1" t="s">
        <v>2183</v>
      </c>
      <c r="E390" s="1" t="s">
        <v>2184</v>
      </c>
      <c r="H390" s="1" t="s">
        <v>2185</v>
      </c>
      <c r="I390" s="1">
        <v>138.0</v>
      </c>
      <c r="K390" s="2" t="s">
        <v>2186</v>
      </c>
      <c r="L390" s="2" t="s">
        <v>60</v>
      </c>
      <c r="M390" s="1" t="s">
        <v>2188</v>
      </c>
      <c r="N390" s="1" t="s">
        <v>62</v>
      </c>
      <c r="O390" s="1" t="s">
        <v>167</v>
      </c>
      <c r="P390" s="1" t="s">
        <v>2189</v>
      </c>
      <c r="Q390" s="1">
        <v>17.8</v>
      </c>
      <c r="R390" s="1">
        <v>-90.116667</v>
      </c>
      <c r="S390" s="1" t="s">
        <v>148</v>
      </c>
      <c r="T390" s="2" t="s">
        <v>66</v>
      </c>
      <c r="U390" s="3" t="s">
        <v>67</v>
      </c>
      <c r="V390" s="3" t="s">
        <v>68</v>
      </c>
      <c r="W390" s="1" t="s">
        <v>589</v>
      </c>
      <c r="X390" s="1" t="s">
        <v>70</v>
      </c>
      <c r="Y390" s="5" t="s">
        <v>60</v>
      </c>
      <c r="Z390" s="3" t="s">
        <v>345</v>
      </c>
      <c r="AB390" s="1">
        <v>9.0</v>
      </c>
      <c r="AI390" s="2" t="s">
        <v>72</v>
      </c>
      <c r="AJ390" s="1">
        <v>-7800.0</v>
      </c>
      <c r="AK390" s="1">
        <v>2001.0</v>
      </c>
      <c r="AL390" s="2" t="s">
        <v>153</v>
      </c>
      <c r="AM390" s="3" t="s">
        <v>72</v>
      </c>
      <c r="AN390" s="2" t="s">
        <v>72</v>
      </c>
      <c r="AO390" s="2" t="s">
        <v>72</v>
      </c>
      <c r="AQ390" s="2" t="s">
        <v>102</v>
      </c>
      <c r="AR390" s="2" t="s">
        <v>76</v>
      </c>
      <c r="AS390" s="1">
        <v>1414.0</v>
      </c>
      <c r="AT390" s="1">
        <v>1414.0</v>
      </c>
      <c r="AU390" s="1">
        <v>624.0</v>
      </c>
      <c r="AV390" s="1">
        <v>32.0</v>
      </c>
      <c r="AW390" s="1">
        <v>106.0</v>
      </c>
      <c r="AX390" s="1">
        <v>6224.0</v>
      </c>
      <c r="AY390" s="1">
        <v>206.0</v>
      </c>
      <c r="AZ390" s="1" t="s">
        <v>133</v>
      </c>
      <c r="BA390" s="1" t="s">
        <v>121</v>
      </c>
    </row>
    <row r="391">
      <c r="A391" s="1" t="s">
        <v>2182</v>
      </c>
      <c r="B391" s="1" t="s">
        <v>268</v>
      </c>
      <c r="C391" s="1">
        <v>2016.0</v>
      </c>
      <c r="D391" s="1" t="s">
        <v>2183</v>
      </c>
      <c r="E391" s="1" t="s">
        <v>2184</v>
      </c>
      <c r="H391" s="1" t="s">
        <v>2185</v>
      </c>
      <c r="I391" s="1">
        <v>138.0</v>
      </c>
      <c r="K391" s="2" t="s">
        <v>2186</v>
      </c>
      <c r="L391" s="2" t="s">
        <v>60</v>
      </c>
      <c r="M391" s="1" t="s">
        <v>2190</v>
      </c>
      <c r="N391" s="1" t="s">
        <v>62</v>
      </c>
      <c r="O391" s="1" t="s">
        <v>167</v>
      </c>
      <c r="P391" s="1" t="s">
        <v>588</v>
      </c>
      <c r="Q391" s="1">
        <v>17.533333</v>
      </c>
      <c r="R391" s="1">
        <v>-90.183333</v>
      </c>
      <c r="S391" s="1" t="s">
        <v>148</v>
      </c>
      <c r="T391" s="2" t="s">
        <v>66</v>
      </c>
      <c r="U391" s="3" t="s">
        <v>67</v>
      </c>
      <c r="V391" s="3" t="s">
        <v>68</v>
      </c>
      <c r="W391" s="1" t="s">
        <v>589</v>
      </c>
      <c r="X391" s="1" t="s">
        <v>70</v>
      </c>
      <c r="Y391" s="5" t="s">
        <v>60</v>
      </c>
      <c r="Z391" s="3" t="s">
        <v>345</v>
      </c>
      <c r="AB391" s="1">
        <v>7.0</v>
      </c>
      <c r="AI391" s="2" t="s">
        <v>72</v>
      </c>
      <c r="AJ391" s="1">
        <v>-7000.0</v>
      </c>
      <c r="AK391" s="1">
        <v>2003.0</v>
      </c>
      <c r="AL391" s="2" t="s">
        <v>73</v>
      </c>
      <c r="AM391" s="3" t="s">
        <v>72</v>
      </c>
      <c r="AN391" s="2" t="s">
        <v>72</v>
      </c>
      <c r="AO391" s="2" t="s">
        <v>72</v>
      </c>
      <c r="AQ391" s="2" t="s">
        <v>102</v>
      </c>
      <c r="AR391" s="2" t="s">
        <v>76</v>
      </c>
      <c r="AS391" s="1">
        <v>1598.0</v>
      </c>
      <c r="AT391" s="1">
        <v>1598.0</v>
      </c>
      <c r="AU391" s="1">
        <v>686.0</v>
      </c>
      <c r="AV391" s="1">
        <v>33.0</v>
      </c>
      <c r="AW391" s="1">
        <v>119.0</v>
      </c>
      <c r="AX391" s="1">
        <v>6059.0</v>
      </c>
      <c r="AY391" s="1">
        <v>238.0</v>
      </c>
      <c r="AZ391" s="1" t="s">
        <v>133</v>
      </c>
      <c r="BA391" s="1" t="s">
        <v>121</v>
      </c>
    </row>
    <row r="392">
      <c r="A392" s="1" t="s">
        <v>2182</v>
      </c>
      <c r="B392" s="1" t="s">
        <v>268</v>
      </c>
      <c r="C392" s="1">
        <v>2016.0</v>
      </c>
      <c r="D392" s="1" t="s">
        <v>2183</v>
      </c>
      <c r="E392" s="1" t="s">
        <v>2184</v>
      </c>
      <c r="H392" s="1" t="s">
        <v>2185</v>
      </c>
      <c r="I392" s="1">
        <v>138.0</v>
      </c>
      <c r="K392" s="2" t="s">
        <v>2186</v>
      </c>
      <c r="L392" s="2" t="s">
        <v>60</v>
      </c>
      <c r="M392" s="1" t="s">
        <v>2191</v>
      </c>
      <c r="N392" s="1" t="s">
        <v>62</v>
      </c>
      <c r="O392" s="1" t="s">
        <v>167</v>
      </c>
      <c r="P392" s="1" t="s">
        <v>2189</v>
      </c>
      <c r="Q392" s="1">
        <v>17.8</v>
      </c>
      <c r="R392" s="1">
        <v>-90.116667</v>
      </c>
      <c r="S392" s="1" t="s">
        <v>148</v>
      </c>
      <c r="T392" s="3" t="s">
        <v>1150</v>
      </c>
      <c r="U392" s="3" t="s">
        <v>81</v>
      </c>
      <c r="V392" s="3" t="s">
        <v>68</v>
      </c>
      <c r="W392" s="1" t="s">
        <v>2192</v>
      </c>
      <c r="X392" s="1" t="s">
        <v>2193</v>
      </c>
      <c r="Y392" s="6" t="s">
        <v>76</v>
      </c>
      <c r="Z392" s="3" t="s">
        <v>84</v>
      </c>
      <c r="AB392" s="1">
        <v>9.0</v>
      </c>
      <c r="AI392" s="2" t="s">
        <v>72</v>
      </c>
      <c r="AJ392" s="1">
        <v>-7800.0</v>
      </c>
      <c r="AK392" s="1">
        <v>2001.0</v>
      </c>
      <c r="AL392" s="2" t="s">
        <v>153</v>
      </c>
      <c r="AM392" s="3" t="s">
        <v>72</v>
      </c>
      <c r="AN392" s="2" t="s">
        <v>72</v>
      </c>
      <c r="AO392" s="2" t="s">
        <v>72</v>
      </c>
      <c r="AQ392" s="2" t="s">
        <v>102</v>
      </c>
      <c r="AR392" s="2" t="s">
        <v>76</v>
      </c>
      <c r="AS392" s="1">
        <v>1414.0</v>
      </c>
      <c r="AT392" s="1">
        <v>1414.0</v>
      </c>
      <c r="AU392" s="1">
        <v>624.0</v>
      </c>
      <c r="AV392" s="1">
        <v>32.0</v>
      </c>
      <c r="AW392" s="1">
        <v>106.0</v>
      </c>
      <c r="AX392" s="1">
        <v>6224.0</v>
      </c>
      <c r="AY392" s="1">
        <v>206.0</v>
      </c>
      <c r="AZ392" s="1" t="s">
        <v>133</v>
      </c>
      <c r="BA392" s="1" t="s">
        <v>121</v>
      </c>
    </row>
    <row r="393">
      <c r="A393" s="1" t="s">
        <v>2182</v>
      </c>
      <c r="B393" s="1" t="s">
        <v>268</v>
      </c>
      <c r="C393" s="1">
        <v>2016.0</v>
      </c>
      <c r="D393" s="1" t="s">
        <v>2183</v>
      </c>
      <c r="E393" s="1" t="s">
        <v>2184</v>
      </c>
      <c r="H393" s="1" t="s">
        <v>2185</v>
      </c>
      <c r="I393" s="1">
        <v>138.0</v>
      </c>
      <c r="K393" s="2" t="s">
        <v>2186</v>
      </c>
      <c r="L393" s="2" t="s">
        <v>60</v>
      </c>
      <c r="M393" s="1" t="s">
        <v>2194</v>
      </c>
      <c r="N393" s="1" t="s">
        <v>62</v>
      </c>
      <c r="O393" s="1" t="s">
        <v>167</v>
      </c>
      <c r="P393" s="1" t="s">
        <v>588</v>
      </c>
      <c r="Q393" s="1">
        <v>17.533333</v>
      </c>
      <c r="R393" s="1">
        <v>-90.183333</v>
      </c>
      <c r="S393" s="1" t="s">
        <v>148</v>
      </c>
      <c r="T393" s="3" t="s">
        <v>1150</v>
      </c>
      <c r="U393" s="3" t="s">
        <v>81</v>
      </c>
      <c r="V393" s="3" t="s">
        <v>68</v>
      </c>
      <c r="W393" s="1" t="s">
        <v>2195</v>
      </c>
      <c r="X393" s="1" t="s">
        <v>2193</v>
      </c>
      <c r="Y393" s="6" t="s">
        <v>76</v>
      </c>
      <c r="Z393" s="3" t="s">
        <v>84</v>
      </c>
      <c r="AB393" s="1">
        <v>7.0</v>
      </c>
      <c r="AI393" s="2" t="s">
        <v>72</v>
      </c>
      <c r="AJ393" s="1">
        <v>-7000.0</v>
      </c>
      <c r="AK393" s="1">
        <v>2003.0</v>
      </c>
      <c r="AL393" s="2" t="s">
        <v>73</v>
      </c>
      <c r="AM393" s="3" t="s">
        <v>72</v>
      </c>
      <c r="AN393" s="2" t="s">
        <v>72</v>
      </c>
      <c r="AO393" s="2" t="s">
        <v>72</v>
      </c>
      <c r="AQ393" s="2" t="s">
        <v>102</v>
      </c>
      <c r="AR393" s="2" t="s">
        <v>76</v>
      </c>
      <c r="AS393" s="1">
        <v>1598.0</v>
      </c>
      <c r="AT393" s="1">
        <v>1598.0</v>
      </c>
      <c r="AU393" s="1">
        <v>686.0</v>
      </c>
      <c r="AV393" s="1">
        <v>33.0</v>
      </c>
      <c r="AW393" s="1">
        <v>119.0</v>
      </c>
      <c r="AX393" s="1">
        <v>6059.0</v>
      </c>
      <c r="AY393" s="1">
        <v>238.0</v>
      </c>
      <c r="AZ393" s="1" t="s">
        <v>133</v>
      </c>
      <c r="BA393" s="1" t="s">
        <v>121</v>
      </c>
    </row>
    <row r="394">
      <c r="A394" s="1" t="s">
        <v>2196</v>
      </c>
      <c r="B394" s="1" t="s">
        <v>268</v>
      </c>
      <c r="C394" s="1">
        <v>2016.0</v>
      </c>
      <c r="D394" s="1" t="s">
        <v>2197</v>
      </c>
      <c r="E394" s="1" t="s">
        <v>2198</v>
      </c>
      <c r="H394" s="1" t="s">
        <v>2199</v>
      </c>
      <c r="I394" s="1">
        <v>31.0</v>
      </c>
      <c r="K394" s="2" t="s">
        <v>2200</v>
      </c>
      <c r="L394" s="2" t="s">
        <v>60</v>
      </c>
      <c r="M394" s="1" t="s">
        <v>2201</v>
      </c>
      <c r="N394" s="1" t="s">
        <v>62</v>
      </c>
      <c r="O394" s="1" t="s">
        <v>146</v>
      </c>
      <c r="P394" s="1" t="s">
        <v>2202</v>
      </c>
      <c r="Q394" s="1">
        <v>8.625678</v>
      </c>
      <c r="R394" s="1">
        <v>-80.051178</v>
      </c>
      <c r="S394" s="1" t="s">
        <v>148</v>
      </c>
      <c r="T394" s="2" t="s">
        <v>149</v>
      </c>
      <c r="U394" s="2" t="s">
        <v>96</v>
      </c>
      <c r="V394" s="3" t="s">
        <v>97</v>
      </c>
      <c r="W394" s="1" t="s">
        <v>264</v>
      </c>
      <c r="X394" s="1" t="s">
        <v>70</v>
      </c>
      <c r="Y394" s="6" t="s">
        <v>76</v>
      </c>
      <c r="Z394" s="3" t="s">
        <v>76</v>
      </c>
      <c r="AB394" s="1">
        <v>5.0</v>
      </c>
      <c r="AI394" s="2" t="s">
        <v>72</v>
      </c>
      <c r="AJ394" s="1">
        <v>900.0</v>
      </c>
      <c r="AK394" s="1">
        <v>2012.0</v>
      </c>
      <c r="AL394" s="2" t="s">
        <v>73</v>
      </c>
      <c r="AM394" s="2" t="s">
        <v>72</v>
      </c>
      <c r="AN394" s="2" t="s">
        <v>132</v>
      </c>
      <c r="AO394" s="2" t="s">
        <v>72</v>
      </c>
      <c r="AQ394" s="2" t="s">
        <v>102</v>
      </c>
      <c r="AR394" s="2" t="s">
        <v>76</v>
      </c>
      <c r="AS394" s="1">
        <v>2261.0</v>
      </c>
      <c r="AT394" s="1">
        <v>2261.0</v>
      </c>
      <c r="AU394" s="1">
        <v>1042.0</v>
      </c>
      <c r="AV394" s="1">
        <v>7.0</v>
      </c>
      <c r="AW394" s="1">
        <v>67.0</v>
      </c>
      <c r="AX394" s="1">
        <v>7174.0</v>
      </c>
      <c r="AY394" s="1">
        <v>843.0</v>
      </c>
      <c r="AZ394" s="1" t="s">
        <v>281</v>
      </c>
      <c r="BA394" s="1" t="s">
        <v>121</v>
      </c>
    </row>
    <row r="395">
      <c r="A395" s="1" t="s">
        <v>2196</v>
      </c>
      <c r="B395" s="1" t="s">
        <v>268</v>
      </c>
      <c r="C395" s="1">
        <v>2016.0</v>
      </c>
      <c r="D395" s="1" t="s">
        <v>2197</v>
      </c>
      <c r="E395" s="1" t="s">
        <v>2198</v>
      </c>
      <c r="H395" s="1" t="s">
        <v>2199</v>
      </c>
      <c r="I395" s="1">
        <v>31.0</v>
      </c>
      <c r="K395" s="2" t="s">
        <v>2200</v>
      </c>
      <c r="L395" s="2" t="s">
        <v>60</v>
      </c>
      <c r="M395" s="1" t="s">
        <v>2203</v>
      </c>
      <c r="N395" s="1" t="s">
        <v>62</v>
      </c>
      <c r="O395" s="1" t="s">
        <v>146</v>
      </c>
      <c r="P395" s="1" t="s">
        <v>2202</v>
      </c>
      <c r="Q395" s="1">
        <v>8.625678</v>
      </c>
      <c r="R395" s="1">
        <v>-80.051178</v>
      </c>
      <c r="S395" s="1" t="s">
        <v>148</v>
      </c>
      <c r="T395" s="2" t="s">
        <v>135</v>
      </c>
      <c r="U395" s="2" t="s">
        <v>1073</v>
      </c>
      <c r="V395" s="3" t="s">
        <v>788</v>
      </c>
      <c r="W395" s="1" t="s">
        <v>2204</v>
      </c>
      <c r="X395" s="1" t="s">
        <v>256</v>
      </c>
      <c r="Y395" s="6" t="s">
        <v>76</v>
      </c>
      <c r="Z395" s="3" t="s">
        <v>76</v>
      </c>
      <c r="AB395" s="1">
        <v>5.0</v>
      </c>
      <c r="AI395" s="2" t="s">
        <v>72</v>
      </c>
      <c r="AJ395" s="1">
        <v>900.0</v>
      </c>
      <c r="AK395" s="1">
        <v>2012.0</v>
      </c>
      <c r="AL395" s="2" t="s">
        <v>73</v>
      </c>
      <c r="AM395" s="2" t="s">
        <v>72</v>
      </c>
      <c r="AN395" s="2" t="s">
        <v>132</v>
      </c>
      <c r="AO395" s="2" t="s">
        <v>72</v>
      </c>
      <c r="AQ395" s="2" t="s">
        <v>102</v>
      </c>
      <c r="AR395" s="2" t="s">
        <v>76</v>
      </c>
      <c r="AS395" s="1">
        <v>2261.0</v>
      </c>
      <c r="AT395" s="1">
        <v>2261.0</v>
      </c>
      <c r="AU395" s="1">
        <v>1042.0</v>
      </c>
      <c r="AV395" s="1">
        <v>7.0</v>
      </c>
      <c r="AW395" s="1">
        <v>67.0</v>
      </c>
      <c r="AX395" s="1">
        <v>7174.0</v>
      </c>
      <c r="AY395" s="1">
        <v>843.0</v>
      </c>
      <c r="AZ395" s="1" t="s">
        <v>281</v>
      </c>
      <c r="BA395" s="1" t="s">
        <v>121</v>
      </c>
    </row>
    <row r="396">
      <c r="A396" s="1" t="s">
        <v>2196</v>
      </c>
      <c r="B396" s="1" t="s">
        <v>268</v>
      </c>
      <c r="C396" s="1">
        <v>2016.0</v>
      </c>
      <c r="D396" s="1" t="s">
        <v>2197</v>
      </c>
      <c r="E396" s="1" t="s">
        <v>2198</v>
      </c>
      <c r="H396" s="1" t="s">
        <v>2199</v>
      </c>
      <c r="I396" s="1">
        <v>31.0</v>
      </c>
      <c r="K396" s="2" t="s">
        <v>2200</v>
      </c>
      <c r="L396" s="2" t="s">
        <v>60</v>
      </c>
      <c r="M396" s="1" t="s">
        <v>2205</v>
      </c>
      <c r="N396" s="1" t="s">
        <v>62</v>
      </c>
      <c r="O396" s="1" t="s">
        <v>146</v>
      </c>
      <c r="P396" s="1" t="s">
        <v>2202</v>
      </c>
      <c r="Q396" s="1">
        <v>8.625678</v>
      </c>
      <c r="R396" s="1">
        <v>-80.051178</v>
      </c>
      <c r="S396" s="1" t="s">
        <v>148</v>
      </c>
      <c r="T396" s="2" t="s">
        <v>66</v>
      </c>
      <c r="U396" s="3" t="s">
        <v>314</v>
      </c>
      <c r="V396" s="3" t="s">
        <v>171</v>
      </c>
      <c r="W396" s="1" t="s">
        <v>589</v>
      </c>
      <c r="X396" s="1" t="s">
        <v>70</v>
      </c>
      <c r="Y396" s="6" t="s">
        <v>60</v>
      </c>
      <c r="Z396" s="3" t="s">
        <v>345</v>
      </c>
      <c r="AB396" s="1">
        <v>5.0</v>
      </c>
      <c r="AI396" s="2" t="s">
        <v>72</v>
      </c>
      <c r="AJ396" s="1">
        <v>900.0</v>
      </c>
      <c r="AK396" s="1">
        <v>2012.0</v>
      </c>
      <c r="AL396" s="2" t="s">
        <v>73</v>
      </c>
      <c r="AM396" s="2" t="s">
        <v>72</v>
      </c>
      <c r="AN396" s="2" t="s">
        <v>132</v>
      </c>
      <c r="AO396" s="2" t="s">
        <v>72</v>
      </c>
      <c r="AQ396" s="2" t="s">
        <v>102</v>
      </c>
      <c r="AR396" s="2" t="s">
        <v>76</v>
      </c>
      <c r="AS396" s="1">
        <v>2261.0</v>
      </c>
      <c r="AT396" s="1">
        <v>2261.0</v>
      </c>
      <c r="AU396" s="1">
        <v>1042.0</v>
      </c>
      <c r="AV396" s="1">
        <v>7.0</v>
      </c>
      <c r="AW396" s="1">
        <v>67.0</v>
      </c>
      <c r="AX396" s="1">
        <v>7174.0</v>
      </c>
      <c r="AY396" s="1">
        <v>843.0</v>
      </c>
      <c r="AZ396" s="1" t="s">
        <v>281</v>
      </c>
      <c r="BA396" s="1" t="s">
        <v>121</v>
      </c>
    </row>
    <row r="397">
      <c r="A397" s="1" t="s">
        <v>2196</v>
      </c>
      <c r="B397" s="1" t="s">
        <v>268</v>
      </c>
      <c r="C397" s="1">
        <v>2016.0</v>
      </c>
      <c r="D397" s="1" t="s">
        <v>2197</v>
      </c>
      <c r="E397" s="1" t="s">
        <v>2198</v>
      </c>
      <c r="H397" s="1" t="s">
        <v>2199</v>
      </c>
      <c r="I397" s="1">
        <v>31.0</v>
      </c>
      <c r="K397" s="2" t="s">
        <v>2200</v>
      </c>
      <c r="L397" s="2" t="s">
        <v>60</v>
      </c>
      <c r="M397" s="1" t="s">
        <v>2206</v>
      </c>
      <c r="N397" s="1" t="s">
        <v>62</v>
      </c>
      <c r="O397" s="1" t="s">
        <v>146</v>
      </c>
      <c r="P397" s="1" t="s">
        <v>2202</v>
      </c>
      <c r="Q397" s="1">
        <v>8.625678</v>
      </c>
      <c r="R397" s="1">
        <v>-80.051178</v>
      </c>
      <c r="S397" s="1" t="s">
        <v>148</v>
      </c>
      <c r="T397" s="2" t="s">
        <v>80</v>
      </c>
      <c r="U397" s="3" t="s">
        <v>81</v>
      </c>
      <c r="V397" s="3" t="s">
        <v>171</v>
      </c>
      <c r="W397" s="1" t="s">
        <v>2207</v>
      </c>
      <c r="X397" s="2" t="s">
        <v>158</v>
      </c>
      <c r="Y397" s="6" t="s">
        <v>76</v>
      </c>
      <c r="Z397" s="3" t="s">
        <v>84</v>
      </c>
      <c r="AB397" s="1">
        <v>5.0</v>
      </c>
      <c r="AI397" s="2" t="s">
        <v>72</v>
      </c>
      <c r="AJ397" s="1">
        <v>900.0</v>
      </c>
      <c r="AK397" s="1">
        <v>2012.0</v>
      </c>
      <c r="AL397" s="2" t="s">
        <v>73</v>
      </c>
      <c r="AM397" s="2" t="s">
        <v>72</v>
      </c>
      <c r="AN397" s="2" t="s">
        <v>132</v>
      </c>
      <c r="AO397" s="2" t="s">
        <v>72</v>
      </c>
      <c r="AQ397" s="2" t="s">
        <v>102</v>
      </c>
      <c r="AR397" s="2" t="s">
        <v>76</v>
      </c>
      <c r="AS397" s="1">
        <v>2261.0</v>
      </c>
      <c r="AT397" s="1">
        <v>2261.0</v>
      </c>
      <c r="AU397" s="1">
        <v>1042.0</v>
      </c>
      <c r="AV397" s="1">
        <v>7.0</v>
      </c>
      <c r="AW397" s="1">
        <v>67.0</v>
      </c>
      <c r="AX397" s="1">
        <v>7174.0</v>
      </c>
      <c r="AY397" s="1">
        <v>843.0</v>
      </c>
      <c r="AZ397" s="1" t="s">
        <v>281</v>
      </c>
      <c r="BA397" s="1" t="s">
        <v>121</v>
      </c>
    </row>
    <row r="398">
      <c r="A398" s="1" t="s">
        <v>557</v>
      </c>
      <c r="B398" s="1" t="s">
        <v>53</v>
      </c>
      <c r="C398" s="1">
        <v>2016.0</v>
      </c>
      <c r="D398" s="1" t="s">
        <v>558</v>
      </c>
      <c r="E398" s="1" t="s">
        <v>559</v>
      </c>
      <c r="F398" s="1" t="s">
        <v>560</v>
      </c>
      <c r="G398" s="1" t="s">
        <v>561</v>
      </c>
      <c r="H398" s="1" t="s">
        <v>562</v>
      </c>
      <c r="I398" s="1">
        <v>138.0</v>
      </c>
      <c r="K398" s="2" t="s">
        <v>563</v>
      </c>
      <c r="L398" s="2" t="s">
        <v>76</v>
      </c>
      <c r="M398" s="1" t="s">
        <v>557</v>
      </c>
      <c r="N398" s="1" t="s">
        <v>62</v>
      </c>
      <c r="O398" s="1" t="s">
        <v>92</v>
      </c>
      <c r="P398" s="1" t="s">
        <v>564</v>
      </c>
      <c r="Q398" s="1">
        <v>20.5874</v>
      </c>
      <c r="R398" s="1">
        <v>-87.134033</v>
      </c>
      <c r="S398" s="1" t="s">
        <v>94</v>
      </c>
      <c r="T398" s="2" t="s">
        <v>95</v>
      </c>
      <c r="U398" s="2" t="s">
        <v>96</v>
      </c>
      <c r="V398" s="3" t="s">
        <v>97</v>
      </c>
      <c r="W398" s="1" t="s">
        <v>565</v>
      </c>
      <c r="X398" s="2" t="s">
        <v>99</v>
      </c>
      <c r="Y398" s="6" t="s">
        <v>76</v>
      </c>
      <c r="Z398" s="3" t="s">
        <v>76</v>
      </c>
      <c r="AF398" s="1">
        <v>13.0</v>
      </c>
      <c r="AJ398" s="1">
        <v>-1037.0</v>
      </c>
      <c r="AK398" s="1">
        <v>397.0</v>
      </c>
      <c r="AL398" s="2" t="s">
        <v>153</v>
      </c>
      <c r="AM398" s="3" t="s">
        <v>60</v>
      </c>
      <c r="AN398" s="2" t="s">
        <v>101</v>
      </c>
      <c r="AO398" s="2" t="s">
        <v>101</v>
      </c>
      <c r="AQ398" s="2" t="s">
        <v>102</v>
      </c>
      <c r="AR398" s="2" t="s">
        <v>60</v>
      </c>
      <c r="AS398" s="1">
        <v>1332.0</v>
      </c>
      <c r="AT398" s="1">
        <v>1332.0</v>
      </c>
      <c r="AU398" s="1">
        <v>570.0</v>
      </c>
      <c r="AV398" s="1">
        <v>36.0</v>
      </c>
      <c r="AW398" s="1">
        <v>137.0</v>
      </c>
      <c r="AX398" s="1">
        <v>5474.0</v>
      </c>
      <c r="AY398" s="1">
        <v>3.0</v>
      </c>
      <c r="AZ398" s="1" t="s">
        <v>239</v>
      </c>
      <c r="BA398" s="1" t="s">
        <v>121</v>
      </c>
    </row>
    <row r="399">
      <c r="A399" s="1" t="s">
        <v>1319</v>
      </c>
      <c r="B399" s="1" t="s">
        <v>53</v>
      </c>
      <c r="C399" s="1">
        <v>2016.0</v>
      </c>
      <c r="D399" s="1" t="s">
        <v>1320</v>
      </c>
      <c r="E399" s="1" t="s">
        <v>1321</v>
      </c>
      <c r="F399" s="1" t="s">
        <v>793</v>
      </c>
      <c r="G399" s="1" t="s">
        <v>1322</v>
      </c>
      <c r="H399" s="1" t="s">
        <v>1323</v>
      </c>
      <c r="I399" s="1">
        <v>463.0</v>
      </c>
      <c r="K399" s="2" t="s">
        <v>1324</v>
      </c>
      <c r="L399" s="2" t="s">
        <v>60</v>
      </c>
      <c r="M399" s="1" t="s">
        <v>1325</v>
      </c>
      <c r="N399" s="1" t="s">
        <v>62</v>
      </c>
      <c r="O399" s="1" t="s">
        <v>187</v>
      </c>
      <c r="P399" s="1" t="s">
        <v>1326</v>
      </c>
      <c r="Q399" s="1">
        <v>17.0</v>
      </c>
      <c r="R399" s="1">
        <v>-89.0</v>
      </c>
      <c r="S399" s="1" t="s">
        <v>94</v>
      </c>
      <c r="T399" s="2" t="s">
        <v>95</v>
      </c>
      <c r="U399" s="2" t="s">
        <v>96</v>
      </c>
      <c r="V399" s="3" t="s">
        <v>97</v>
      </c>
      <c r="W399" s="1" t="s">
        <v>1327</v>
      </c>
      <c r="X399" s="2" t="s">
        <v>99</v>
      </c>
      <c r="Y399" s="6" t="s">
        <v>76</v>
      </c>
      <c r="Z399" s="3" t="s">
        <v>76</v>
      </c>
      <c r="AF399" s="1">
        <v>11.0</v>
      </c>
      <c r="AJ399" s="1">
        <v>-4986.0</v>
      </c>
      <c r="AK399" s="1">
        <v>-2756.0</v>
      </c>
      <c r="AL399" s="2" t="s">
        <v>153</v>
      </c>
      <c r="AM399" s="2" t="s">
        <v>72</v>
      </c>
      <c r="AN399" s="2" t="s">
        <v>72</v>
      </c>
      <c r="AO399" s="2" t="s">
        <v>101</v>
      </c>
      <c r="AQ399" s="2" t="s">
        <v>102</v>
      </c>
      <c r="AR399" s="2" t="s">
        <v>76</v>
      </c>
      <c r="AS399" s="1">
        <v>1973.0</v>
      </c>
      <c r="AT399" s="1">
        <v>1973.0</v>
      </c>
      <c r="AU399" s="1">
        <v>780.0</v>
      </c>
      <c r="AV399" s="1">
        <v>46.0</v>
      </c>
      <c r="AW399" s="1">
        <v>170.0</v>
      </c>
      <c r="AX399" s="1">
        <v>5254.0</v>
      </c>
      <c r="AY399" s="1">
        <v>397.0</v>
      </c>
      <c r="AZ399" s="1" t="s">
        <v>133</v>
      </c>
      <c r="BA399" s="1" t="s">
        <v>121</v>
      </c>
    </row>
    <row r="400">
      <c r="A400" s="1" t="s">
        <v>1319</v>
      </c>
      <c r="B400" s="1" t="s">
        <v>53</v>
      </c>
      <c r="C400" s="1">
        <v>2016.0</v>
      </c>
      <c r="D400" s="1" t="s">
        <v>1320</v>
      </c>
      <c r="E400" s="1" t="s">
        <v>1321</v>
      </c>
      <c r="F400" s="1" t="s">
        <v>793</v>
      </c>
      <c r="G400" s="1" t="s">
        <v>1322</v>
      </c>
      <c r="H400" s="1" t="s">
        <v>1323</v>
      </c>
      <c r="I400" s="1">
        <v>463.0</v>
      </c>
      <c r="K400" s="2" t="s">
        <v>1324</v>
      </c>
      <c r="L400" s="2" t="s">
        <v>60</v>
      </c>
      <c r="M400" s="1" t="s">
        <v>1328</v>
      </c>
      <c r="N400" s="1" t="s">
        <v>62</v>
      </c>
      <c r="O400" s="1" t="s">
        <v>187</v>
      </c>
      <c r="P400" s="1" t="s">
        <v>1326</v>
      </c>
      <c r="Q400" s="1">
        <v>17.0</v>
      </c>
      <c r="R400" s="1">
        <v>-89.0</v>
      </c>
      <c r="S400" s="1" t="s">
        <v>94</v>
      </c>
      <c r="T400" s="2" t="s">
        <v>135</v>
      </c>
      <c r="U400" s="2" t="s">
        <v>96</v>
      </c>
      <c r="V400" s="3" t="s">
        <v>97</v>
      </c>
      <c r="W400" s="1" t="s">
        <v>1327</v>
      </c>
      <c r="X400" s="2" t="s">
        <v>99</v>
      </c>
      <c r="Y400" s="6" t="s">
        <v>76</v>
      </c>
      <c r="Z400" s="3" t="s">
        <v>76</v>
      </c>
      <c r="AF400" s="1">
        <v>11.0</v>
      </c>
      <c r="AJ400" s="1">
        <v>-4986.0</v>
      </c>
      <c r="AK400" s="1">
        <v>-2756.0</v>
      </c>
      <c r="AL400" s="2" t="s">
        <v>153</v>
      </c>
      <c r="AM400" s="2" t="s">
        <v>72</v>
      </c>
      <c r="AN400" s="2" t="s">
        <v>72</v>
      </c>
      <c r="AO400" s="2" t="s">
        <v>101</v>
      </c>
      <c r="AQ400" s="2" t="s">
        <v>102</v>
      </c>
      <c r="AR400" s="2" t="s">
        <v>76</v>
      </c>
      <c r="AS400" s="1">
        <v>1973.0</v>
      </c>
      <c r="AT400" s="1">
        <v>1973.0</v>
      </c>
      <c r="AU400" s="1">
        <v>780.0</v>
      </c>
      <c r="AV400" s="1">
        <v>46.0</v>
      </c>
      <c r="AW400" s="1">
        <v>170.0</v>
      </c>
      <c r="AX400" s="1">
        <v>5254.0</v>
      </c>
      <c r="AY400" s="1">
        <v>397.0</v>
      </c>
      <c r="AZ400" s="1" t="s">
        <v>133</v>
      </c>
      <c r="BA400" s="1" t="s">
        <v>121</v>
      </c>
    </row>
    <row r="401">
      <c r="A401" s="1" t="s">
        <v>1465</v>
      </c>
      <c r="B401" s="1" t="s">
        <v>53</v>
      </c>
      <c r="C401" s="1">
        <v>2016.0</v>
      </c>
      <c r="D401" s="1" t="s">
        <v>1466</v>
      </c>
      <c r="E401" s="1" t="s">
        <v>1467</v>
      </c>
      <c r="F401" s="1" t="s">
        <v>1186</v>
      </c>
      <c r="G401" s="1" t="s">
        <v>1468</v>
      </c>
      <c r="H401" s="1" t="s">
        <v>1469</v>
      </c>
      <c r="I401" s="1">
        <v>418.0</v>
      </c>
      <c r="K401" s="2" t="s">
        <v>1470</v>
      </c>
      <c r="L401" s="2" t="s">
        <v>76</v>
      </c>
      <c r="M401" s="1" t="s">
        <v>1465</v>
      </c>
      <c r="N401" s="1" t="s">
        <v>62</v>
      </c>
      <c r="O401" s="1" t="s">
        <v>92</v>
      </c>
      <c r="P401" s="1" t="s">
        <v>1453</v>
      </c>
      <c r="Q401" s="1">
        <v>17.718838</v>
      </c>
      <c r="R401" s="1">
        <v>-91.695387</v>
      </c>
      <c r="S401" s="1" t="s">
        <v>1454</v>
      </c>
      <c r="T401" s="2" t="s">
        <v>382</v>
      </c>
      <c r="U401" s="2" t="s">
        <v>1471</v>
      </c>
      <c r="V401" s="3" t="s">
        <v>68</v>
      </c>
      <c r="W401" s="1" t="s">
        <v>1472</v>
      </c>
      <c r="X401" s="2" t="s">
        <v>544</v>
      </c>
      <c r="Y401" s="6" t="s">
        <v>76</v>
      </c>
      <c r="Z401" s="3" t="s">
        <v>76</v>
      </c>
      <c r="AB401" s="1">
        <v>2.0</v>
      </c>
      <c r="AC401" s="1">
        <v>3.0</v>
      </c>
      <c r="AI401" s="2" t="s">
        <v>1473</v>
      </c>
      <c r="AJ401" s="1">
        <v>-121000.0</v>
      </c>
      <c r="AK401" s="1">
        <v>2000.0</v>
      </c>
      <c r="AL401" s="2" t="s">
        <v>73</v>
      </c>
      <c r="AM401" s="2" t="s">
        <v>72</v>
      </c>
      <c r="AN401" s="2" t="s">
        <v>72</v>
      </c>
      <c r="AO401" s="2" t="s">
        <v>72</v>
      </c>
      <c r="AQ401" s="2" t="s">
        <v>75</v>
      </c>
      <c r="AR401" s="2" t="s">
        <v>76</v>
      </c>
      <c r="AS401" s="1">
        <v>2096.0</v>
      </c>
      <c r="AT401" s="1">
        <v>2096.0</v>
      </c>
      <c r="AU401" s="1">
        <v>892.0</v>
      </c>
      <c r="AV401" s="1">
        <v>57.0</v>
      </c>
      <c r="AW401" s="1">
        <v>205.0</v>
      </c>
      <c r="AX401" s="1">
        <v>5426.0</v>
      </c>
      <c r="AY401" s="1">
        <v>15.0</v>
      </c>
      <c r="AZ401" s="1" t="s">
        <v>1401</v>
      </c>
      <c r="BA401" s="1" t="s">
        <v>121</v>
      </c>
    </row>
    <row r="402">
      <c r="A402" s="1" t="s">
        <v>2208</v>
      </c>
      <c r="B402" s="1" t="s">
        <v>53</v>
      </c>
      <c r="C402" s="1">
        <v>2016.0</v>
      </c>
      <c r="D402" s="1" t="s">
        <v>2209</v>
      </c>
      <c r="E402" s="1" t="s">
        <v>2210</v>
      </c>
      <c r="H402" s="1" t="s">
        <v>2211</v>
      </c>
      <c r="I402" s="1">
        <v>138.0</v>
      </c>
      <c r="K402" s="2" t="s">
        <v>2212</v>
      </c>
      <c r="L402" s="2" t="s">
        <v>60</v>
      </c>
      <c r="M402" s="1" t="s">
        <v>2213</v>
      </c>
      <c r="N402" s="1" t="s">
        <v>62</v>
      </c>
      <c r="O402" s="1" t="s">
        <v>167</v>
      </c>
      <c r="P402" s="1" t="s">
        <v>2189</v>
      </c>
      <c r="Q402" s="1">
        <v>17.815556</v>
      </c>
      <c r="R402" s="1">
        <v>-90.120833</v>
      </c>
      <c r="S402" s="1" t="s">
        <v>148</v>
      </c>
      <c r="T402" s="2" t="s">
        <v>66</v>
      </c>
      <c r="U402" s="3" t="s">
        <v>513</v>
      </c>
      <c r="V402" s="3" t="s">
        <v>171</v>
      </c>
      <c r="W402" s="1" t="s">
        <v>589</v>
      </c>
      <c r="X402" s="1" t="s">
        <v>70</v>
      </c>
      <c r="Y402" s="5" t="s">
        <v>60</v>
      </c>
      <c r="Z402" s="3" t="s">
        <v>345</v>
      </c>
      <c r="AB402" s="1">
        <v>10.0</v>
      </c>
      <c r="AI402" s="1" t="s">
        <v>2214</v>
      </c>
      <c r="AJ402" s="1">
        <v>-7710.0</v>
      </c>
      <c r="AK402" s="1">
        <v>1950.0</v>
      </c>
      <c r="AL402" s="2" t="s">
        <v>100</v>
      </c>
      <c r="AM402" s="2" t="s">
        <v>76</v>
      </c>
      <c r="AN402" s="2" t="s">
        <v>132</v>
      </c>
      <c r="AO402" s="2" t="s">
        <v>76</v>
      </c>
      <c r="AQ402" s="2" t="s">
        <v>102</v>
      </c>
      <c r="AR402" s="2" t="s">
        <v>76</v>
      </c>
      <c r="AS402" s="1">
        <v>1405.0</v>
      </c>
      <c r="AT402" s="1">
        <v>1405.0</v>
      </c>
      <c r="AU402" s="1">
        <v>622.0</v>
      </c>
      <c r="AV402" s="1">
        <v>32.0</v>
      </c>
      <c r="AW402" s="1">
        <v>105.0</v>
      </c>
      <c r="AX402" s="1">
        <v>6231.0</v>
      </c>
      <c r="AY402" s="1">
        <v>196.0</v>
      </c>
      <c r="AZ402" s="1" t="s">
        <v>133</v>
      </c>
      <c r="BA402" s="1" t="s">
        <v>121</v>
      </c>
    </row>
    <row r="403">
      <c r="A403" s="1" t="s">
        <v>2208</v>
      </c>
      <c r="B403" s="1" t="s">
        <v>53</v>
      </c>
      <c r="C403" s="1">
        <v>2016.0</v>
      </c>
      <c r="D403" s="1" t="s">
        <v>2209</v>
      </c>
      <c r="E403" s="1" t="s">
        <v>2210</v>
      </c>
      <c r="H403" s="1" t="s">
        <v>2211</v>
      </c>
      <c r="I403" s="1">
        <v>138.0</v>
      </c>
      <c r="K403" s="2" t="s">
        <v>2212</v>
      </c>
      <c r="L403" s="2" t="s">
        <v>60</v>
      </c>
      <c r="M403" s="1" t="s">
        <v>2215</v>
      </c>
      <c r="N403" s="1" t="s">
        <v>62</v>
      </c>
      <c r="O403" s="1" t="s">
        <v>167</v>
      </c>
      <c r="P403" s="1" t="s">
        <v>2189</v>
      </c>
      <c r="Q403" s="1">
        <v>17.815556</v>
      </c>
      <c r="R403" s="1">
        <v>-90.120833</v>
      </c>
      <c r="S403" s="1" t="s">
        <v>148</v>
      </c>
      <c r="T403" s="2" t="s">
        <v>189</v>
      </c>
      <c r="U403" s="3" t="s">
        <v>96</v>
      </c>
      <c r="V403" s="3" t="s">
        <v>97</v>
      </c>
      <c r="W403" s="1" t="s">
        <v>1598</v>
      </c>
      <c r="X403" s="1" t="s">
        <v>70</v>
      </c>
      <c r="Y403" s="6" t="s">
        <v>76</v>
      </c>
      <c r="Z403" s="3" t="s">
        <v>76</v>
      </c>
      <c r="AB403" s="1">
        <v>10.0</v>
      </c>
      <c r="AI403" s="1" t="s">
        <v>2214</v>
      </c>
      <c r="AJ403" s="1">
        <v>-7710.0</v>
      </c>
      <c r="AK403" s="1">
        <v>1950.0</v>
      </c>
      <c r="AL403" s="2" t="s">
        <v>100</v>
      </c>
      <c r="AM403" s="2" t="s">
        <v>76</v>
      </c>
      <c r="AN403" s="2" t="s">
        <v>132</v>
      </c>
      <c r="AO403" s="2" t="s">
        <v>76</v>
      </c>
      <c r="AQ403" s="2" t="s">
        <v>576</v>
      </c>
      <c r="AR403" s="2" t="s">
        <v>76</v>
      </c>
      <c r="AS403" s="1">
        <v>1405.0</v>
      </c>
      <c r="AT403" s="1">
        <v>1405.0</v>
      </c>
      <c r="AU403" s="1">
        <v>622.0</v>
      </c>
      <c r="AV403" s="1">
        <v>32.0</v>
      </c>
      <c r="AW403" s="1">
        <v>105.0</v>
      </c>
      <c r="AX403" s="1">
        <v>6231.0</v>
      </c>
      <c r="AY403" s="1">
        <v>196.0</v>
      </c>
      <c r="AZ403" s="1" t="s">
        <v>133</v>
      </c>
      <c r="BA403" s="1" t="s">
        <v>121</v>
      </c>
    </row>
    <row r="404">
      <c r="A404" s="1" t="s">
        <v>2208</v>
      </c>
      <c r="B404" s="1" t="s">
        <v>53</v>
      </c>
      <c r="C404" s="1">
        <v>2016.0</v>
      </c>
      <c r="D404" s="1" t="s">
        <v>2209</v>
      </c>
      <c r="E404" s="1" t="s">
        <v>2210</v>
      </c>
      <c r="H404" s="1" t="s">
        <v>2211</v>
      </c>
      <c r="I404" s="1">
        <v>138.0</v>
      </c>
      <c r="K404" s="2" t="s">
        <v>2212</v>
      </c>
      <c r="L404" s="2" t="s">
        <v>60</v>
      </c>
      <c r="M404" s="1" t="s">
        <v>2216</v>
      </c>
      <c r="N404" s="1" t="s">
        <v>62</v>
      </c>
      <c r="O404" s="1" t="s">
        <v>167</v>
      </c>
      <c r="P404" s="1" t="s">
        <v>2189</v>
      </c>
      <c r="Q404" s="1">
        <v>17.815556</v>
      </c>
      <c r="R404" s="1">
        <v>-90.120833</v>
      </c>
      <c r="S404" s="1" t="s">
        <v>148</v>
      </c>
      <c r="T404" s="2" t="s">
        <v>135</v>
      </c>
      <c r="U404" s="1" t="s">
        <v>454</v>
      </c>
      <c r="V404" s="3" t="s">
        <v>68</v>
      </c>
      <c r="W404" s="1" t="s">
        <v>547</v>
      </c>
      <c r="X404" s="2" t="s">
        <v>99</v>
      </c>
      <c r="Y404" s="6" t="s">
        <v>76</v>
      </c>
      <c r="Z404" s="3" t="s">
        <v>411</v>
      </c>
      <c r="AB404" s="1">
        <v>10.0</v>
      </c>
      <c r="AI404" s="1" t="s">
        <v>2214</v>
      </c>
      <c r="AJ404" s="1">
        <v>-7710.0</v>
      </c>
      <c r="AK404" s="1">
        <v>1950.0</v>
      </c>
      <c r="AL404" s="2" t="s">
        <v>100</v>
      </c>
      <c r="AM404" s="2" t="s">
        <v>76</v>
      </c>
      <c r="AN404" s="2" t="s">
        <v>132</v>
      </c>
      <c r="AO404" s="2" t="s">
        <v>76</v>
      </c>
      <c r="AQ404" s="2" t="s">
        <v>576</v>
      </c>
      <c r="AR404" s="2" t="s">
        <v>76</v>
      </c>
      <c r="AS404" s="1">
        <v>1405.0</v>
      </c>
      <c r="AT404" s="1">
        <v>1405.0</v>
      </c>
      <c r="AU404" s="1">
        <v>622.0</v>
      </c>
      <c r="AV404" s="1">
        <v>32.0</v>
      </c>
      <c r="AW404" s="1">
        <v>105.0</v>
      </c>
      <c r="AX404" s="1">
        <v>6231.0</v>
      </c>
      <c r="AY404" s="1">
        <v>196.0</v>
      </c>
      <c r="AZ404" s="1" t="s">
        <v>133</v>
      </c>
      <c r="BA404" s="1" t="s">
        <v>121</v>
      </c>
    </row>
    <row r="405">
      <c r="A405" s="1" t="s">
        <v>2208</v>
      </c>
      <c r="B405" s="1" t="s">
        <v>53</v>
      </c>
      <c r="C405" s="1">
        <v>2016.0</v>
      </c>
      <c r="D405" s="1" t="s">
        <v>2209</v>
      </c>
      <c r="E405" s="1" t="s">
        <v>2210</v>
      </c>
      <c r="H405" s="1" t="s">
        <v>2211</v>
      </c>
      <c r="I405" s="1">
        <v>138.0</v>
      </c>
      <c r="K405" s="2" t="s">
        <v>2212</v>
      </c>
      <c r="L405" s="2" t="s">
        <v>60</v>
      </c>
      <c r="M405" s="1" t="s">
        <v>2217</v>
      </c>
      <c r="N405" s="1" t="s">
        <v>62</v>
      </c>
      <c r="O405" s="1" t="s">
        <v>167</v>
      </c>
      <c r="P405" s="1" t="s">
        <v>2189</v>
      </c>
      <c r="Q405" s="1">
        <v>17.815556</v>
      </c>
      <c r="R405" s="1">
        <v>-90.120833</v>
      </c>
      <c r="S405" s="1" t="s">
        <v>148</v>
      </c>
      <c r="T405" s="2" t="s">
        <v>382</v>
      </c>
      <c r="U405" s="1" t="s">
        <v>173</v>
      </c>
      <c r="V405" s="3" t="s">
        <v>68</v>
      </c>
      <c r="W405" s="1" t="s">
        <v>1268</v>
      </c>
      <c r="X405" s="1" t="s">
        <v>544</v>
      </c>
      <c r="Y405" s="6" t="s">
        <v>76</v>
      </c>
      <c r="Z405" s="1" t="s">
        <v>173</v>
      </c>
      <c r="AB405" s="1">
        <v>10.0</v>
      </c>
      <c r="AI405" s="1" t="s">
        <v>2214</v>
      </c>
      <c r="AJ405" s="1">
        <v>-7710.0</v>
      </c>
      <c r="AK405" s="1">
        <v>1950.0</v>
      </c>
      <c r="AL405" s="2" t="s">
        <v>100</v>
      </c>
      <c r="AM405" s="2" t="s">
        <v>76</v>
      </c>
      <c r="AN405" s="2" t="s">
        <v>132</v>
      </c>
      <c r="AO405" s="2" t="s">
        <v>76</v>
      </c>
      <c r="AQ405" s="2" t="s">
        <v>576</v>
      </c>
      <c r="AR405" s="2" t="s">
        <v>76</v>
      </c>
      <c r="AS405" s="1">
        <v>1405.0</v>
      </c>
      <c r="AT405" s="1">
        <v>1405.0</v>
      </c>
      <c r="AU405" s="1">
        <v>622.0</v>
      </c>
      <c r="AV405" s="1">
        <v>32.0</v>
      </c>
      <c r="AW405" s="1">
        <v>105.0</v>
      </c>
      <c r="AX405" s="1">
        <v>6231.0</v>
      </c>
      <c r="AY405" s="1">
        <v>196.0</v>
      </c>
      <c r="AZ405" s="1" t="s">
        <v>133</v>
      </c>
      <c r="BA405" s="1" t="s">
        <v>121</v>
      </c>
    </row>
    <row r="406">
      <c r="A406" s="1" t="s">
        <v>2208</v>
      </c>
      <c r="B406" s="1" t="s">
        <v>53</v>
      </c>
      <c r="C406" s="1">
        <v>2016.0</v>
      </c>
      <c r="D406" s="1" t="s">
        <v>2209</v>
      </c>
      <c r="E406" s="1" t="s">
        <v>2210</v>
      </c>
      <c r="H406" s="1" t="s">
        <v>2211</v>
      </c>
      <c r="I406" s="1">
        <v>138.0</v>
      </c>
      <c r="K406" s="2" t="s">
        <v>2212</v>
      </c>
      <c r="L406" s="2" t="s">
        <v>60</v>
      </c>
      <c r="M406" s="1" t="s">
        <v>2218</v>
      </c>
      <c r="N406" s="1" t="s">
        <v>62</v>
      </c>
      <c r="O406" s="1" t="s">
        <v>167</v>
      </c>
      <c r="P406" s="1" t="s">
        <v>2189</v>
      </c>
      <c r="Q406" s="1">
        <v>17.815556</v>
      </c>
      <c r="R406" s="1">
        <v>-90.120833</v>
      </c>
      <c r="S406" s="1" t="s">
        <v>148</v>
      </c>
      <c r="T406" s="2" t="s">
        <v>194</v>
      </c>
      <c r="U406" s="2" t="s">
        <v>96</v>
      </c>
      <c r="V406" s="3" t="s">
        <v>97</v>
      </c>
      <c r="W406" s="1" t="s">
        <v>1598</v>
      </c>
      <c r="X406" s="1" t="s">
        <v>70</v>
      </c>
      <c r="Y406" s="6" t="s">
        <v>76</v>
      </c>
      <c r="Z406" s="3" t="s">
        <v>76</v>
      </c>
      <c r="AB406" s="1">
        <v>10.0</v>
      </c>
      <c r="AI406" s="1" t="s">
        <v>2214</v>
      </c>
      <c r="AJ406" s="1">
        <v>-7710.0</v>
      </c>
      <c r="AK406" s="1">
        <v>1950.0</v>
      </c>
      <c r="AL406" s="2" t="s">
        <v>100</v>
      </c>
      <c r="AM406" s="2" t="s">
        <v>76</v>
      </c>
      <c r="AN406" s="2" t="s">
        <v>132</v>
      </c>
      <c r="AO406" s="2" t="s">
        <v>76</v>
      </c>
      <c r="AQ406" s="2" t="s">
        <v>576</v>
      </c>
      <c r="AR406" s="2" t="s">
        <v>76</v>
      </c>
      <c r="AS406" s="1">
        <v>1405.0</v>
      </c>
      <c r="AT406" s="1">
        <v>1405.0</v>
      </c>
      <c r="AU406" s="1">
        <v>622.0</v>
      </c>
      <c r="AV406" s="1">
        <v>32.0</v>
      </c>
      <c r="AW406" s="1">
        <v>105.0</v>
      </c>
      <c r="AX406" s="1">
        <v>6231.0</v>
      </c>
      <c r="AY406" s="1">
        <v>196.0</v>
      </c>
      <c r="AZ406" s="1" t="s">
        <v>133</v>
      </c>
      <c r="BA406" s="1" t="s">
        <v>121</v>
      </c>
    </row>
    <row r="407">
      <c r="A407" s="1" t="s">
        <v>647</v>
      </c>
      <c r="B407" s="1" t="s">
        <v>53</v>
      </c>
      <c r="C407" s="1">
        <v>2017.0</v>
      </c>
      <c r="D407" s="1" t="s">
        <v>648</v>
      </c>
      <c r="E407" s="1" t="s">
        <v>649</v>
      </c>
      <c r="F407" s="1" t="s">
        <v>650</v>
      </c>
      <c r="G407" s="1" t="s">
        <v>651</v>
      </c>
      <c r="H407" s="1" t="s">
        <v>652</v>
      </c>
      <c r="I407" s="1">
        <v>106.0</v>
      </c>
      <c r="J407" s="1">
        <v>1.0</v>
      </c>
      <c r="K407" s="2" t="s">
        <v>653</v>
      </c>
      <c r="L407" s="2" t="s">
        <v>60</v>
      </c>
      <c r="M407" s="1" t="s">
        <v>654</v>
      </c>
      <c r="N407" s="1" t="s">
        <v>62</v>
      </c>
      <c r="O407" s="1" t="s">
        <v>187</v>
      </c>
      <c r="P407" s="1" t="s">
        <v>655</v>
      </c>
      <c r="Q407" s="1">
        <v>17.230639</v>
      </c>
      <c r="R407" s="1">
        <v>-88.30375</v>
      </c>
      <c r="S407" s="1" t="s">
        <v>148</v>
      </c>
      <c r="T407" s="2" t="s">
        <v>275</v>
      </c>
      <c r="U407" s="1" t="s">
        <v>656</v>
      </c>
      <c r="V407" s="3" t="s">
        <v>97</v>
      </c>
      <c r="W407" s="1" t="s">
        <v>278</v>
      </c>
      <c r="X407" s="1" t="s">
        <v>279</v>
      </c>
      <c r="Y407" s="6" t="s">
        <v>76</v>
      </c>
      <c r="Z407" s="3" t="s">
        <v>76</v>
      </c>
      <c r="AB407" s="1">
        <v>2.0</v>
      </c>
      <c r="AI407" s="1" t="s">
        <v>657</v>
      </c>
      <c r="AJ407" s="2" t="s">
        <v>72</v>
      </c>
      <c r="AK407" s="2" t="s">
        <v>72</v>
      </c>
      <c r="AL407" s="2" t="s">
        <v>100</v>
      </c>
      <c r="AM407" s="2" t="s">
        <v>76</v>
      </c>
      <c r="AN407" s="2" t="s">
        <v>524</v>
      </c>
      <c r="AO407" s="2" t="s">
        <v>72</v>
      </c>
      <c r="AQ407" s="2" t="s">
        <v>75</v>
      </c>
      <c r="AR407" s="2" t="s">
        <v>76</v>
      </c>
      <c r="AS407" s="1">
        <v>2032.0</v>
      </c>
      <c r="AT407" s="1">
        <v>2032.0</v>
      </c>
      <c r="AU407" s="1">
        <v>787.0</v>
      </c>
      <c r="AV407" s="1">
        <v>50.0</v>
      </c>
      <c r="AW407" s="1">
        <v>169.0</v>
      </c>
      <c r="AX407" s="1">
        <v>5281.0</v>
      </c>
      <c r="AY407" s="1">
        <v>1.0</v>
      </c>
      <c r="AZ407" s="1" t="s">
        <v>658</v>
      </c>
      <c r="BA407" s="1" t="s">
        <v>659</v>
      </c>
    </row>
    <row r="408">
      <c r="A408" s="1" t="s">
        <v>647</v>
      </c>
      <c r="B408" s="1" t="s">
        <v>53</v>
      </c>
      <c r="C408" s="1">
        <v>2017.0</v>
      </c>
      <c r="D408" s="1" t="s">
        <v>648</v>
      </c>
      <c r="E408" s="1" t="s">
        <v>649</v>
      </c>
      <c r="F408" s="1" t="s">
        <v>650</v>
      </c>
      <c r="G408" s="1" t="s">
        <v>651</v>
      </c>
      <c r="H408" s="1" t="s">
        <v>652</v>
      </c>
      <c r="I408" s="1">
        <v>106.0</v>
      </c>
      <c r="J408" s="1">
        <v>1.0</v>
      </c>
      <c r="K408" s="2" t="s">
        <v>653</v>
      </c>
      <c r="L408" s="2" t="s">
        <v>60</v>
      </c>
      <c r="M408" s="1" t="s">
        <v>660</v>
      </c>
      <c r="N408" s="1" t="s">
        <v>62</v>
      </c>
      <c r="O408" s="1" t="s">
        <v>187</v>
      </c>
      <c r="P408" s="1" t="s">
        <v>655</v>
      </c>
      <c r="Q408" s="1">
        <v>17.211611</v>
      </c>
      <c r="R408" s="1">
        <v>-88.314806</v>
      </c>
      <c r="S408" s="1" t="s">
        <v>148</v>
      </c>
      <c r="T408" s="2" t="s">
        <v>275</v>
      </c>
      <c r="U408" s="1" t="s">
        <v>656</v>
      </c>
      <c r="V408" s="3" t="s">
        <v>97</v>
      </c>
      <c r="W408" s="1" t="s">
        <v>278</v>
      </c>
      <c r="X408" s="1" t="s">
        <v>279</v>
      </c>
      <c r="Y408" s="6" t="s">
        <v>76</v>
      </c>
      <c r="Z408" s="3" t="s">
        <v>76</v>
      </c>
      <c r="AB408" s="1">
        <v>3.0</v>
      </c>
      <c r="AI408" s="1" t="s">
        <v>657</v>
      </c>
      <c r="AJ408" s="2" t="s">
        <v>72</v>
      </c>
      <c r="AK408" s="2" t="s">
        <v>72</v>
      </c>
      <c r="AL408" s="2" t="s">
        <v>100</v>
      </c>
      <c r="AM408" s="2" t="s">
        <v>76</v>
      </c>
      <c r="AN408" s="2" t="s">
        <v>524</v>
      </c>
      <c r="AO408" s="2" t="s">
        <v>72</v>
      </c>
      <c r="AQ408" s="2" t="s">
        <v>75</v>
      </c>
      <c r="AR408" s="2" t="s">
        <v>76</v>
      </c>
      <c r="AS408" s="1">
        <v>2047.0</v>
      </c>
      <c r="AT408" s="1">
        <v>2047.0</v>
      </c>
      <c r="AU408" s="1">
        <v>795.0</v>
      </c>
      <c r="AV408" s="1">
        <v>51.0</v>
      </c>
      <c r="AW408" s="1">
        <v>171.0</v>
      </c>
      <c r="AX408" s="1">
        <v>5295.0</v>
      </c>
      <c r="AY408" s="1">
        <v>2.0</v>
      </c>
      <c r="AZ408" s="1" t="s">
        <v>658</v>
      </c>
      <c r="BA408" s="1" t="s">
        <v>659</v>
      </c>
    </row>
    <row r="409">
      <c r="A409" s="1" t="s">
        <v>647</v>
      </c>
      <c r="B409" s="1" t="s">
        <v>53</v>
      </c>
      <c r="C409" s="1">
        <v>2017.0</v>
      </c>
      <c r="D409" s="1" t="s">
        <v>648</v>
      </c>
      <c r="E409" s="1" t="s">
        <v>649</v>
      </c>
      <c r="F409" s="1" t="s">
        <v>650</v>
      </c>
      <c r="G409" s="1" t="s">
        <v>651</v>
      </c>
      <c r="H409" s="1" t="s">
        <v>652</v>
      </c>
      <c r="I409" s="1">
        <v>106.0</v>
      </c>
      <c r="J409" s="1">
        <v>1.0</v>
      </c>
      <c r="K409" s="2" t="s">
        <v>653</v>
      </c>
      <c r="L409" s="2" t="s">
        <v>60</v>
      </c>
      <c r="M409" s="1" t="s">
        <v>661</v>
      </c>
      <c r="N409" s="1" t="s">
        <v>62</v>
      </c>
      <c r="O409" s="1" t="s">
        <v>187</v>
      </c>
      <c r="P409" s="1" t="s">
        <v>655</v>
      </c>
      <c r="Q409" s="1">
        <v>17.211528</v>
      </c>
      <c r="R409" s="1">
        <v>-88.312833</v>
      </c>
      <c r="S409" s="1" t="s">
        <v>148</v>
      </c>
      <c r="T409" s="2" t="s">
        <v>275</v>
      </c>
      <c r="U409" s="1" t="s">
        <v>656</v>
      </c>
      <c r="V409" s="3" t="s">
        <v>97</v>
      </c>
      <c r="W409" s="1" t="s">
        <v>278</v>
      </c>
      <c r="X409" s="1" t="s">
        <v>279</v>
      </c>
      <c r="Y409" s="6" t="s">
        <v>76</v>
      </c>
      <c r="Z409" s="3" t="s">
        <v>76</v>
      </c>
      <c r="AB409" s="1">
        <v>4.0</v>
      </c>
      <c r="AI409" s="1" t="s">
        <v>657</v>
      </c>
      <c r="AJ409" s="2" t="s">
        <v>72</v>
      </c>
      <c r="AK409" s="2" t="s">
        <v>72</v>
      </c>
      <c r="AL409" s="2" t="s">
        <v>100</v>
      </c>
      <c r="AM409" s="2" t="s">
        <v>76</v>
      </c>
      <c r="AN409" s="2" t="s">
        <v>524</v>
      </c>
      <c r="AO409" s="2" t="s">
        <v>72</v>
      </c>
      <c r="AQ409" s="2" t="s">
        <v>75</v>
      </c>
      <c r="AR409" s="2" t="s">
        <v>76</v>
      </c>
      <c r="AS409" s="1">
        <v>2047.0</v>
      </c>
      <c r="AT409" s="1">
        <v>2047.0</v>
      </c>
      <c r="AU409" s="1">
        <v>795.0</v>
      </c>
      <c r="AV409" s="1">
        <v>51.0</v>
      </c>
      <c r="AW409" s="1">
        <v>171.0</v>
      </c>
      <c r="AX409" s="1">
        <v>5295.0</v>
      </c>
      <c r="AY409" s="1">
        <v>2.0</v>
      </c>
      <c r="AZ409" s="1" t="s">
        <v>658</v>
      </c>
      <c r="BA409" s="1" t="s">
        <v>659</v>
      </c>
    </row>
    <row r="410">
      <c r="A410" s="1" t="s">
        <v>647</v>
      </c>
      <c r="B410" s="1" t="s">
        <v>53</v>
      </c>
      <c r="C410" s="1">
        <v>2017.0</v>
      </c>
      <c r="D410" s="1" t="s">
        <v>648</v>
      </c>
      <c r="E410" s="1" t="s">
        <v>649</v>
      </c>
      <c r="F410" s="1" t="s">
        <v>650</v>
      </c>
      <c r="G410" s="1" t="s">
        <v>651</v>
      </c>
      <c r="H410" s="1" t="s">
        <v>652</v>
      </c>
      <c r="I410" s="1">
        <v>106.0</v>
      </c>
      <c r="J410" s="1">
        <v>1.0</v>
      </c>
      <c r="K410" s="2" t="s">
        <v>653</v>
      </c>
      <c r="L410" s="2" t="s">
        <v>60</v>
      </c>
      <c r="M410" s="1" t="s">
        <v>662</v>
      </c>
      <c r="N410" s="1" t="s">
        <v>62</v>
      </c>
      <c r="O410" s="1" t="s">
        <v>187</v>
      </c>
      <c r="P410" s="1" t="s">
        <v>655</v>
      </c>
      <c r="Q410" s="1">
        <v>17.211389</v>
      </c>
      <c r="R410" s="1">
        <v>-88.317556</v>
      </c>
      <c r="S410" s="1" t="s">
        <v>148</v>
      </c>
      <c r="T410" s="2" t="s">
        <v>275</v>
      </c>
      <c r="U410" s="1" t="s">
        <v>656</v>
      </c>
      <c r="V410" s="3" t="s">
        <v>97</v>
      </c>
      <c r="W410" s="1" t="s">
        <v>278</v>
      </c>
      <c r="X410" s="1" t="s">
        <v>279</v>
      </c>
      <c r="Y410" s="6" t="s">
        <v>76</v>
      </c>
      <c r="Z410" s="3" t="s">
        <v>76</v>
      </c>
      <c r="AB410" s="1">
        <v>1.0</v>
      </c>
      <c r="AI410" s="1" t="s">
        <v>663</v>
      </c>
      <c r="AJ410" s="2" t="s">
        <v>72</v>
      </c>
      <c r="AK410" s="2" t="s">
        <v>72</v>
      </c>
      <c r="AL410" s="2" t="s">
        <v>100</v>
      </c>
      <c r="AM410" s="2" t="s">
        <v>76</v>
      </c>
      <c r="AN410" s="2" t="s">
        <v>524</v>
      </c>
      <c r="AO410" s="2" t="s">
        <v>72</v>
      </c>
      <c r="AQ410" s="2" t="s">
        <v>75</v>
      </c>
      <c r="AR410" s="2" t="s">
        <v>76</v>
      </c>
      <c r="AS410" s="1">
        <v>2055.0</v>
      </c>
      <c r="AT410" s="1">
        <v>2055.0</v>
      </c>
      <c r="AU410" s="1">
        <v>797.0</v>
      </c>
      <c r="AV410" s="1">
        <v>51.0</v>
      </c>
      <c r="AW410" s="1">
        <v>172.0</v>
      </c>
      <c r="AX410" s="1">
        <v>5286.0</v>
      </c>
      <c r="AY410" s="1">
        <v>2.0</v>
      </c>
      <c r="AZ410" s="1" t="s">
        <v>658</v>
      </c>
      <c r="BA410" s="1" t="s">
        <v>659</v>
      </c>
    </row>
    <row r="411">
      <c r="A411" s="1" t="s">
        <v>647</v>
      </c>
      <c r="B411" s="1" t="s">
        <v>53</v>
      </c>
      <c r="C411" s="1">
        <v>2017.0</v>
      </c>
      <c r="D411" s="1" t="s">
        <v>648</v>
      </c>
      <c r="E411" s="1" t="s">
        <v>649</v>
      </c>
      <c r="F411" s="1" t="s">
        <v>650</v>
      </c>
      <c r="G411" s="1" t="s">
        <v>651</v>
      </c>
      <c r="H411" s="1" t="s">
        <v>652</v>
      </c>
      <c r="I411" s="1">
        <v>106.0</v>
      </c>
      <c r="J411" s="1">
        <v>1.0</v>
      </c>
      <c r="K411" s="2" t="s">
        <v>653</v>
      </c>
      <c r="L411" s="2" t="s">
        <v>60</v>
      </c>
      <c r="M411" s="1" t="s">
        <v>664</v>
      </c>
      <c r="N411" s="1" t="s">
        <v>62</v>
      </c>
      <c r="O411" s="1" t="s">
        <v>187</v>
      </c>
      <c r="P411" s="1" t="s">
        <v>655</v>
      </c>
      <c r="Q411" s="1">
        <v>17.211056</v>
      </c>
      <c r="R411" s="1">
        <v>-88.303833</v>
      </c>
      <c r="S411" s="1" t="s">
        <v>148</v>
      </c>
      <c r="T411" s="2" t="s">
        <v>275</v>
      </c>
      <c r="U411" s="1" t="s">
        <v>656</v>
      </c>
      <c r="V411" s="3" t="s">
        <v>97</v>
      </c>
      <c r="W411" s="1" t="s">
        <v>278</v>
      </c>
      <c r="X411" s="1" t="s">
        <v>279</v>
      </c>
      <c r="Y411" s="6" t="s">
        <v>76</v>
      </c>
      <c r="Z411" s="3" t="s">
        <v>76</v>
      </c>
      <c r="AB411" s="1">
        <v>2.0</v>
      </c>
      <c r="AI411" s="1" t="s">
        <v>657</v>
      </c>
      <c r="AJ411" s="2" t="s">
        <v>72</v>
      </c>
      <c r="AK411" s="2" t="s">
        <v>72</v>
      </c>
      <c r="AL411" s="2" t="s">
        <v>100</v>
      </c>
      <c r="AM411" s="2" t="s">
        <v>76</v>
      </c>
      <c r="AN411" s="2" t="s">
        <v>524</v>
      </c>
      <c r="AO411" s="2" t="s">
        <v>72</v>
      </c>
      <c r="AQ411" s="2" t="s">
        <v>75</v>
      </c>
      <c r="AR411" s="2" t="s">
        <v>76</v>
      </c>
      <c r="AS411" s="1">
        <v>2046.0</v>
      </c>
      <c r="AT411" s="1">
        <v>2046.0</v>
      </c>
      <c r="AU411" s="1">
        <v>792.0</v>
      </c>
      <c r="AV411" s="1">
        <v>51.0</v>
      </c>
      <c r="AW411" s="1">
        <v>171.0</v>
      </c>
      <c r="AX411" s="1">
        <v>5270.0</v>
      </c>
      <c r="AY411" s="1">
        <v>1.0</v>
      </c>
      <c r="AZ411" s="1" t="s">
        <v>658</v>
      </c>
      <c r="BA411" s="1" t="s">
        <v>659</v>
      </c>
    </row>
    <row r="412">
      <c r="A412" s="1" t="s">
        <v>647</v>
      </c>
      <c r="B412" s="1" t="s">
        <v>53</v>
      </c>
      <c r="C412" s="1">
        <v>2017.0</v>
      </c>
      <c r="D412" s="1" t="s">
        <v>648</v>
      </c>
      <c r="E412" s="1" t="s">
        <v>649</v>
      </c>
      <c r="F412" s="1" t="s">
        <v>650</v>
      </c>
      <c r="G412" s="1" t="s">
        <v>651</v>
      </c>
      <c r="H412" s="1" t="s">
        <v>652</v>
      </c>
      <c r="I412" s="1">
        <v>106.0</v>
      </c>
      <c r="J412" s="1">
        <v>1.0</v>
      </c>
      <c r="K412" s="2" t="s">
        <v>653</v>
      </c>
      <c r="L412" s="2" t="s">
        <v>60</v>
      </c>
      <c r="M412" s="1" t="s">
        <v>672</v>
      </c>
      <c r="N412" s="1" t="s">
        <v>62</v>
      </c>
      <c r="O412" s="1" t="s">
        <v>187</v>
      </c>
      <c r="P412" s="1" t="s">
        <v>673</v>
      </c>
      <c r="Q412" s="1">
        <v>17.119889</v>
      </c>
      <c r="R412" s="1">
        <v>-88.300611</v>
      </c>
      <c r="S412" s="1" t="s">
        <v>674</v>
      </c>
      <c r="T412" s="2" t="s">
        <v>275</v>
      </c>
      <c r="U412" s="1" t="s">
        <v>656</v>
      </c>
      <c r="V412" s="3" t="s">
        <v>97</v>
      </c>
      <c r="W412" s="1" t="s">
        <v>278</v>
      </c>
      <c r="X412" s="1" t="s">
        <v>279</v>
      </c>
      <c r="Y412" s="6" t="s">
        <v>76</v>
      </c>
      <c r="Z412" s="3" t="s">
        <v>76</v>
      </c>
      <c r="AB412" s="1">
        <v>2.0</v>
      </c>
      <c r="AI412" s="1" t="s">
        <v>675</v>
      </c>
      <c r="AJ412" s="2" t="s">
        <v>72</v>
      </c>
      <c r="AK412" s="2" t="s">
        <v>72</v>
      </c>
      <c r="AL412" s="2" t="s">
        <v>100</v>
      </c>
      <c r="AM412" s="2" t="s">
        <v>76</v>
      </c>
      <c r="AN412" s="2" t="s">
        <v>524</v>
      </c>
      <c r="AO412" s="2" t="s">
        <v>72</v>
      </c>
      <c r="AQ412" s="2" t="s">
        <v>75</v>
      </c>
      <c r="AR412" s="2" t="s">
        <v>76</v>
      </c>
      <c r="AS412" s="1">
        <v>2143.0</v>
      </c>
      <c r="AT412" s="1">
        <v>2143.0</v>
      </c>
      <c r="AU412" s="1">
        <v>827.0</v>
      </c>
      <c r="AV412" s="1">
        <v>54.0</v>
      </c>
      <c r="AW412" s="1">
        <v>177.0</v>
      </c>
      <c r="AX412" s="1">
        <v>5251.0</v>
      </c>
      <c r="AY412" s="1">
        <v>3.0</v>
      </c>
      <c r="AZ412" s="1" t="s">
        <v>133</v>
      </c>
      <c r="BA412" s="1" t="s">
        <v>121</v>
      </c>
    </row>
    <row r="413">
      <c r="A413" s="1" t="s">
        <v>647</v>
      </c>
      <c r="B413" s="1" t="s">
        <v>53</v>
      </c>
      <c r="C413" s="1">
        <v>2017.0</v>
      </c>
      <c r="D413" s="1" t="s">
        <v>648</v>
      </c>
      <c r="E413" s="1" t="s">
        <v>649</v>
      </c>
      <c r="F413" s="1" t="s">
        <v>650</v>
      </c>
      <c r="G413" s="1" t="s">
        <v>651</v>
      </c>
      <c r="H413" s="1" t="s">
        <v>652</v>
      </c>
      <c r="I413" s="1">
        <v>106.0</v>
      </c>
      <c r="J413" s="1">
        <v>1.0</v>
      </c>
      <c r="K413" s="2" t="s">
        <v>653</v>
      </c>
      <c r="L413" s="2" t="s">
        <v>60</v>
      </c>
      <c r="M413" s="1" t="s">
        <v>676</v>
      </c>
      <c r="N413" s="1" t="s">
        <v>62</v>
      </c>
      <c r="O413" s="1" t="s">
        <v>187</v>
      </c>
      <c r="P413" s="1" t="s">
        <v>673</v>
      </c>
      <c r="Q413" s="1">
        <v>17.119833</v>
      </c>
      <c r="R413" s="1">
        <v>-88.3</v>
      </c>
      <c r="S413" s="1" t="s">
        <v>674</v>
      </c>
      <c r="T413" s="2" t="s">
        <v>275</v>
      </c>
      <c r="U413" s="1" t="s">
        <v>656</v>
      </c>
      <c r="V413" s="3" t="s">
        <v>97</v>
      </c>
      <c r="W413" s="1" t="s">
        <v>278</v>
      </c>
      <c r="X413" s="1" t="s">
        <v>279</v>
      </c>
      <c r="Y413" s="6" t="s">
        <v>76</v>
      </c>
      <c r="Z413" s="3" t="s">
        <v>76</v>
      </c>
      <c r="AB413" s="1">
        <v>3.0</v>
      </c>
      <c r="AI413" s="1" t="s">
        <v>657</v>
      </c>
      <c r="AJ413" s="2" t="s">
        <v>72</v>
      </c>
      <c r="AK413" s="2" t="s">
        <v>72</v>
      </c>
      <c r="AL413" s="2" t="s">
        <v>100</v>
      </c>
      <c r="AM413" s="2" t="s">
        <v>76</v>
      </c>
      <c r="AN413" s="2" t="s">
        <v>524</v>
      </c>
      <c r="AO413" s="2" t="s">
        <v>72</v>
      </c>
      <c r="AQ413" s="2" t="s">
        <v>75</v>
      </c>
      <c r="AR413" s="2" t="s">
        <v>76</v>
      </c>
      <c r="AS413" s="1">
        <v>2143.0</v>
      </c>
      <c r="AT413" s="1">
        <v>2143.0</v>
      </c>
      <c r="AU413" s="1">
        <v>827.0</v>
      </c>
      <c r="AV413" s="1">
        <v>54.0</v>
      </c>
      <c r="AW413" s="1">
        <v>177.0</v>
      </c>
      <c r="AX413" s="1">
        <v>5251.0</v>
      </c>
      <c r="AY413" s="1">
        <v>3.0</v>
      </c>
      <c r="AZ413" s="1" t="s">
        <v>133</v>
      </c>
      <c r="BA413" s="1" t="s">
        <v>121</v>
      </c>
    </row>
    <row r="414">
      <c r="A414" s="1" t="s">
        <v>647</v>
      </c>
      <c r="B414" s="1" t="s">
        <v>53</v>
      </c>
      <c r="C414" s="1">
        <v>2017.0</v>
      </c>
      <c r="D414" s="1" t="s">
        <v>648</v>
      </c>
      <c r="E414" s="1" t="s">
        <v>649</v>
      </c>
      <c r="F414" s="1" t="s">
        <v>650</v>
      </c>
      <c r="G414" s="1" t="s">
        <v>651</v>
      </c>
      <c r="H414" s="1" t="s">
        <v>652</v>
      </c>
      <c r="I414" s="1">
        <v>106.0</v>
      </c>
      <c r="J414" s="1">
        <v>1.0</v>
      </c>
      <c r="K414" s="2" t="s">
        <v>653</v>
      </c>
      <c r="L414" s="2" t="s">
        <v>60</v>
      </c>
      <c r="M414" s="1" t="s">
        <v>677</v>
      </c>
      <c r="N414" s="1" t="s">
        <v>62</v>
      </c>
      <c r="O414" s="1" t="s">
        <v>187</v>
      </c>
      <c r="P414" s="1" t="s">
        <v>673</v>
      </c>
      <c r="Q414" s="1">
        <v>17.119611</v>
      </c>
      <c r="R414" s="1">
        <v>-88.301833</v>
      </c>
      <c r="S414" s="1" t="s">
        <v>674</v>
      </c>
      <c r="T414" s="2" t="s">
        <v>275</v>
      </c>
      <c r="U414" s="1" t="s">
        <v>656</v>
      </c>
      <c r="V414" s="3" t="s">
        <v>97</v>
      </c>
      <c r="W414" s="1" t="s">
        <v>278</v>
      </c>
      <c r="X414" s="1" t="s">
        <v>279</v>
      </c>
      <c r="Y414" s="6" t="s">
        <v>76</v>
      </c>
      <c r="Z414" s="3" t="s">
        <v>76</v>
      </c>
      <c r="AB414" s="1">
        <v>1.0</v>
      </c>
      <c r="AI414" s="1" t="s">
        <v>675</v>
      </c>
      <c r="AJ414" s="2" t="s">
        <v>72</v>
      </c>
      <c r="AK414" s="2" t="s">
        <v>72</v>
      </c>
      <c r="AL414" s="2" t="s">
        <v>100</v>
      </c>
      <c r="AM414" s="2" t="s">
        <v>76</v>
      </c>
      <c r="AN414" s="2" t="s">
        <v>524</v>
      </c>
      <c r="AO414" s="2" t="s">
        <v>72</v>
      </c>
      <c r="AQ414" s="2" t="s">
        <v>75</v>
      </c>
      <c r="AR414" s="2" t="s">
        <v>76</v>
      </c>
      <c r="AS414" s="1">
        <v>2143.0</v>
      </c>
      <c r="AT414" s="1">
        <v>2143.0</v>
      </c>
      <c r="AU414" s="1">
        <v>827.0</v>
      </c>
      <c r="AV414" s="1">
        <v>54.0</v>
      </c>
      <c r="AW414" s="1">
        <v>177.0</v>
      </c>
      <c r="AX414" s="1">
        <v>5251.0</v>
      </c>
      <c r="AY414" s="1">
        <v>3.0</v>
      </c>
      <c r="AZ414" s="1" t="s">
        <v>133</v>
      </c>
      <c r="BA414" s="1" t="s">
        <v>121</v>
      </c>
    </row>
    <row r="415">
      <c r="A415" s="1" t="s">
        <v>647</v>
      </c>
      <c r="B415" s="1" t="s">
        <v>53</v>
      </c>
      <c r="C415" s="1">
        <v>2017.0</v>
      </c>
      <c r="D415" s="1" t="s">
        <v>648</v>
      </c>
      <c r="E415" s="1" t="s">
        <v>649</v>
      </c>
      <c r="F415" s="1" t="s">
        <v>650</v>
      </c>
      <c r="G415" s="1" t="s">
        <v>651</v>
      </c>
      <c r="H415" s="1" t="s">
        <v>652</v>
      </c>
      <c r="I415" s="1">
        <v>106.0</v>
      </c>
      <c r="J415" s="1">
        <v>1.0</v>
      </c>
      <c r="K415" s="2" t="s">
        <v>653</v>
      </c>
      <c r="L415" s="2" t="s">
        <v>60</v>
      </c>
      <c r="M415" s="1" t="s">
        <v>678</v>
      </c>
      <c r="N415" s="1" t="s">
        <v>62</v>
      </c>
      <c r="O415" s="1" t="s">
        <v>187</v>
      </c>
      <c r="P415" s="1" t="s">
        <v>673</v>
      </c>
      <c r="Q415" s="1">
        <v>17.119583</v>
      </c>
      <c r="R415" s="1">
        <v>-88.301528</v>
      </c>
      <c r="S415" s="1" t="s">
        <v>674</v>
      </c>
      <c r="T415" s="2" t="s">
        <v>275</v>
      </c>
      <c r="U415" s="1" t="s">
        <v>656</v>
      </c>
      <c r="V415" s="3" t="s">
        <v>97</v>
      </c>
      <c r="W415" s="1" t="s">
        <v>278</v>
      </c>
      <c r="X415" s="1" t="s">
        <v>279</v>
      </c>
      <c r="Y415" s="6" t="s">
        <v>76</v>
      </c>
      <c r="Z415" s="3" t="s">
        <v>76</v>
      </c>
      <c r="AB415" s="1">
        <v>2.0</v>
      </c>
      <c r="AI415" s="1" t="s">
        <v>675</v>
      </c>
      <c r="AJ415" s="2" t="s">
        <v>72</v>
      </c>
      <c r="AK415" s="2" t="s">
        <v>72</v>
      </c>
      <c r="AL415" s="2" t="s">
        <v>100</v>
      </c>
      <c r="AM415" s="2" t="s">
        <v>76</v>
      </c>
      <c r="AN415" s="2" t="s">
        <v>524</v>
      </c>
      <c r="AO415" s="2" t="s">
        <v>72</v>
      </c>
      <c r="AQ415" s="2" t="s">
        <v>75</v>
      </c>
      <c r="AR415" s="2" t="s">
        <v>76</v>
      </c>
      <c r="AS415" s="1">
        <v>2143.0</v>
      </c>
      <c r="AT415" s="1">
        <v>2143.0</v>
      </c>
      <c r="AU415" s="1">
        <v>827.0</v>
      </c>
      <c r="AV415" s="1">
        <v>54.0</v>
      </c>
      <c r="AW415" s="1">
        <v>177.0</v>
      </c>
      <c r="AX415" s="1">
        <v>5251.0</v>
      </c>
      <c r="AY415" s="1">
        <v>3.0</v>
      </c>
      <c r="AZ415" s="1" t="s">
        <v>133</v>
      </c>
      <c r="BA415" s="1" t="s">
        <v>121</v>
      </c>
    </row>
    <row r="416">
      <c r="A416" s="1" t="s">
        <v>647</v>
      </c>
      <c r="B416" s="1" t="s">
        <v>53</v>
      </c>
      <c r="C416" s="1">
        <v>2017.0</v>
      </c>
      <c r="D416" s="1" t="s">
        <v>648</v>
      </c>
      <c r="E416" s="1" t="s">
        <v>649</v>
      </c>
      <c r="F416" s="1" t="s">
        <v>650</v>
      </c>
      <c r="G416" s="1" t="s">
        <v>651</v>
      </c>
      <c r="H416" s="1" t="s">
        <v>652</v>
      </c>
      <c r="I416" s="1">
        <v>106.0</v>
      </c>
      <c r="J416" s="1">
        <v>1.0</v>
      </c>
      <c r="K416" s="2" t="s">
        <v>653</v>
      </c>
      <c r="L416" s="2" t="s">
        <v>60</v>
      </c>
      <c r="M416" s="1" t="s">
        <v>679</v>
      </c>
      <c r="N416" s="1" t="s">
        <v>62</v>
      </c>
      <c r="O416" s="1" t="s">
        <v>187</v>
      </c>
      <c r="P416" s="1" t="s">
        <v>680</v>
      </c>
      <c r="Q416" s="1">
        <v>17.060444</v>
      </c>
      <c r="R416" s="1">
        <v>-88.253278</v>
      </c>
      <c r="S416" s="1" t="s">
        <v>148</v>
      </c>
      <c r="T416" s="2" t="s">
        <v>275</v>
      </c>
      <c r="U416" s="1" t="s">
        <v>656</v>
      </c>
      <c r="V416" s="3" t="s">
        <v>97</v>
      </c>
      <c r="W416" s="1" t="s">
        <v>278</v>
      </c>
      <c r="X416" s="1" t="s">
        <v>279</v>
      </c>
      <c r="Y416" s="6" t="s">
        <v>76</v>
      </c>
      <c r="Z416" s="3" t="s">
        <v>76</v>
      </c>
      <c r="AB416" s="1">
        <v>2.0</v>
      </c>
      <c r="AI416" s="1" t="s">
        <v>663</v>
      </c>
      <c r="AJ416" s="2" t="s">
        <v>72</v>
      </c>
      <c r="AK416" s="2" t="s">
        <v>72</v>
      </c>
      <c r="AL416" s="2" t="s">
        <v>100</v>
      </c>
      <c r="AM416" s="2" t="s">
        <v>76</v>
      </c>
      <c r="AN416" s="2" t="s">
        <v>524</v>
      </c>
      <c r="AO416" s="2" t="s">
        <v>72</v>
      </c>
      <c r="AQ416" s="2" t="s">
        <v>75</v>
      </c>
      <c r="AR416" s="2" t="s">
        <v>76</v>
      </c>
      <c r="AS416" s="1">
        <v>2197.0</v>
      </c>
      <c r="AT416" s="1">
        <v>2197.0</v>
      </c>
      <c r="AU416" s="1">
        <v>842.0</v>
      </c>
      <c r="AV416" s="1">
        <v>55.0</v>
      </c>
      <c r="AW416" s="1">
        <v>182.0</v>
      </c>
      <c r="AX416" s="1">
        <v>5170.0</v>
      </c>
      <c r="AY416" s="1">
        <v>3.0</v>
      </c>
      <c r="AZ416" s="1" t="s">
        <v>658</v>
      </c>
      <c r="BA416" s="1" t="s">
        <v>659</v>
      </c>
    </row>
    <row r="417">
      <c r="A417" s="1" t="s">
        <v>647</v>
      </c>
      <c r="B417" s="1" t="s">
        <v>53</v>
      </c>
      <c r="C417" s="1">
        <v>2017.0</v>
      </c>
      <c r="D417" s="1" t="s">
        <v>648</v>
      </c>
      <c r="E417" s="1" t="s">
        <v>649</v>
      </c>
      <c r="F417" s="1" t="s">
        <v>650</v>
      </c>
      <c r="G417" s="1" t="s">
        <v>651</v>
      </c>
      <c r="H417" s="1" t="s">
        <v>652</v>
      </c>
      <c r="I417" s="1">
        <v>106.0</v>
      </c>
      <c r="J417" s="1">
        <v>1.0</v>
      </c>
      <c r="K417" s="2" t="s">
        <v>653</v>
      </c>
      <c r="L417" s="2" t="s">
        <v>60</v>
      </c>
      <c r="M417" s="1" t="s">
        <v>681</v>
      </c>
      <c r="N417" s="1" t="s">
        <v>62</v>
      </c>
      <c r="O417" s="1" t="s">
        <v>187</v>
      </c>
      <c r="P417" s="1" t="s">
        <v>680</v>
      </c>
      <c r="Q417" s="1">
        <v>17.057528</v>
      </c>
      <c r="R417" s="1">
        <v>-88.274111</v>
      </c>
      <c r="S417" s="1" t="s">
        <v>148</v>
      </c>
      <c r="T417" s="2" t="s">
        <v>275</v>
      </c>
      <c r="U417" s="1" t="s">
        <v>656</v>
      </c>
      <c r="V417" s="3" t="s">
        <v>97</v>
      </c>
      <c r="W417" s="1" t="s">
        <v>278</v>
      </c>
      <c r="X417" s="1" t="s">
        <v>279</v>
      </c>
      <c r="Y417" s="6" t="s">
        <v>76</v>
      </c>
      <c r="Z417" s="3" t="s">
        <v>76</v>
      </c>
      <c r="AI417" s="2" t="s">
        <v>72</v>
      </c>
      <c r="AJ417" s="2" t="s">
        <v>72</v>
      </c>
      <c r="AK417" s="2" t="s">
        <v>72</v>
      </c>
      <c r="AL417" s="2" t="s">
        <v>100</v>
      </c>
      <c r="AM417" s="2" t="s">
        <v>76</v>
      </c>
      <c r="AN417" s="2" t="s">
        <v>524</v>
      </c>
      <c r="AO417" s="2" t="s">
        <v>72</v>
      </c>
      <c r="AQ417" s="2" t="s">
        <v>75</v>
      </c>
      <c r="AR417" s="2" t="s">
        <v>76</v>
      </c>
      <c r="AS417" s="1">
        <v>2229.0</v>
      </c>
      <c r="AT417" s="1">
        <v>2229.0</v>
      </c>
      <c r="AU417" s="1">
        <v>851.0</v>
      </c>
      <c r="AV417" s="1">
        <v>56.0</v>
      </c>
      <c r="AW417" s="1">
        <v>185.0</v>
      </c>
      <c r="AX417" s="1">
        <v>5127.0</v>
      </c>
      <c r="AY417" s="1">
        <v>1.0</v>
      </c>
      <c r="AZ417" s="1" t="s">
        <v>133</v>
      </c>
      <c r="BA417" s="1" t="s">
        <v>121</v>
      </c>
    </row>
    <row r="418">
      <c r="A418" s="1" t="s">
        <v>647</v>
      </c>
      <c r="B418" s="1" t="s">
        <v>53</v>
      </c>
      <c r="C418" s="1">
        <v>2017.0</v>
      </c>
      <c r="D418" s="1" t="s">
        <v>648</v>
      </c>
      <c r="E418" s="1" t="s">
        <v>649</v>
      </c>
      <c r="F418" s="1" t="s">
        <v>650</v>
      </c>
      <c r="G418" s="1" t="s">
        <v>651</v>
      </c>
      <c r="H418" s="1" t="s">
        <v>652</v>
      </c>
      <c r="I418" s="1">
        <v>106.0</v>
      </c>
      <c r="J418" s="1">
        <v>1.0</v>
      </c>
      <c r="K418" s="2" t="s">
        <v>653</v>
      </c>
      <c r="L418" s="2" t="s">
        <v>60</v>
      </c>
      <c r="M418" s="1" t="s">
        <v>690</v>
      </c>
      <c r="N418" s="1" t="s">
        <v>62</v>
      </c>
      <c r="O418" s="1" t="s">
        <v>187</v>
      </c>
      <c r="P418" s="1" t="s">
        <v>680</v>
      </c>
      <c r="Q418" s="1">
        <v>17.057139</v>
      </c>
      <c r="R418" s="1">
        <v>-88.256167</v>
      </c>
      <c r="S418" s="1" t="s">
        <v>148</v>
      </c>
      <c r="T418" s="2" t="s">
        <v>275</v>
      </c>
      <c r="U418" s="1" t="s">
        <v>656</v>
      </c>
      <c r="V418" s="3" t="s">
        <v>97</v>
      </c>
      <c r="W418" s="1" t="s">
        <v>278</v>
      </c>
      <c r="X418" s="1" t="s">
        <v>279</v>
      </c>
      <c r="Y418" s="6" t="s">
        <v>76</v>
      </c>
      <c r="Z418" s="3" t="s">
        <v>76</v>
      </c>
      <c r="AB418" s="1">
        <v>3.0</v>
      </c>
      <c r="AI418" s="1" t="s">
        <v>657</v>
      </c>
      <c r="AJ418" s="2" t="s">
        <v>72</v>
      </c>
      <c r="AK418" s="2" t="s">
        <v>72</v>
      </c>
      <c r="AL418" s="2" t="s">
        <v>100</v>
      </c>
      <c r="AM418" s="2" t="s">
        <v>76</v>
      </c>
      <c r="AN418" s="2" t="s">
        <v>524</v>
      </c>
      <c r="AO418" s="2" t="s">
        <v>72</v>
      </c>
      <c r="AQ418" s="2" t="s">
        <v>75</v>
      </c>
      <c r="AR418" s="2" t="s">
        <v>76</v>
      </c>
      <c r="AS418" s="1">
        <v>2205.0</v>
      </c>
      <c r="AT418" s="1">
        <v>2205.0</v>
      </c>
      <c r="AU418" s="1">
        <v>846.0</v>
      </c>
      <c r="AV418" s="1">
        <v>56.0</v>
      </c>
      <c r="AW418" s="1">
        <v>184.0</v>
      </c>
      <c r="AX418" s="1">
        <v>5151.0</v>
      </c>
      <c r="AY418" s="1">
        <v>2.0</v>
      </c>
      <c r="AZ418" s="1" t="s">
        <v>658</v>
      </c>
      <c r="BA418" s="1" t="s">
        <v>659</v>
      </c>
    </row>
    <row r="419">
      <c r="A419" s="1" t="s">
        <v>647</v>
      </c>
      <c r="B419" s="1" t="s">
        <v>53</v>
      </c>
      <c r="C419" s="1">
        <v>2017.0</v>
      </c>
      <c r="D419" s="1" t="s">
        <v>648</v>
      </c>
      <c r="E419" s="1" t="s">
        <v>649</v>
      </c>
      <c r="F419" s="1" t="s">
        <v>650</v>
      </c>
      <c r="G419" s="1" t="s">
        <v>651</v>
      </c>
      <c r="H419" s="1" t="s">
        <v>652</v>
      </c>
      <c r="I419" s="1">
        <v>106.0</v>
      </c>
      <c r="J419" s="1">
        <v>1.0</v>
      </c>
      <c r="K419" s="2" t="s">
        <v>653</v>
      </c>
      <c r="L419" s="2" t="s">
        <v>60</v>
      </c>
      <c r="M419" s="1" t="s">
        <v>691</v>
      </c>
      <c r="N419" s="1" t="s">
        <v>62</v>
      </c>
      <c r="O419" s="1" t="s">
        <v>187</v>
      </c>
      <c r="P419" s="1" t="s">
        <v>680</v>
      </c>
      <c r="Q419" s="1">
        <v>17.05425</v>
      </c>
      <c r="R419" s="1">
        <v>-88.243861</v>
      </c>
      <c r="S419" s="1" t="s">
        <v>148</v>
      </c>
      <c r="T419" s="2" t="s">
        <v>275</v>
      </c>
      <c r="U419" s="1" t="s">
        <v>656</v>
      </c>
      <c r="V419" s="3" t="s">
        <v>97</v>
      </c>
      <c r="W419" s="1" t="s">
        <v>278</v>
      </c>
      <c r="X419" s="1" t="s">
        <v>279</v>
      </c>
      <c r="Y419" s="6" t="s">
        <v>76</v>
      </c>
      <c r="Z419" s="3" t="s">
        <v>76</v>
      </c>
      <c r="AB419" s="1">
        <v>4.0</v>
      </c>
      <c r="AI419" s="1" t="s">
        <v>692</v>
      </c>
      <c r="AJ419" s="2" t="s">
        <v>72</v>
      </c>
      <c r="AK419" s="2" t="s">
        <v>72</v>
      </c>
      <c r="AL419" s="2" t="s">
        <v>100</v>
      </c>
      <c r="AM419" s="2" t="s">
        <v>76</v>
      </c>
      <c r="AN419" s="2" t="s">
        <v>524</v>
      </c>
      <c r="AO419" s="2" t="s">
        <v>72</v>
      </c>
      <c r="AQ419" s="2" t="s">
        <v>75</v>
      </c>
      <c r="AR419" s="2" t="s">
        <v>76</v>
      </c>
      <c r="AS419" s="1">
        <v>2193.0</v>
      </c>
      <c r="AT419" s="1">
        <v>2193.0</v>
      </c>
      <c r="AU419" s="1">
        <v>842.0</v>
      </c>
      <c r="AV419" s="1">
        <v>55.0</v>
      </c>
      <c r="AW419" s="1">
        <v>182.0</v>
      </c>
      <c r="AX419" s="1">
        <v>5158.0</v>
      </c>
      <c r="AY419" s="1">
        <v>2.0</v>
      </c>
      <c r="AZ419" s="1" t="s">
        <v>658</v>
      </c>
      <c r="BA419" s="1" t="s">
        <v>659</v>
      </c>
    </row>
    <row r="420">
      <c r="A420" s="1" t="s">
        <v>647</v>
      </c>
      <c r="B420" s="1" t="s">
        <v>53</v>
      </c>
      <c r="C420" s="1">
        <v>2017.0</v>
      </c>
      <c r="D420" s="1" t="s">
        <v>648</v>
      </c>
      <c r="E420" s="1" t="s">
        <v>649</v>
      </c>
      <c r="F420" s="1" t="s">
        <v>650</v>
      </c>
      <c r="G420" s="1" t="s">
        <v>651</v>
      </c>
      <c r="H420" s="1" t="s">
        <v>652</v>
      </c>
      <c r="I420" s="1">
        <v>106.0</v>
      </c>
      <c r="J420" s="1">
        <v>1.0</v>
      </c>
      <c r="K420" s="2" t="s">
        <v>653</v>
      </c>
      <c r="L420" s="2" t="s">
        <v>60</v>
      </c>
      <c r="M420" s="1" t="s">
        <v>693</v>
      </c>
      <c r="N420" s="1" t="s">
        <v>62</v>
      </c>
      <c r="O420" s="1" t="s">
        <v>187</v>
      </c>
      <c r="P420" s="1" t="s">
        <v>680</v>
      </c>
      <c r="Q420" s="1">
        <v>17.053583</v>
      </c>
      <c r="R420" s="1">
        <v>-88.270444</v>
      </c>
      <c r="S420" s="1" t="s">
        <v>148</v>
      </c>
      <c r="T420" s="2" t="s">
        <v>275</v>
      </c>
      <c r="U420" s="1" t="s">
        <v>656</v>
      </c>
      <c r="V420" s="3" t="s">
        <v>97</v>
      </c>
      <c r="W420" s="1" t="s">
        <v>278</v>
      </c>
      <c r="X420" s="1" t="s">
        <v>279</v>
      </c>
      <c r="Y420" s="6" t="s">
        <v>76</v>
      </c>
      <c r="Z420" s="3" t="s">
        <v>76</v>
      </c>
      <c r="AB420" s="1">
        <v>1.0</v>
      </c>
      <c r="AI420" s="1" t="s">
        <v>663</v>
      </c>
      <c r="AJ420" s="2" t="s">
        <v>72</v>
      </c>
      <c r="AK420" s="2" t="s">
        <v>72</v>
      </c>
      <c r="AL420" s="2" t="s">
        <v>100</v>
      </c>
      <c r="AM420" s="2" t="s">
        <v>76</v>
      </c>
      <c r="AN420" s="2" t="s">
        <v>524</v>
      </c>
      <c r="AO420" s="2" t="s">
        <v>72</v>
      </c>
      <c r="AQ420" s="2" t="s">
        <v>75</v>
      </c>
      <c r="AR420" s="2" t="s">
        <v>76</v>
      </c>
      <c r="AS420" s="1">
        <v>2229.0</v>
      </c>
      <c r="AT420" s="1">
        <v>2229.0</v>
      </c>
      <c r="AU420" s="1">
        <v>851.0</v>
      </c>
      <c r="AV420" s="1">
        <v>56.0</v>
      </c>
      <c r="AW420" s="1">
        <v>185.0</v>
      </c>
      <c r="AX420" s="1">
        <v>5127.0</v>
      </c>
      <c r="AY420" s="1">
        <v>1.0</v>
      </c>
      <c r="AZ420" s="1" t="s">
        <v>133</v>
      </c>
      <c r="BA420" s="1" t="s">
        <v>121</v>
      </c>
    </row>
    <row r="421">
      <c r="A421" s="1" t="s">
        <v>647</v>
      </c>
      <c r="B421" s="1" t="s">
        <v>53</v>
      </c>
      <c r="C421" s="1">
        <v>2017.0</v>
      </c>
      <c r="D421" s="1" t="s">
        <v>648</v>
      </c>
      <c r="E421" s="1" t="s">
        <v>649</v>
      </c>
      <c r="F421" s="1" t="s">
        <v>650</v>
      </c>
      <c r="G421" s="1" t="s">
        <v>651</v>
      </c>
      <c r="H421" s="1" t="s">
        <v>652</v>
      </c>
      <c r="I421" s="1">
        <v>106.0</v>
      </c>
      <c r="J421" s="1">
        <v>1.0</v>
      </c>
      <c r="K421" s="2" t="s">
        <v>653</v>
      </c>
      <c r="L421" s="2" t="s">
        <v>60</v>
      </c>
      <c r="M421" s="1" t="s">
        <v>694</v>
      </c>
      <c r="N421" s="1" t="s">
        <v>62</v>
      </c>
      <c r="O421" s="1" t="s">
        <v>187</v>
      </c>
      <c r="P421" s="1" t="s">
        <v>680</v>
      </c>
      <c r="Q421" s="1">
        <v>17.051194</v>
      </c>
      <c r="R421" s="1">
        <v>-88.263361</v>
      </c>
      <c r="S421" s="1" t="s">
        <v>148</v>
      </c>
      <c r="T421" s="2" t="s">
        <v>275</v>
      </c>
      <c r="U421" s="1" t="s">
        <v>656</v>
      </c>
      <c r="V421" s="3" t="s">
        <v>97</v>
      </c>
      <c r="W421" s="1" t="s">
        <v>278</v>
      </c>
      <c r="X421" s="1" t="s">
        <v>279</v>
      </c>
      <c r="Y421" s="6" t="s">
        <v>76</v>
      </c>
      <c r="Z421" s="3" t="s">
        <v>76</v>
      </c>
      <c r="AB421" s="1">
        <v>3.0</v>
      </c>
      <c r="AI421" s="1" t="s">
        <v>657</v>
      </c>
      <c r="AJ421" s="2" t="s">
        <v>72</v>
      </c>
      <c r="AK421" s="2" t="s">
        <v>72</v>
      </c>
      <c r="AL421" s="2" t="s">
        <v>100</v>
      </c>
      <c r="AM421" s="2" t="s">
        <v>76</v>
      </c>
      <c r="AN421" s="2" t="s">
        <v>524</v>
      </c>
      <c r="AO421" s="2" t="s">
        <v>72</v>
      </c>
      <c r="AQ421" s="2" t="s">
        <v>75</v>
      </c>
      <c r="AR421" s="2" t="s">
        <v>76</v>
      </c>
      <c r="AS421" s="1">
        <v>2212.0</v>
      </c>
      <c r="AT421" s="1">
        <v>2212.0</v>
      </c>
      <c r="AU421" s="1">
        <v>848.0</v>
      </c>
      <c r="AV421" s="1">
        <v>56.0</v>
      </c>
      <c r="AW421" s="1">
        <v>184.0</v>
      </c>
      <c r="AX421" s="1">
        <v>5160.0</v>
      </c>
      <c r="AY421" s="1">
        <v>1.0</v>
      </c>
      <c r="AZ421" s="1" t="s">
        <v>133</v>
      </c>
      <c r="BA421" s="1" t="s">
        <v>121</v>
      </c>
    </row>
    <row r="422">
      <c r="A422" s="1" t="s">
        <v>647</v>
      </c>
      <c r="B422" s="1" t="s">
        <v>53</v>
      </c>
      <c r="C422" s="1">
        <v>2017.0</v>
      </c>
      <c r="D422" s="1" t="s">
        <v>648</v>
      </c>
      <c r="E422" s="1" t="s">
        <v>649</v>
      </c>
      <c r="F422" s="1" t="s">
        <v>650</v>
      </c>
      <c r="G422" s="1" t="s">
        <v>651</v>
      </c>
      <c r="H422" s="1" t="s">
        <v>652</v>
      </c>
      <c r="I422" s="1">
        <v>106.0</v>
      </c>
      <c r="J422" s="1">
        <v>1.0</v>
      </c>
      <c r="K422" s="2" t="s">
        <v>653</v>
      </c>
      <c r="L422" s="2" t="s">
        <v>60</v>
      </c>
      <c r="M422" s="1" t="s">
        <v>695</v>
      </c>
      <c r="N422" s="1" t="s">
        <v>62</v>
      </c>
      <c r="O422" s="1" t="s">
        <v>187</v>
      </c>
      <c r="P422" s="1" t="s">
        <v>696</v>
      </c>
      <c r="Q422" s="1">
        <v>16.902278</v>
      </c>
      <c r="R422" s="1">
        <v>-88.288056</v>
      </c>
      <c r="S422" s="1" t="s">
        <v>148</v>
      </c>
      <c r="T422" s="2" t="s">
        <v>275</v>
      </c>
      <c r="U422" s="1" t="s">
        <v>656</v>
      </c>
      <c r="V422" s="3" t="s">
        <v>97</v>
      </c>
      <c r="W422" s="1" t="s">
        <v>278</v>
      </c>
      <c r="X422" s="1" t="s">
        <v>279</v>
      </c>
      <c r="Y422" s="6" t="s">
        <v>76</v>
      </c>
      <c r="Z422" s="3" t="s">
        <v>76</v>
      </c>
      <c r="AB422" s="1">
        <v>2.0</v>
      </c>
      <c r="AI422" s="1" t="s">
        <v>675</v>
      </c>
      <c r="AJ422" s="2" t="s">
        <v>72</v>
      </c>
      <c r="AK422" s="2" t="s">
        <v>72</v>
      </c>
      <c r="AL422" s="2" t="s">
        <v>100</v>
      </c>
      <c r="AM422" s="2" t="s">
        <v>76</v>
      </c>
      <c r="AN422" s="2" t="s">
        <v>524</v>
      </c>
      <c r="AO422" s="2" t="s">
        <v>72</v>
      </c>
      <c r="AQ422" s="2" t="s">
        <v>75</v>
      </c>
      <c r="AR422" s="2" t="s">
        <v>76</v>
      </c>
      <c r="AS422" s="1">
        <v>2221.0</v>
      </c>
      <c r="AT422" s="1">
        <v>2221.0</v>
      </c>
      <c r="AU422" s="1">
        <v>870.0</v>
      </c>
      <c r="AV422" s="1">
        <v>58.0</v>
      </c>
      <c r="AW422" s="1">
        <v>182.0</v>
      </c>
      <c r="AX422" s="1">
        <v>5250.0</v>
      </c>
      <c r="AY422" s="1">
        <v>1.0</v>
      </c>
      <c r="AZ422" s="1" t="s">
        <v>658</v>
      </c>
      <c r="BA422" s="1" t="s">
        <v>659</v>
      </c>
    </row>
    <row r="423">
      <c r="A423" s="1" t="s">
        <v>647</v>
      </c>
      <c r="B423" s="1" t="s">
        <v>53</v>
      </c>
      <c r="C423" s="1">
        <v>2017.0</v>
      </c>
      <c r="D423" s="1" t="s">
        <v>648</v>
      </c>
      <c r="E423" s="1" t="s">
        <v>649</v>
      </c>
      <c r="F423" s="1" t="s">
        <v>650</v>
      </c>
      <c r="G423" s="1" t="s">
        <v>651</v>
      </c>
      <c r="H423" s="1" t="s">
        <v>652</v>
      </c>
      <c r="I423" s="1">
        <v>106.0</v>
      </c>
      <c r="J423" s="1">
        <v>1.0</v>
      </c>
      <c r="K423" s="2" t="s">
        <v>653</v>
      </c>
      <c r="L423" s="2" t="s">
        <v>60</v>
      </c>
      <c r="M423" s="1" t="s">
        <v>697</v>
      </c>
      <c r="N423" s="1" t="s">
        <v>62</v>
      </c>
      <c r="O423" s="1" t="s">
        <v>187</v>
      </c>
      <c r="P423" s="1" t="s">
        <v>696</v>
      </c>
      <c r="Q423" s="1">
        <v>16.90125</v>
      </c>
      <c r="R423" s="1">
        <v>-88.282194</v>
      </c>
      <c r="S423" s="1" t="s">
        <v>148</v>
      </c>
      <c r="T423" s="2" t="s">
        <v>275</v>
      </c>
      <c r="U423" s="1" t="s">
        <v>656</v>
      </c>
      <c r="V423" s="3" t="s">
        <v>97</v>
      </c>
      <c r="W423" s="1" t="s">
        <v>278</v>
      </c>
      <c r="X423" s="1" t="s">
        <v>279</v>
      </c>
      <c r="Y423" s="6" t="s">
        <v>76</v>
      </c>
      <c r="Z423" s="3" t="s">
        <v>76</v>
      </c>
      <c r="AB423" s="1">
        <v>4.0</v>
      </c>
      <c r="AI423" s="1" t="s">
        <v>698</v>
      </c>
      <c r="AJ423" s="2" t="s">
        <v>72</v>
      </c>
      <c r="AK423" s="2" t="s">
        <v>72</v>
      </c>
      <c r="AL423" s="2" t="s">
        <v>100</v>
      </c>
      <c r="AM423" s="2" t="s">
        <v>76</v>
      </c>
      <c r="AN423" s="2" t="s">
        <v>524</v>
      </c>
      <c r="AO423" s="2" t="s">
        <v>72</v>
      </c>
      <c r="AQ423" s="2" t="s">
        <v>75</v>
      </c>
      <c r="AR423" s="2" t="s">
        <v>76</v>
      </c>
      <c r="AS423" s="1">
        <v>2221.0</v>
      </c>
      <c r="AT423" s="1">
        <v>2221.0</v>
      </c>
      <c r="AU423" s="1">
        <v>870.0</v>
      </c>
      <c r="AV423" s="1">
        <v>58.0</v>
      </c>
      <c r="AW423" s="1">
        <v>182.0</v>
      </c>
      <c r="AX423" s="1">
        <v>5250.0</v>
      </c>
      <c r="AY423" s="1">
        <v>1.0</v>
      </c>
      <c r="AZ423" s="1" t="s">
        <v>658</v>
      </c>
      <c r="BA423" s="1" t="s">
        <v>659</v>
      </c>
    </row>
    <row r="424">
      <c r="A424" s="1" t="s">
        <v>647</v>
      </c>
      <c r="B424" s="1" t="s">
        <v>53</v>
      </c>
      <c r="C424" s="1">
        <v>2017.0</v>
      </c>
      <c r="D424" s="1" t="s">
        <v>648</v>
      </c>
      <c r="E424" s="1" t="s">
        <v>649</v>
      </c>
      <c r="F424" s="1" t="s">
        <v>650</v>
      </c>
      <c r="G424" s="1" t="s">
        <v>651</v>
      </c>
      <c r="H424" s="1" t="s">
        <v>652</v>
      </c>
      <c r="I424" s="1">
        <v>106.0</v>
      </c>
      <c r="J424" s="1">
        <v>1.0</v>
      </c>
      <c r="K424" s="2" t="s">
        <v>653</v>
      </c>
      <c r="L424" s="2" t="s">
        <v>60</v>
      </c>
      <c r="M424" s="1" t="s">
        <v>699</v>
      </c>
      <c r="N424" s="1" t="s">
        <v>62</v>
      </c>
      <c r="O424" s="1" t="s">
        <v>187</v>
      </c>
      <c r="P424" s="1" t="s">
        <v>696</v>
      </c>
      <c r="Q424" s="1">
        <v>16.898694</v>
      </c>
      <c r="R424" s="1">
        <v>-88.295056</v>
      </c>
      <c r="S424" s="1" t="s">
        <v>148</v>
      </c>
      <c r="T424" s="2" t="s">
        <v>275</v>
      </c>
      <c r="U424" s="1" t="s">
        <v>656</v>
      </c>
      <c r="V424" s="3" t="s">
        <v>97</v>
      </c>
      <c r="W424" s="1" t="s">
        <v>278</v>
      </c>
      <c r="X424" s="1" t="s">
        <v>279</v>
      </c>
      <c r="Y424" s="6" t="s">
        <v>76</v>
      </c>
      <c r="Z424" s="3" t="s">
        <v>76</v>
      </c>
      <c r="AI424" s="2" t="s">
        <v>72</v>
      </c>
      <c r="AJ424" s="2" t="s">
        <v>72</v>
      </c>
      <c r="AK424" s="2" t="s">
        <v>72</v>
      </c>
      <c r="AL424" s="2" t="s">
        <v>100</v>
      </c>
      <c r="AM424" s="2" t="s">
        <v>76</v>
      </c>
      <c r="AN424" s="2" t="s">
        <v>524</v>
      </c>
      <c r="AO424" s="2" t="s">
        <v>72</v>
      </c>
      <c r="AQ424" s="2" t="s">
        <v>75</v>
      </c>
      <c r="AR424" s="2" t="s">
        <v>76</v>
      </c>
      <c r="AS424" s="1">
        <v>2211.0</v>
      </c>
      <c r="AT424" s="1">
        <v>2211.0</v>
      </c>
      <c r="AU424" s="1">
        <v>869.0</v>
      </c>
      <c r="AV424" s="1">
        <v>58.0</v>
      </c>
      <c r="AW424" s="1">
        <v>181.0</v>
      </c>
      <c r="AX424" s="1">
        <v>5283.0</v>
      </c>
      <c r="AY424" s="1">
        <v>2.0</v>
      </c>
      <c r="AZ424" s="1" t="s">
        <v>658</v>
      </c>
      <c r="BA424" s="1" t="s">
        <v>659</v>
      </c>
    </row>
    <row r="425">
      <c r="A425" s="1" t="s">
        <v>647</v>
      </c>
      <c r="B425" s="1" t="s">
        <v>53</v>
      </c>
      <c r="C425" s="1">
        <v>2017.0</v>
      </c>
      <c r="D425" s="1" t="s">
        <v>648</v>
      </c>
      <c r="E425" s="1" t="s">
        <v>649</v>
      </c>
      <c r="F425" s="1" t="s">
        <v>650</v>
      </c>
      <c r="G425" s="1" t="s">
        <v>651</v>
      </c>
      <c r="H425" s="1" t="s">
        <v>652</v>
      </c>
      <c r="I425" s="1">
        <v>106.0</v>
      </c>
      <c r="J425" s="1">
        <v>1.0</v>
      </c>
      <c r="K425" s="2" t="s">
        <v>653</v>
      </c>
      <c r="L425" s="2" t="s">
        <v>60</v>
      </c>
      <c r="M425" s="1" t="s">
        <v>700</v>
      </c>
      <c r="N425" s="1" t="s">
        <v>62</v>
      </c>
      <c r="O425" s="1" t="s">
        <v>187</v>
      </c>
      <c r="P425" s="1" t="s">
        <v>696</v>
      </c>
      <c r="Q425" s="1">
        <v>16.8885</v>
      </c>
      <c r="R425" s="1">
        <v>-88.289639</v>
      </c>
      <c r="S425" s="1" t="s">
        <v>148</v>
      </c>
      <c r="T425" s="2" t="s">
        <v>275</v>
      </c>
      <c r="U425" s="1" t="s">
        <v>656</v>
      </c>
      <c r="V425" s="3" t="s">
        <v>97</v>
      </c>
      <c r="W425" s="1" t="s">
        <v>278</v>
      </c>
      <c r="X425" s="1" t="s">
        <v>279</v>
      </c>
      <c r="Y425" s="6" t="s">
        <v>76</v>
      </c>
      <c r="Z425" s="3" t="s">
        <v>76</v>
      </c>
      <c r="AB425" s="1">
        <v>4.0</v>
      </c>
      <c r="AI425" s="1" t="s">
        <v>692</v>
      </c>
      <c r="AJ425" s="2" t="s">
        <v>72</v>
      </c>
      <c r="AK425" s="2" t="s">
        <v>72</v>
      </c>
      <c r="AL425" s="2" t="s">
        <v>100</v>
      </c>
      <c r="AM425" s="2" t="s">
        <v>76</v>
      </c>
      <c r="AN425" s="2" t="s">
        <v>524</v>
      </c>
      <c r="AO425" s="2" t="s">
        <v>72</v>
      </c>
      <c r="AQ425" s="2" t="s">
        <v>75</v>
      </c>
      <c r="AR425" s="2" t="s">
        <v>76</v>
      </c>
      <c r="AS425" s="1">
        <v>2201.0</v>
      </c>
      <c r="AT425" s="1">
        <v>2201.0</v>
      </c>
      <c r="AU425" s="1">
        <v>868.0</v>
      </c>
      <c r="AV425" s="1">
        <v>58.0</v>
      </c>
      <c r="AW425" s="1">
        <v>180.0</v>
      </c>
      <c r="AX425" s="1">
        <v>5304.0</v>
      </c>
      <c r="AY425" s="1">
        <v>1.0</v>
      </c>
      <c r="AZ425" s="1" t="s">
        <v>658</v>
      </c>
      <c r="BA425" s="1" t="s">
        <v>659</v>
      </c>
    </row>
    <row r="426">
      <c r="A426" s="1" t="s">
        <v>647</v>
      </c>
      <c r="B426" s="1" t="s">
        <v>53</v>
      </c>
      <c r="C426" s="1">
        <v>2017.0</v>
      </c>
      <c r="D426" s="1" t="s">
        <v>648</v>
      </c>
      <c r="E426" s="1" t="s">
        <v>649</v>
      </c>
      <c r="F426" s="1" t="s">
        <v>650</v>
      </c>
      <c r="G426" s="1" t="s">
        <v>651</v>
      </c>
      <c r="H426" s="1" t="s">
        <v>652</v>
      </c>
      <c r="I426" s="1">
        <v>106.0</v>
      </c>
      <c r="J426" s="1">
        <v>1.0</v>
      </c>
      <c r="K426" s="2" t="s">
        <v>653</v>
      </c>
      <c r="L426" s="2" t="s">
        <v>60</v>
      </c>
      <c r="M426" s="1" t="s">
        <v>701</v>
      </c>
      <c r="N426" s="1" t="s">
        <v>62</v>
      </c>
      <c r="O426" s="1" t="s">
        <v>187</v>
      </c>
      <c r="P426" s="1" t="s">
        <v>696</v>
      </c>
      <c r="Q426" s="1">
        <v>16.888361</v>
      </c>
      <c r="R426" s="1">
        <v>-88.289333</v>
      </c>
      <c r="S426" s="1" t="s">
        <v>148</v>
      </c>
      <c r="T426" s="2" t="s">
        <v>275</v>
      </c>
      <c r="U426" s="1" t="s">
        <v>656</v>
      </c>
      <c r="V426" s="3" t="s">
        <v>97</v>
      </c>
      <c r="W426" s="1" t="s">
        <v>278</v>
      </c>
      <c r="X426" s="1" t="s">
        <v>279</v>
      </c>
      <c r="Y426" s="6" t="s">
        <v>76</v>
      </c>
      <c r="Z426" s="3" t="s">
        <v>76</v>
      </c>
      <c r="AB426" s="1">
        <v>3.0</v>
      </c>
      <c r="AI426" s="1" t="s">
        <v>702</v>
      </c>
      <c r="AJ426" s="2" t="s">
        <v>72</v>
      </c>
      <c r="AK426" s="2" t="s">
        <v>72</v>
      </c>
      <c r="AL426" s="2" t="s">
        <v>100</v>
      </c>
      <c r="AM426" s="2" t="s">
        <v>76</v>
      </c>
      <c r="AN426" s="2" t="s">
        <v>524</v>
      </c>
      <c r="AO426" s="2" t="s">
        <v>72</v>
      </c>
      <c r="AQ426" s="2" t="s">
        <v>75</v>
      </c>
      <c r="AR426" s="2" t="s">
        <v>76</v>
      </c>
      <c r="AS426" s="1">
        <v>2201.0</v>
      </c>
      <c r="AT426" s="1">
        <v>2201.0</v>
      </c>
      <c r="AU426" s="1">
        <v>868.0</v>
      </c>
      <c r="AV426" s="1">
        <v>58.0</v>
      </c>
      <c r="AW426" s="1">
        <v>180.0</v>
      </c>
      <c r="AX426" s="1">
        <v>5304.0</v>
      </c>
      <c r="AY426" s="1">
        <v>1.0</v>
      </c>
      <c r="AZ426" s="1" t="s">
        <v>658</v>
      </c>
      <c r="BA426" s="1" t="s">
        <v>659</v>
      </c>
    </row>
    <row r="427">
      <c r="A427" s="1" t="s">
        <v>647</v>
      </c>
      <c r="B427" s="1" t="s">
        <v>53</v>
      </c>
      <c r="C427" s="1">
        <v>2017.0</v>
      </c>
      <c r="D427" s="1" t="s">
        <v>648</v>
      </c>
      <c r="E427" s="1" t="s">
        <v>649</v>
      </c>
      <c r="F427" s="1" t="s">
        <v>650</v>
      </c>
      <c r="G427" s="1" t="s">
        <v>651</v>
      </c>
      <c r="H427" s="1" t="s">
        <v>652</v>
      </c>
      <c r="I427" s="1">
        <v>106.0</v>
      </c>
      <c r="J427" s="1">
        <v>1.0</v>
      </c>
      <c r="K427" s="2" t="s">
        <v>653</v>
      </c>
      <c r="L427" s="2" t="s">
        <v>60</v>
      </c>
      <c r="M427" s="1" t="s">
        <v>703</v>
      </c>
      <c r="N427" s="1" t="s">
        <v>62</v>
      </c>
      <c r="O427" s="1" t="s">
        <v>187</v>
      </c>
      <c r="P427" s="1" t="s">
        <v>704</v>
      </c>
      <c r="Q427" s="1">
        <v>16.775111</v>
      </c>
      <c r="R427" s="1">
        <v>-88.318278</v>
      </c>
      <c r="S427" s="1" t="s">
        <v>148</v>
      </c>
      <c r="T427" s="2" t="s">
        <v>275</v>
      </c>
      <c r="U427" s="1" t="s">
        <v>656</v>
      </c>
      <c r="V427" s="3" t="s">
        <v>97</v>
      </c>
      <c r="W427" s="1" t="s">
        <v>278</v>
      </c>
      <c r="X427" s="1" t="s">
        <v>279</v>
      </c>
      <c r="Y427" s="6" t="s">
        <v>76</v>
      </c>
      <c r="Z427" s="3" t="s">
        <v>76</v>
      </c>
      <c r="AB427" s="1">
        <v>3.0</v>
      </c>
      <c r="AI427" s="1" t="s">
        <v>663</v>
      </c>
      <c r="AJ427" s="2" t="s">
        <v>72</v>
      </c>
      <c r="AK427" s="2" t="s">
        <v>72</v>
      </c>
      <c r="AL427" s="2" t="s">
        <v>100</v>
      </c>
      <c r="AM427" s="2" t="s">
        <v>76</v>
      </c>
      <c r="AN427" s="2" t="s">
        <v>524</v>
      </c>
      <c r="AO427" s="2" t="s">
        <v>72</v>
      </c>
      <c r="AQ427" s="2" t="s">
        <v>75</v>
      </c>
      <c r="AR427" s="2" t="s">
        <v>76</v>
      </c>
      <c r="AS427" s="1">
        <v>2150.0</v>
      </c>
      <c r="AT427" s="1">
        <v>2150.0</v>
      </c>
      <c r="AU427" s="1">
        <v>857.0</v>
      </c>
      <c r="AV427" s="1">
        <v>56.0</v>
      </c>
      <c r="AW427" s="1">
        <v>176.0</v>
      </c>
      <c r="AX427" s="1">
        <v>5413.0</v>
      </c>
      <c r="AY427" s="1">
        <v>6.0</v>
      </c>
      <c r="AZ427" s="1" t="s">
        <v>658</v>
      </c>
      <c r="BA427" s="1" t="s">
        <v>659</v>
      </c>
    </row>
    <row r="428">
      <c r="A428" s="1" t="s">
        <v>647</v>
      </c>
      <c r="B428" s="1" t="s">
        <v>53</v>
      </c>
      <c r="C428" s="1">
        <v>2017.0</v>
      </c>
      <c r="D428" s="1" t="s">
        <v>648</v>
      </c>
      <c r="E428" s="1" t="s">
        <v>649</v>
      </c>
      <c r="F428" s="1" t="s">
        <v>650</v>
      </c>
      <c r="G428" s="1" t="s">
        <v>651</v>
      </c>
      <c r="H428" s="1" t="s">
        <v>652</v>
      </c>
      <c r="I428" s="1">
        <v>106.0</v>
      </c>
      <c r="J428" s="1">
        <v>1.0</v>
      </c>
      <c r="K428" s="2" t="s">
        <v>653</v>
      </c>
      <c r="L428" s="2" t="s">
        <v>60</v>
      </c>
      <c r="M428" s="1" t="s">
        <v>705</v>
      </c>
      <c r="N428" s="1" t="s">
        <v>62</v>
      </c>
      <c r="O428" s="1" t="s">
        <v>187</v>
      </c>
      <c r="P428" s="1" t="s">
        <v>704</v>
      </c>
      <c r="Q428" s="1">
        <v>16.764583</v>
      </c>
      <c r="R428" s="1">
        <v>-88.316194</v>
      </c>
      <c r="S428" s="1" t="s">
        <v>148</v>
      </c>
      <c r="T428" s="2" t="s">
        <v>275</v>
      </c>
      <c r="U428" s="1" t="s">
        <v>656</v>
      </c>
      <c r="V428" s="3" t="s">
        <v>97</v>
      </c>
      <c r="W428" s="1" t="s">
        <v>278</v>
      </c>
      <c r="X428" s="1" t="s">
        <v>279</v>
      </c>
      <c r="Y428" s="6" t="s">
        <v>76</v>
      </c>
      <c r="Z428" s="3" t="s">
        <v>76</v>
      </c>
      <c r="AB428" s="1">
        <v>1.0</v>
      </c>
      <c r="AI428" s="1" t="s">
        <v>706</v>
      </c>
      <c r="AJ428" s="2" t="s">
        <v>72</v>
      </c>
      <c r="AK428" s="2" t="s">
        <v>72</v>
      </c>
      <c r="AL428" s="2" t="s">
        <v>100</v>
      </c>
      <c r="AM428" s="2" t="s">
        <v>76</v>
      </c>
      <c r="AN428" s="2" t="s">
        <v>524</v>
      </c>
      <c r="AO428" s="2" t="s">
        <v>72</v>
      </c>
      <c r="AQ428" s="2" t="s">
        <v>75</v>
      </c>
      <c r="AR428" s="2" t="s">
        <v>76</v>
      </c>
      <c r="AS428" s="1">
        <v>2142.0</v>
      </c>
      <c r="AT428" s="1">
        <v>2142.0</v>
      </c>
      <c r="AU428" s="1">
        <v>859.0</v>
      </c>
      <c r="AV428" s="1">
        <v>57.0</v>
      </c>
      <c r="AW428" s="1">
        <v>176.0</v>
      </c>
      <c r="AX428" s="1">
        <v>5451.0</v>
      </c>
      <c r="AY428" s="1">
        <v>1.0</v>
      </c>
      <c r="AZ428" s="1" t="s">
        <v>658</v>
      </c>
      <c r="BA428" s="1" t="s">
        <v>659</v>
      </c>
    </row>
    <row r="429">
      <c r="A429" s="1" t="s">
        <v>647</v>
      </c>
      <c r="B429" s="1" t="s">
        <v>53</v>
      </c>
      <c r="C429" s="1">
        <v>2017.0</v>
      </c>
      <c r="D429" s="1" t="s">
        <v>648</v>
      </c>
      <c r="E429" s="1" t="s">
        <v>649</v>
      </c>
      <c r="F429" s="1" t="s">
        <v>650</v>
      </c>
      <c r="G429" s="1" t="s">
        <v>651</v>
      </c>
      <c r="H429" s="1" t="s">
        <v>652</v>
      </c>
      <c r="I429" s="1">
        <v>106.0</v>
      </c>
      <c r="J429" s="1">
        <v>1.0</v>
      </c>
      <c r="K429" s="2" t="s">
        <v>653</v>
      </c>
      <c r="L429" s="2" t="s">
        <v>60</v>
      </c>
      <c r="M429" s="1" t="s">
        <v>707</v>
      </c>
      <c r="N429" s="1" t="s">
        <v>62</v>
      </c>
      <c r="O429" s="1" t="s">
        <v>187</v>
      </c>
      <c r="P429" s="1" t="s">
        <v>704</v>
      </c>
      <c r="Q429" s="1">
        <v>16.764556</v>
      </c>
      <c r="R429" s="1">
        <v>-88.31325</v>
      </c>
      <c r="S429" s="1" t="s">
        <v>148</v>
      </c>
      <c r="T429" s="2" t="s">
        <v>275</v>
      </c>
      <c r="U429" s="1" t="s">
        <v>656</v>
      </c>
      <c r="V429" s="3" t="s">
        <v>97</v>
      </c>
      <c r="W429" s="1" t="s">
        <v>278</v>
      </c>
      <c r="X429" s="1" t="s">
        <v>279</v>
      </c>
      <c r="Y429" s="6" t="s">
        <v>76</v>
      </c>
      <c r="Z429" s="3" t="s">
        <v>76</v>
      </c>
      <c r="AB429" s="1">
        <v>3.0</v>
      </c>
      <c r="AI429" s="1" t="s">
        <v>708</v>
      </c>
      <c r="AJ429" s="2" t="s">
        <v>72</v>
      </c>
      <c r="AK429" s="2" t="s">
        <v>72</v>
      </c>
      <c r="AL429" s="2" t="s">
        <v>100</v>
      </c>
      <c r="AM429" s="2" t="s">
        <v>76</v>
      </c>
      <c r="AN429" s="2" t="s">
        <v>524</v>
      </c>
      <c r="AO429" s="2" t="s">
        <v>72</v>
      </c>
      <c r="AQ429" s="2" t="s">
        <v>75</v>
      </c>
      <c r="AR429" s="2" t="s">
        <v>76</v>
      </c>
      <c r="AS429" s="1">
        <v>2142.0</v>
      </c>
      <c r="AT429" s="1">
        <v>2142.0</v>
      </c>
      <c r="AU429" s="1">
        <v>859.0</v>
      </c>
      <c r="AV429" s="1">
        <v>57.0</v>
      </c>
      <c r="AW429" s="1">
        <v>176.0</v>
      </c>
      <c r="AX429" s="1">
        <v>5451.0</v>
      </c>
      <c r="AY429" s="1">
        <v>1.0</v>
      </c>
      <c r="AZ429" s="1" t="s">
        <v>658</v>
      </c>
      <c r="BA429" s="1" t="s">
        <v>659</v>
      </c>
    </row>
    <row r="430">
      <c r="A430" s="1" t="s">
        <v>647</v>
      </c>
      <c r="B430" s="1" t="s">
        <v>53</v>
      </c>
      <c r="C430" s="1">
        <v>2017.0</v>
      </c>
      <c r="D430" s="1" t="s">
        <v>648</v>
      </c>
      <c r="E430" s="1" t="s">
        <v>649</v>
      </c>
      <c r="F430" s="1" t="s">
        <v>650</v>
      </c>
      <c r="G430" s="1" t="s">
        <v>651</v>
      </c>
      <c r="H430" s="1" t="s">
        <v>652</v>
      </c>
      <c r="I430" s="1">
        <v>106.0</v>
      </c>
      <c r="J430" s="1">
        <v>1.0</v>
      </c>
      <c r="K430" s="2" t="s">
        <v>653</v>
      </c>
      <c r="L430" s="2" t="s">
        <v>60</v>
      </c>
      <c r="M430" s="1" t="s">
        <v>709</v>
      </c>
      <c r="N430" s="1" t="s">
        <v>62</v>
      </c>
      <c r="O430" s="1" t="s">
        <v>187</v>
      </c>
      <c r="P430" s="1" t="s">
        <v>704</v>
      </c>
      <c r="Q430" s="1">
        <v>16.764111</v>
      </c>
      <c r="R430" s="1">
        <v>-88.318889</v>
      </c>
      <c r="S430" s="1" t="s">
        <v>148</v>
      </c>
      <c r="T430" s="2" t="s">
        <v>275</v>
      </c>
      <c r="U430" s="1" t="s">
        <v>656</v>
      </c>
      <c r="V430" s="3" t="s">
        <v>97</v>
      </c>
      <c r="W430" s="1" t="s">
        <v>278</v>
      </c>
      <c r="X430" s="1" t="s">
        <v>279</v>
      </c>
      <c r="Y430" s="6" t="s">
        <v>76</v>
      </c>
      <c r="Z430" s="3" t="s">
        <v>76</v>
      </c>
      <c r="AB430" s="1">
        <v>1.0</v>
      </c>
      <c r="AI430" s="1" t="s">
        <v>675</v>
      </c>
      <c r="AJ430" s="2" t="s">
        <v>72</v>
      </c>
      <c r="AK430" s="2" t="s">
        <v>72</v>
      </c>
      <c r="AL430" s="2" t="s">
        <v>100</v>
      </c>
      <c r="AM430" s="2" t="s">
        <v>76</v>
      </c>
      <c r="AN430" s="2" t="s">
        <v>524</v>
      </c>
      <c r="AO430" s="2" t="s">
        <v>72</v>
      </c>
      <c r="AQ430" s="2" t="s">
        <v>75</v>
      </c>
      <c r="AR430" s="2" t="s">
        <v>76</v>
      </c>
      <c r="AS430" s="1">
        <v>2153.0</v>
      </c>
      <c r="AT430" s="1">
        <v>2153.0</v>
      </c>
      <c r="AU430" s="1">
        <v>860.0</v>
      </c>
      <c r="AV430" s="1">
        <v>56.0</v>
      </c>
      <c r="AW430" s="1">
        <v>176.0</v>
      </c>
      <c r="AX430" s="1">
        <v>5417.0</v>
      </c>
      <c r="AY430" s="1">
        <v>1.0</v>
      </c>
      <c r="AZ430" s="1" t="s">
        <v>658</v>
      </c>
      <c r="BA430" s="1" t="s">
        <v>659</v>
      </c>
    </row>
    <row r="431">
      <c r="A431" s="1" t="s">
        <v>647</v>
      </c>
      <c r="B431" s="1" t="s">
        <v>53</v>
      </c>
      <c r="C431" s="1">
        <v>2017.0</v>
      </c>
      <c r="D431" s="1" t="s">
        <v>648</v>
      </c>
      <c r="E431" s="1" t="s">
        <v>649</v>
      </c>
      <c r="F431" s="1" t="s">
        <v>650</v>
      </c>
      <c r="G431" s="1" t="s">
        <v>651</v>
      </c>
      <c r="H431" s="1" t="s">
        <v>652</v>
      </c>
      <c r="I431" s="1">
        <v>106.0</v>
      </c>
      <c r="J431" s="1">
        <v>1.0</v>
      </c>
      <c r="K431" s="2" t="s">
        <v>653</v>
      </c>
      <c r="L431" s="2" t="s">
        <v>60</v>
      </c>
      <c r="M431" s="1" t="s">
        <v>710</v>
      </c>
      <c r="N431" s="1" t="s">
        <v>62</v>
      </c>
      <c r="O431" s="1" t="s">
        <v>187</v>
      </c>
      <c r="P431" s="1" t="s">
        <v>704</v>
      </c>
      <c r="Q431" s="1">
        <v>16.763444</v>
      </c>
      <c r="R431" s="1">
        <v>-88.312139</v>
      </c>
      <c r="S431" s="1" t="s">
        <v>148</v>
      </c>
      <c r="T431" s="2" t="s">
        <v>275</v>
      </c>
      <c r="U431" s="1" t="s">
        <v>656</v>
      </c>
      <c r="V431" s="3" t="s">
        <v>97</v>
      </c>
      <c r="W431" s="1" t="s">
        <v>278</v>
      </c>
      <c r="X431" s="1" t="s">
        <v>279</v>
      </c>
      <c r="Y431" s="6" t="s">
        <v>76</v>
      </c>
      <c r="Z431" s="3" t="s">
        <v>76</v>
      </c>
      <c r="AB431" s="1">
        <v>2.0</v>
      </c>
      <c r="AI431" s="1" t="s">
        <v>675</v>
      </c>
      <c r="AJ431" s="2" t="s">
        <v>72</v>
      </c>
      <c r="AK431" s="2" t="s">
        <v>72</v>
      </c>
      <c r="AL431" s="2" t="s">
        <v>100</v>
      </c>
      <c r="AM431" s="2" t="s">
        <v>76</v>
      </c>
      <c r="AN431" s="2" t="s">
        <v>524</v>
      </c>
      <c r="AO431" s="2" t="s">
        <v>72</v>
      </c>
      <c r="AQ431" s="2" t="s">
        <v>75</v>
      </c>
      <c r="AR431" s="2" t="s">
        <v>76</v>
      </c>
      <c r="AS431" s="1">
        <v>2142.0</v>
      </c>
      <c r="AT431" s="1">
        <v>2142.0</v>
      </c>
      <c r="AU431" s="1">
        <v>859.0</v>
      </c>
      <c r="AV431" s="1">
        <v>57.0</v>
      </c>
      <c r="AW431" s="1">
        <v>176.0</v>
      </c>
      <c r="AX431" s="1">
        <v>5451.0</v>
      </c>
      <c r="AY431" s="1">
        <v>1.0</v>
      </c>
      <c r="AZ431" s="1" t="s">
        <v>658</v>
      </c>
      <c r="BA431" s="1" t="s">
        <v>659</v>
      </c>
    </row>
    <row r="432">
      <c r="A432" s="1" t="s">
        <v>647</v>
      </c>
      <c r="B432" s="1" t="s">
        <v>53</v>
      </c>
      <c r="C432" s="1">
        <v>2017.0</v>
      </c>
      <c r="D432" s="1" t="s">
        <v>648</v>
      </c>
      <c r="E432" s="1" t="s">
        <v>649</v>
      </c>
      <c r="F432" s="1" t="s">
        <v>650</v>
      </c>
      <c r="G432" s="1" t="s">
        <v>651</v>
      </c>
      <c r="H432" s="1" t="s">
        <v>652</v>
      </c>
      <c r="I432" s="1">
        <v>106.0</v>
      </c>
      <c r="J432" s="1">
        <v>1.0</v>
      </c>
      <c r="K432" s="2" t="s">
        <v>653</v>
      </c>
      <c r="L432" s="2" t="s">
        <v>60</v>
      </c>
      <c r="M432" s="1" t="s">
        <v>711</v>
      </c>
      <c r="N432" s="1" t="s">
        <v>62</v>
      </c>
      <c r="O432" s="1" t="s">
        <v>187</v>
      </c>
      <c r="P432" s="1" t="s">
        <v>704</v>
      </c>
      <c r="Q432" s="1">
        <v>16.756111</v>
      </c>
      <c r="R432" s="1">
        <v>-88.318278</v>
      </c>
      <c r="S432" s="1" t="s">
        <v>148</v>
      </c>
      <c r="T432" s="2" t="s">
        <v>275</v>
      </c>
      <c r="U432" s="1" t="s">
        <v>656</v>
      </c>
      <c r="V432" s="3" t="s">
        <v>97</v>
      </c>
      <c r="W432" s="1" t="s">
        <v>278</v>
      </c>
      <c r="X432" s="1" t="s">
        <v>279</v>
      </c>
      <c r="Y432" s="6" t="s">
        <v>76</v>
      </c>
      <c r="Z432" s="3" t="s">
        <v>76</v>
      </c>
      <c r="AB432" s="1">
        <v>2.0</v>
      </c>
      <c r="AI432" s="1" t="s">
        <v>708</v>
      </c>
      <c r="AJ432" s="2" t="s">
        <v>72</v>
      </c>
      <c r="AK432" s="2" t="s">
        <v>72</v>
      </c>
      <c r="AL432" s="2" t="s">
        <v>100</v>
      </c>
      <c r="AM432" s="2" t="s">
        <v>76</v>
      </c>
      <c r="AN432" s="2" t="s">
        <v>524</v>
      </c>
      <c r="AO432" s="2" t="s">
        <v>72</v>
      </c>
      <c r="AQ432" s="2" t="s">
        <v>75</v>
      </c>
      <c r="AR432" s="2" t="s">
        <v>76</v>
      </c>
      <c r="AS432" s="1">
        <v>2145.0</v>
      </c>
      <c r="AT432" s="1">
        <v>2145.0</v>
      </c>
      <c r="AU432" s="1">
        <v>860.0</v>
      </c>
      <c r="AV432" s="1">
        <v>57.0</v>
      </c>
      <c r="AW432" s="1">
        <v>176.0</v>
      </c>
      <c r="AX432" s="1">
        <v>5444.0</v>
      </c>
      <c r="AY432" s="1">
        <v>1.0</v>
      </c>
      <c r="AZ432" s="1" t="s">
        <v>658</v>
      </c>
      <c r="BA432" s="1" t="s">
        <v>659</v>
      </c>
    </row>
    <row r="433">
      <c r="A433" s="1" t="s">
        <v>607</v>
      </c>
      <c r="B433" s="1" t="s">
        <v>53</v>
      </c>
      <c r="C433" s="1">
        <v>2017.0</v>
      </c>
      <c r="D433" s="1" t="s">
        <v>608</v>
      </c>
      <c r="E433" s="1" t="s">
        <v>609</v>
      </c>
      <c r="F433" s="1" t="s">
        <v>583</v>
      </c>
      <c r="G433" s="1" t="s">
        <v>610</v>
      </c>
      <c r="H433" s="1" t="s">
        <v>611</v>
      </c>
      <c r="I433" s="1">
        <v>27.0</v>
      </c>
      <c r="J433" s="1">
        <v>9.0</v>
      </c>
      <c r="K433" s="2" t="s">
        <v>612</v>
      </c>
      <c r="L433" s="2" t="s">
        <v>76</v>
      </c>
      <c r="M433" s="1" t="s">
        <v>607</v>
      </c>
      <c r="N433" s="1" t="s">
        <v>62</v>
      </c>
      <c r="O433" s="1" t="s">
        <v>92</v>
      </c>
      <c r="P433" s="1" t="s">
        <v>613</v>
      </c>
      <c r="Q433" s="1">
        <v>16.9</v>
      </c>
      <c r="R433" s="1">
        <v>-91.6</v>
      </c>
      <c r="S433" s="1" t="s">
        <v>148</v>
      </c>
      <c r="T433" s="2" t="s">
        <v>614</v>
      </c>
      <c r="U433" s="2" t="s">
        <v>615</v>
      </c>
      <c r="V433" s="3" t="s">
        <v>97</v>
      </c>
      <c r="W433" s="1" t="s">
        <v>264</v>
      </c>
      <c r="X433" s="2" t="s">
        <v>83</v>
      </c>
      <c r="Y433" s="6" t="s">
        <v>76</v>
      </c>
      <c r="Z433" s="3" t="s">
        <v>76</v>
      </c>
      <c r="AB433" s="1">
        <v>7.0</v>
      </c>
      <c r="AI433" s="2" t="s">
        <v>72</v>
      </c>
      <c r="AJ433" s="1">
        <v>-7590.0</v>
      </c>
      <c r="AK433" s="1">
        <v>1950.0</v>
      </c>
      <c r="AL433" s="2" t="s">
        <v>73</v>
      </c>
      <c r="AM433" s="2" t="s">
        <v>72</v>
      </c>
      <c r="AN433" s="2" t="s">
        <v>132</v>
      </c>
      <c r="AO433" s="2" t="s">
        <v>72</v>
      </c>
      <c r="AQ433" s="2" t="s">
        <v>102</v>
      </c>
      <c r="AR433" s="2" t="s">
        <v>76</v>
      </c>
      <c r="AS433" s="1">
        <v>2025.0</v>
      </c>
      <c r="AT433" s="1">
        <v>2025.0</v>
      </c>
      <c r="AU433" s="1">
        <v>887.0</v>
      </c>
      <c r="AV433" s="1">
        <v>52.0</v>
      </c>
      <c r="AW433" s="1">
        <v>167.0</v>
      </c>
      <c r="AX433" s="1">
        <v>6573.0</v>
      </c>
      <c r="AY433" s="1">
        <v>687.0</v>
      </c>
      <c r="AZ433" s="1" t="s">
        <v>133</v>
      </c>
      <c r="BA433" s="1" t="s">
        <v>121</v>
      </c>
    </row>
    <row r="434">
      <c r="A434" s="1" t="s">
        <v>1738</v>
      </c>
      <c r="B434" s="1" t="s">
        <v>53</v>
      </c>
      <c r="C434" s="1">
        <v>2017.0</v>
      </c>
      <c r="D434" s="1" t="s">
        <v>1739</v>
      </c>
      <c r="E434" s="1" t="s">
        <v>1740</v>
      </c>
      <c r="F434" s="1" t="s">
        <v>1386</v>
      </c>
      <c r="G434" s="1" t="s">
        <v>1741</v>
      </c>
      <c r="H434" s="1" t="s">
        <v>1742</v>
      </c>
      <c r="I434" s="1">
        <v>175.0</v>
      </c>
      <c r="K434" s="2" t="s">
        <v>1743</v>
      </c>
      <c r="L434" s="2" t="s">
        <v>60</v>
      </c>
      <c r="M434" s="1" t="s">
        <v>1744</v>
      </c>
      <c r="N434" s="1" t="s">
        <v>62</v>
      </c>
      <c r="O434" s="1" t="s">
        <v>92</v>
      </c>
      <c r="P434" s="1" t="s">
        <v>1745</v>
      </c>
      <c r="Q434" s="1">
        <v>20.407785</v>
      </c>
      <c r="R434" s="1">
        <v>-87.464611</v>
      </c>
      <c r="S434" s="1" t="s">
        <v>148</v>
      </c>
      <c r="T434" s="2" t="s">
        <v>95</v>
      </c>
      <c r="U434" s="2" t="s">
        <v>615</v>
      </c>
      <c r="V434" s="3" t="s">
        <v>97</v>
      </c>
      <c r="W434" s="1" t="s">
        <v>1746</v>
      </c>
      <c r="X434" s="2" t="s">
        <v>99</v>
      </c>
      <c r="Y434" s="6" t="s">
        <v>76</v>
      </c>
      <c r="Z434" s="3" t="s">
        <v>76</v>
      </c>
      <c r="AB434" s="1">
        <v>21.0</v>
      </c>
      <c r="AI434" s="1" t="s">
        <v>1747</v>
      </c>
      <c r="AJ434" s="1">
        <v>-6350.0</v>
      </c>
      <c r="AK434" s="1">
        <v>1950.0</v>
      </c>
      <c r="AL434" s="2" t="s">
        <v>153</v>
      </c>
      <c r="AM434" s="2" t="s">
        <v>72</v>
      </c>
      <c r="AN434" s="2" t="s">
        <v>132</v>
      </c>
      <c r="AO434" s="2" t="s">
        <v>72</v>
      </c>
      <c r="AQ434" s="2" t="s">
        <v>576</v>
      </c>
      <c r="AR434" s="2" t="s">
        <v>76</v>
      </c>
      <c r="AS434" s="1">
        <v>1235.0</v>
      </c>
      <c r="AT434" s="1">
        <v>1235.0</v>
      </c>
      <c r="AU434" s="1">
        <v>512.0</v>
      </c>
      <c r="AV434" s="1">
        <v>41.0</v>
      </c>
      <c r="AW434" s="1">
        <v>137.0</v>
      </c>
      <c r="AX434" s="1">
        <v>5112.0</v>
      </c>
      <c r="AY434" s="1">
        <v>13.0</v>
      </c>
      <c r="AZ434" s="1" t="s">
        <v>239</v>
      </c>
      <c r="BA434" s="1" t="s">
        <v>121</v>
      </c>
    </row>
    <row r="435">
      <c r="A435" s="1" t="s">
        <v>1738</v>
      </c>
      <c r="B435" s="1" t="s">
        <v>53</v>
      </c>
      <c r="C435" s="1">
        <v>2017.0</v>
      </c>
      <c r="D435" s="1" t="s">
        <v>1739</v>
      </c>
      <c r="E435" s="1" t="s">
        <v>1740</v>
      </c>
      <c r="F435" s="1" t="s">
        <v>1386</v>
      </c>
      <c r="G435" s="1" t="s">
        <v>1741</v>
      </c>
      <c r="H435" s="1" t="s">
        <v>1742</v>
      </c>
      <c r="I435" s="1">
        <v>175.0</v>
      </c>
      <c r="K435" s="2" t="s">
        <v>1743</v>
      </c>
      <c r="L435" s="2" t="s">
        <v>60</v>
      </c>
      <c r="M435" s="1" t="s">
        <v>1748</v>
      </c>
      <c r="N435" s="1" t="s">
        <v>62</v>
      </c>
      <c r="O435" s="1" t="s">
        <v>92</v>
      </c>
      <c r="P435" s="1" t="s">
        <v>1745</v>
      </c>
      <c r="Q435" s="1">
        <v>20.407785</v>
      </c>
      <c r="R435" s="1">
        <v>-87.464611</v>
      </c>
      <c r="S435" s="1" t="s">
        <v>148</v>
      </c>
      <c r="T435" s="2" t="s">
        <v>169</v>
      </c>
      <c r="U435" s="1" t="s">
        <v>1533</v>
      </c>
      <c r="V435" s="3" t="s">
        <v>97</v>
      </c>
      <c r="W435" s="1" t="s">
        <v>1749</v>
      </c>
      <c r="X435" s="2" t="s">
        <v>99</v>
      </c>
      <c r="Y435" s="6" t="s">
        <v>76</v>
      </c>
      <c r="Z435" s="3" t="s">
        <v>76</v>
      </c>
      <c r="AB435" s="1">
        <v>21.0</v>
      </c>
      <c r="AI435" s="1" t="s">
        <v>1747</v>
      </c>
      <c r="AJ435" s="1">
        <v>-6350.0</v>
      </c>
      <c r="AK435" s="1">
        <v>1950.0</v>
      </c>
      <c r="AL435" s="2" t="s">
        <v>153</v>
      </c>
      <c r="AM435" s="2" t="s">
        <v>72</v>
      </c>
      <c r="AN435" s="2" t="s">
        <v>132</v>
      </c>
      <c r="AO435" s="2" t="s">
        <v>72</v>
      </c>
      <c r="AQ435" s="2" t="s">
        <v>576</v>
      </c>
      <c r="AR435" s="2" t="s">
        <v>76</v>
      </c>
      <c r="AS435" s="1">
        <v>1235.0</v>
      </c>
      <c r="AT435" s="1">
        <v>1235.0</v>
      </c>
      <c r="AU435" s="1">
        <v>512.0</v>
      </c>
      <c r="AV435" s="1">
        <v>41.0</v>
      </c>
      <c r="AW435" s="1">
        <v>137.0</v>
      </c>
      <c r="AX435" s="1">
        <v>5112.0</v>
      </c>
      <c r="AY435" s="1">
        <v>13.0</v>
      </c>
      <c r="AZ435" s="1" t="s">
        <v>239</v>
      </c>
      <c r="BA435" s="1" t="s">
        <v>121</v>
      </c>
    </row>
    <row r="436">
      <c r="A436" s="1" t="s">
        <v>390</v>
      </c>
      <c r="B436" s="1" t="s">
        <v>53</v>
      </c>
      <c r="C436" s="1">
        <v>2017.0</v>
      </c>
      <c r="D436" s="1" t="s">
        <v>391</v>
      </c>
      <c r="E436" s="1" t="s">
        <v>392</v>
      </c>
      <c r="F436" s="1" t="s">
        <v>359</v>
      </c>
      <c r="G436" s="1" t="s">
        <v>393</v>
      </c>
      <c r="H436" s="1" t="s">
        <v>394</v>
      </c>
      <c r="I436" s="1">
        <v>32.0</v>
      </c>
      <c r="J436" s="1">
        <v>1.0</v>
      </c>
      <c r="K436" s="2" t="s">
        <v>395</v>
      </c>
      <c r="L436" s="2" t="s">
        <v>60</v>
      </c>
      <c r="M436" s="1" t="s">
        <v>396</v>
      </c>
      <c r="N436" s="1" t="s">
        <v>62</v>
      </c>
      <c r="O436" s="1" t="s">
        <v>167</v>
      </c>
      <c r="P436" s="1" t="s">
        <v>397</v>
      </c>
      <c r="Q436" s="1">
        <v>17.239926</v>
      </c>
      <c r="R436" s="1">
        <v>-89.804629</v>
      </c>
      <c r="S436" s="1" t="s">
        <v>398</v>
      </c>
      <c r="T436" s="2" t="s">
        <v>189</v>
      </c>
      <c r="U436" s="1" t="s">
        <v>173</v>
      </c>
      <c r="V436" s="3" t="s">
        <v>68</v>
      </c>
      <c r="W436" s="1" t="s">
        <v>191</v>
      </c>
      <c r="X436" s="1" t="s">
        <v>70</v>
      </c>
      <c r="Y436" s="6" t="s">
        <v>76</v>
      </c>
      <c r="Z436" s="1" t="s">
        <v>173</v>
      </c>
      <c r="AB436" s="1">
        <v>3.0</v>
      </c>
      <c r="AI436" s="1" t="s">
        <v>399</v>
      </c>
      <c r="AJ436" s="1">
        <v>220.0</v>
      </c>
      <c r="AK436" s="1">
        <v>760.0</v>
      </c>
      <c r="AL436" s="2" t="s">
        <v>100</v>
      </c>
      <c r="AM436" s="2" t="s">
        <v>72</v>
      </c>
      <c r="AN436" s="1" t="s">
        <v>400</v>
      </c>
      <c r="AO436" s="2" t="s">
        <v>72</v>
      </c>
      <c r="AQ436" s="2" t="s">
        <v>75</v>
      </c>
      <c r="AR436" s="2" t="s">
        <v>76</v>
      </c>
      <c r="AS436" s="1">
        <v>1616.0</v>
      </c>
      <c r="AT436" s="1">
        <v>1616.0</v>
      </c>
      <c r="AU436" s="1">
        <v>647.0</v>
      </c>
      <c r="AV436" s="1">
        <v>38.0</v>
      </c>
      <c r="AW436" s="1">
        <v>128.0</v>
      </c>
      <c r="AX436" s="1">
        <v>5637.0</v>
      </c>
      <c r="AY436" s="1">
        <v>226.0</v>
      </c>
      <c r="AZ436" s="1" t="s">
        <v>133</v>
      </c>
      <c r="BA436" s="1" t="s">
        <v>121</v>
      </c>
    </row>
    <row r="437">
      <c r="A437" s="1" t="s">
        <v>390</v>
      </c>
      <c r="B437" s="1" t="s">
        <v>53</v>
      </c>
      <c r="C437" s="1">
        <v>2017.0</v>
      </c>
      <c r="D437" s="1" t="s">
        <v>391</v>
      </c>
      <c r="E437" s="1" t="s">
        <v>392</v>
      </c>
      <c r="F437" s="1" t="s">
        <v>359</v>
      </c>
      <c r="G437" s="1" t="s">
        <v>393</v>
      </c>
      <c r="H437" s="1" t="s">
        <v>394</v>
      </c>
      <c r="I437" s="1">
        <v>32.0</v>
      </c>
      <c r="J437" s="1">
        <v>1.0</v>
      </c>
      <c r="K437" s="2" t="s">
        <v>395</v>
      </c>
      <c r="L437" s="2" t="s">
        <v>60</v>
      </c>
      <c r="M437" s="1" t="s">
        <v>401</v>
      </c>
      <c r="N437" s="1" t="s">
        <v>62</v>
      </c>
      <c r="O437" s="1" t="s">
        <v>167</v>
      </c>
      <c r="P437" s="1" t="s">
        <v>402</v>
      </c>
      <c r="Q437" s="1">
        <v>17.239567</v>
      </c>
      <c r="R437" s="1">
        <v>-89.810542</v>
      </c>
      <c r="S437" s="1" t="s">
        <v>398</v>
      </c>
      <c r="T437" s="2" t="s">
        <v>189</v>
      </c>
      <c r="U437" s="1" t="s">
        <v>173</v>
      </c>
      <c r="V437" s="3" t="s">
        <v>68</v>
      </c>
      <c r="W437" s="1" t="s">
        <v>191</v>
      </c>
      <c r="X437" s="1" t="s">
        <v>70</v>
      </c>
      <c r="Y437" s="6" t="s">
        <v>76</v>
      </c>
      <c r="Z437" s="1" t="s">
        <v>173</v>
      </c>
      <c r="AB437" s="1">
        <v>2.0</v>
      </c>
      <c r="AI437" s="1" t="s">
        <v>399</v>
      </c>
      <c r="AJ437" s="1">
        <v>255.0</v>
      </c>
      <c r="AK437" s="1">
        <v>370.0</v>
      </c>
      <c r="AL437" s="2" t="s">
        <v>100</v>
      </c>
      <c r="AM437" s="2" t="s">
        <v>72</v>
      </c>
      <c r="AN437" s="1" t="s">
        <v>400</v>
      </c>
      <c r="AO437" s="2" t="s">
        <v>72</v>
      </c>
      <c r="AQ437" s="2" t="s">
        <v>75</v>
      </c>
      <c r="AR437" s="2" t="s">
        <v>76</v>
      </c>
      <c r="AS437" s="1">
        <v>1621.0</v>
      </c>
      <c r="AT437" s="1">
        <v>1621.0</v>
      </c>
      <c r="AU437" s="1">
        <v>649.0</v>
      </c>
      <c r="AV437" s="1">
        <v>38.0</v>
      </c>
      <c r="AW437" s="1">
        <v>130.0</v>
      </c>
      <c r="AX437" s="1">
        <v>5627.0</v>
      </c>
      <c r="AY437" s="1">
        <v>249.0</v>
      </c>
      <c r="AZ437" s="1" t="s">
        <v>133</v>
      </c>
      <c r="BA437" s="1" t="s">
        <v>121</v>
      </c>
    </row>
    <row r="438">
      <c r="A438" s="1" t="s">
        <v>390</v>
      </c>
      <c r="B438" s="1" t="s">
        <v>53</v>
      </c>
      <c r="C438" s="1">
        <v>2017.0</v>
      </c>
      <c r="D438" s="1" t="s">
        <v>391</v>
      </c>
      <c r="E438" s="1" t="s">
        <v>392</v>
      </c>
      <c r="F438" s="1" t="s">
        <v>359</v>
      </c>
      <c r="G438" s="1" t="s">
        <v>393</v>
      </c>
      <c r="H438" s="1" t="s">
        <v>394</v>
      </c>
      <c r="I438" s="1">
        <v>32.0</v>
      </c>
      <c r="J438" s="1">
        <v>1.0</v>
      </c>
      <c r="K438" s="2" t="s">
        <v>395</v>
      </c>
      <c r="L438" s="2" t="s">
        <v>60</v>
      </c>
      <c r="M438" s="1" t="s">
        <v>403</v>
      </c>
      <c r="N438" s="1" t="s">
        <v>62</v>
      </c>
      <c r="O438" s="1" t="s">
        <v>167</v>
      </c>
      <c r="P438" s="1" t="s">
        <v>404</v>
      </c>
      <c r="Q438" s="1">
        <v>17.228088</v>
      </c>
      <c r="R438" s="1">
        <v>-89.761455</v>
      </c>
      <c r="S438" s="1" t="s">
        <v>398</v>
      </c>
      <c r="T438" s="2" t="s">
        <v>189</v>
      </c>
      <c r="U438" s="1" t="s">
        <v>173</v>
      </c>
      <c r="V438" s="3" t="s">
        <v>68</v>
      </c>
      <c r="W438" s="1" t="s">
        <v>191</v>
      </c>
      <c r="X438" s="1" t="s">
        <v>70</v>
      </c>
      <c r="Y438" s="6" t="s">
        <v>76</v>
      </c>
      <c r="Z438" s="1" t="s">
        <v>173</v>
      </c>
      <c r="AB438" s="1">
        <v>1.0</v>
      </c>
      <c r="AI438" s="1" t="s">
        <v>399</v>
      </c>
      <c r="AJ438" s="1">
        <v>-475.0</v>
      </c>
      <c r="AK438" s="2" t="s">
        <v>72</v>
      </c>
      <c r="AL438" s="2" t="s">
        <v>100</v>
      </c>
      <c r="AM438" s="2" t="s">
        <v>72</v>
      </c>
      <c r="AN438" s="1" t="s">
        <v>400</v>
      </c>
      <c r="AO438" s="2" t="s">
        <v>72</v>
      </c>
      <c r="AQ438" s="2" t="s">
        <v>75</v>
      </c>
      <c r="AR438" s="2" t="s">
        <v>76</v>
      </c>
      <c r="AS438" s="1">
        <v>1614.0</v>
      </c>
      <c r="AT438" s="1">
        <v>1614.0</v>
      </c>
      <c r="AU438" s="1">
        <v>641.0</v>
      </c>
      <c r="AV438" s="1">
        <v>38.0</v>
      </c>
      <c r="AW438" s="1">
        <v>130.0</v>
      </c>
      <c r="AX438" s="1">
        <v>5597.0</v>
      </c>
      <c r="AY438" s="1">
        <v>229.0</v>
      </c>
      <c r="AZ438" s="1" t="s">
        <v>133</v>
      </c>
      <c r="BA438" s="1" t="s">
        <v>121</v>
      </c>
    </row>
    <row r="439">
      <c r="A439" s="1" t="s">
        <v>390</v>
      </c>
      <c r="B439" s="1" t="s">
        <v>53</v>
      </c>
      <c r="C439" s="1">
        <v>2017.0</v>
      </c>
      <c r="D439" s="1" t="s">
        <v>391</v>
      </c>
      <c r="E439" s="1" t="s">
        <v>392</v>
      </c>
      <c r="F439" s="1" t="s">
        <v>359</v>
      </c>
      <c r="G439" s="1" t="s">
        <v>393</v>
      </c>
      <c r="H439" s="1" t="s">
        <v>394</v>
      </c>
      <c r="I439" s="1">
        <v>32.0</v>
      </c>
      <c r="J439" s="1">
        <v>1.0</v>
      </c>
      <c r="K439" s="2" t="s">
        <v>395</v>
      </c>
      <c r="L439" s="2" t="s">
        <v>60</v>
      </c>
      <c r="M439" s="1" t="s">
        <v>405</v>
      </c>
      <c r="N439" s="1" t="s">
        <v>62</v>
      </c>
      <c r="O439" s="1" t="s">
        <v>167</v>
      </c>
      <c r="P439" s="1" t="s">
        <v>406</v>
      </c>
      <c r="Q439" s="1">
        <v>17.228088</v>
      </c>
      <c r="R439" s="1">
        <v>-89.761455</v>
      </c>
      <c r="S439" s="1" t="s">
        <v>398</v>
      </c>
      <c r="T439" s="2" t="s">
        <v>189</v>
      </c>
      <c r="U439" s="1" t="s">
        <v>173</v>
      </c>
      <c r="V439" s="3" t="s">
        <v>68</v>
      </c>
      <c r="W439" s="1" t="s">
        <v>191</v>
      </c>
      <c r="X439" s="1" t="s">
        <v>70</v>
      </c>
      <c r="Y439" s="6" t="s">
        <v>76</v>
      </c>
      <c r="Z439" s="1" t="s">
        <v>173</v>
      </c>
      <c r="AB439" s="1">
        <v>3.0</v>
      </c>
      <c r="AI439" s="1" t="s">
        <v>399</v>
      </c>
      <c r="AJ439" s="1">
        <v>-1725.0</v>
      </c>
      <c r="AK439" s="1">
        <v>20.0</v>
      </c>
      <c r="AL439" s="2" t="s">
        <v>73</v>
      </c>
      <c r="AM439" s="2" t="s">
        <v>72</v>
      </c>
      <c r="AN439" s="1" t="s">
        <v>400</v>
      </c>
      <c r="AO439" s="2" t="s">
        <v>72</v>
      </c>
      <c r="AQ439" s="2" t="s">
        <v>75</v>
      </c>
      <c r="AR439" s="2" t="s">
        <v>76</v>
      </c>
      <c r="AS439" s="1">
        <v>1614.0</v>
      </c>
      <c r="AT439" s="1">
        <v>1614.0</v>
      </c>
      <c r="AU439" s="1">
        <v>641.0</v>
      </c>
      <c r="AV439" s="1">
        <v>38.0</v>
      </c>
      <c r="AW439" s="1">
        <v>130.0</v>
      </c>
      <c r="AX439" s="1">
        <v>5597.0</v>
      </c>
      <c r="AY439" s="1">
        <v>229.0</v>
      </c>
      <c r="AZ439" s="1" t="s">
        <v>133</v>
      </c>
      <c r="BA439" s="1" t="s">
        <v>121</v>
      </c>
    </row>
    <row r="440">
      <c r="A440" s="1" t="s">
        <v>390</v>
      </c>
      <c r="B440" s="1" t="s">
        <v>53</v>
      </c>
      <c r="C440" s="1">
        <v>2017.0</v>
      </c>
      <c r="D440" s="1" t="s">
        <v>391</v>
      </c>
      <c r="E440" s="1" t="s">
        <v>392</v>
      </c>
      <c r="F440" s="1" t="s">
        <v>359</v>
      </c>
      <c r="G440" s="1" t="s">
        <v>393</v>
      </c>
      <c r="H440" s="1" t="s">
        <v>394</v>
      </c>
      <c r="I440" s="1">
        <v>32.0</v>
      </c>
      <c r="J440" s="1">
        <v>1.0</v>
      </c>
      <c r="K440" s="2" t="s">
        <v>395</v>
      </c>
      <c r="L440" s="2" t="s">
        <v>60</v>
      </c>
      <c r="M440" s="1" t="s">
        <v>407</v>
      </c>
      <c r="N440" s="1" t="s">
        <v>62</v>
      </c>
      <c r="O440" s="1" t="s">
        <v>167</v>
      </c>
      <c r="P440" s="1" t="s">
        <v>406</v>
      </c>
      <c r="Q440" s="1">
        <v>17.228088</v>
      </c>
      <c r="R440" s="1">
        <v>-89.761455</v>
      </c>
      <c r="S440" s="1" t="s">
        <v>398</v>
      </c>
      <c r="T440" s="2" t="s">
        <v>189</v>
      </c>
      <c r="U440" s="1" t="s">
        <v>173</v>
      </c>
      <c r="V440" s="3" t="s">
        <v>68</v>
      </c>
      <c r="W440" s="1" t="s">
        <v>191</v>
      </c>
      <c r="X440" s="1" t="s">
        <v>70</v>
      </c>
      <c r="Y440" s="6" t="s">
        <v>76</v>
      </c>
      <c r="Z440" s="1" t="s">
        <v>173</v>
      </c>
      <c r="AB440" s="1">
        <v>2.0</v>
      </c>
      <c r="AI440" s="1" t="s">
        <v>408</v>
      </c>
      <c r="AJ440" s="1">
        <v>235.0</v>
      </c>
      <c r="AK440" s="1">
        <v>660.0</v>
      </c>
      <c r="AL440" s="2" t="s">
        <v>100</v>
      </c>
      <c r="AM440" s="2" t="s">
        <v>72</v>
      </c>
      <c r="AN440" s="1" t="s">
        <v>400</v>
      </c>
      <c r="AO440" s="2" t="s">
        <v>72</v>
      </c>
      <c r="AQ440" s="2" t="s">
        <v>75</v>
      </c>
      <c r="AR440" s="2" t="s">
        <v>76</v>
      </c>
      <c r="AS440" s="1">
        <v>1614.0</v>
      </c>
      <c r="AT440" s="1">
        <v>1614.0</v>
      </c>
      <c r="AU440" s="1">
        <v>641.0</v>
      </c>
      <c r="AV440" s="1">
        <v>38.0</v>
      </c>
      <c r="AW440" s="1">
        <v>130.0</v>
      </c>
      <c r="AX440" s="1">
        <v>5597.0</v>
      </c>
      <c r="AY440" s="1">
        <v>229.0</v>
      </c>
      <c r="AZ440" s="1" t="s">
        <v>133</v>
      </c>
      <c r="BA440" s="1" t="s">
        <v>121</v>
      </c>
    </row>
    <row r="441">
      <c r="A441" s="1" t="s">
        <v>390</v>
      </c>
      <c r="B441" s="1" t="s">
        <v>53</v>
      </c>
      <c r="C441" s="1">
        <v>2017.0</v>
      </c>
      <c r="D441" s="1" t="s">
        <v>391</v>
      </c>
      <c r="E441" s="1" t="s">
        <v>392</v>
      </c>
      <c r="F441" s="1" t="s">
        <v>359</v>
      </c>
      <c r="G441" s="1" t="s">
        <v>393</v>
      </c>
      <c r="H441" s="1" t="s">
        <v>394</v>
      </c>
      <c r="I441" s="1">
        <v>32.0</v>
      </c>
      <c r="J441" s="1">
        <v>1.0</v>
      </c>
      <c r="K441" s="2" t="s">
        <v>395</v>
      </c>
      <c r="L441" s="2" t="s">
        <v>60</v>
      </c>
      <c r="M441" s="1" t="s">
        <v>409</v>
      </c>
      <c r="N441" s="1" t="s">
        <v>62</v>
      </c>
      <c r="O441" s="1" t="s">
        <v>167</v>
      </c>
      <c r="P441" s="1" t="s">
        <v>397</v>
      </c>
      <c r="Q441" s="1">
        <v>17.239926</v>
      </c>
      <c r="R441" s="1">
        <v>-89.804629</v>
      </c>
      <c r="S441" s="1" t="s">
        <v>398</v>
      </c>
      <c r="T441" s="2" t="s">
        <v>135</v>
      </c>
      <c r="U441" s="3" t="s">
        <v>67</v>
      </c>
      <c r="V441" s="3" t="s">
        <v>68</v>
      </c>
      <c r="W441" s="1" t="s">
        <v>410</v>
      </c>
      <c r="X441" s="2" t="s">
        <v>70</v>
      </c>
      <c r="Y441" s="6" t="s">
        <v>76</v>
      </c>
      <c r="Z441" s="3" t="s">
        <v>411</v>
      </c>
      <c r="AB441" s="1">
        <v>3.0</v>
      </c>
      <c r="AI441" s="1" t="s">
        <v>399</v>
      </c>
      <c r="AJ441" s="1">
        <v>220.0</v>
      </c>
      <c r="AK441" s="1">
        <v>760.0</v>
      </c>
      <c r="AL441" s="2" t="s">
        <v>100</v>
      </c>
      <c r="AM441" s="2" t="s">
        <v>72</v>
      </c>
      <c r="AN441" s="1" t="s">
        <v>400</v>
      </c>
      <c r="AO441" s="2" t="s">
        <v>72</v>
      </c>
      <c r="AQ441" s="2" t="s">
        <v>75</v>
      </c>
      <c r="AR441" s="2" t="s">
        <v>76</v>
      </c>
      <c r="AS441" s="1">
        <v>1616.0</v>
      </c>
      <c r="AT441" s="1">
        <v>1616.0</v>
      </c>
      <c r="AU441" s="1">
        <v>647.0</v>
      </c>
      <c r="AV441" s="1">
        <v>38.0</v>
      </c>
      <c r="AW441" s="1">
        <v>128.0</v>
      </c>
      <c r="AX441" s="1">
        <v>5637.0</v>
      </c>
      <c r="AY441" s="1">
        <v>226.0</v>
      </c>
      <c r="AZ441" s="1" t="s">
        <v>133</v>
      </c>
      <c r="BA441" s="1" t="s">
        <v>121</v>
      </c>
    </row>
    <row r="442">
      <c r="A442" s="1" t="s">
        <v>390</v>
      </c>
      <c r="B442" s="1" t="s">
        <v>53</v>
      </c>
      <c r="C442" s="1">
        <v>2017.0</v>
      </c>
      <c r="D442" s="1" t="s">
        <v>391</v>
      </c>
      <c r="E442" s="1" t="s">
        <v>392</v>
      </c>
      <c r="F442" s="1" t="s">
        <v>359</v>
      </c>
      <c r="G442" s="1" t="s">
        <v>393</v>
      </c>
      <c r="H442" s="1" t="s">
        <v>394</v>
      </c>
      <c r="I442" s="1">
        <v>32.0</v>
      </c>
      <c r="J442" s="1">
        <v>1.0</v>
      </c>
      <c r="K442" s="2" t="s">
        <v>395</v>
      </c>
      <c r="L442" s="2" t="s">
        <v>60</v>
      </c>
      <c r="M442" s="1" t="s">
        <v>412</v>
      </c>
      <c r="N442" s="1" t="s">
        <v>62</v>
      </c>
      <c r="O442" s="1" t="s">
        <v>167</v>
      </c>
      <c r="P442" s="1" t="s">
        <v>402</v>
      </c>
      <c r="Q442" s="1">
        <v>17.239567</v>
      </c>
      <c r="R442" s="1">
        <v>-89.810542</v>
      </c>
      <c r="S442" s="1" t="s">
        <v>398</v>
      </c>
      <c r="T442" s="2" t="s">
        <v>135</v>
      </c>
      <c r="U442" s="3" t="s">
        <v>67</v>
      </c>
      <c r="V442" s="3" t="s">
        <v>68</v>
      </c>
      <c r="W442" s="1" t="s">
        <v>410</v>
      </c>
      <c r="X442" s="2" t="s">
        <v>70</v>
      </c>
      <c r="Y442" s="6" t="s">
        <v>76</v>
      </c>
      <c r="Z442" s="3" t="s">
        <v>411</v>
      </c>
      <c r="AB442" s="1">
        <v>2.0</v>
      </c>
      <c r="AI442" s="1" t="s">
        <v>399</v>
      </c>
      <c r="AJ442" s="1">
        <v>255.0</v>
      </c>
      <c r="AK442" s="1">
        <v>370.0</v>
      </c>
      <c r="AL442" s="2" t="s">
        <v>100</v>
      </c>
      <c r="AM442" s="2" t="s">
        <v>72</v>
      </c>
      <c r="AN442" s="1" t="s">
        <v>400</v>
      </c>
      <c r="AO442" s="2" t="s">
        <v>72</v>
      </c>
      <c r="AQ442" s="2" t="s">
        <v>75</v>
      </c>
      <c r="AR442" s="2" t="s">
        <v>76</v>
      </c>
      <c r="AS442" s="1">
        <v>1621.0</v>
      </c>
      <c r="AT442" s="1">
        <v>1621.0</v>
      </c>
      <c r="AU442" s="1">
        <v>649.0</v>
      </c>
      <c r="AV442" s="1">
        <v>38.0</v>
      </c>
      <c r="AW442" s="1">
        <v>130.0</v>
      </c>
      <c r="AX442" s="1">
        <v>5627.0</v>
      </c>
      <c r="AY442" s="1">
        <v>249.0</v>
      </c>
      <c r="AZ442" s="1" t="s">
        <v>133</v>
      </c>
      <c r="BA442" s="1" t="s">
        <v>121</v>
      </c>
    </row>
    <row r="443">
      <c r="A443" s="1" t="s">
        <v>390</v>
      </c>
      <c r="B443" s="1" t="s">
        <v>53</v>
      </c>
      <c r="C443" s="1">
        <v>2017.0</v>
      </c>
      <c r="D443" s="1" t="s">
        <v>391</v>
      </c>
      <c r="E443" s="1" t="s">
        <v>392</v>
      </c>
      <c r="F443" s="1" t="s">
        <v>359</v>
      </c>
      <c r="G443" s="1" t="s">
        <v>393</v>
      </c>
      <c r="H443" s="1" t="s">
        <v>394</v>
      </c>
      <c r="I443" s="1">
        <v>32.0</v>
      </c>
      <c r="J443" s="1">
        <v>1.0</v>
      </c>
      <c r="K443" s="2" t="s">
        <v>395</v>
      </c>
      <c r="L443" s="2" t="s">
        <v>60</v>
      </c>
      <c r="M443" s="1" t="s">
        <v>413</v>
      </c>
      <c r="N443" s="1" t="s">
        <v>62</v>
      </c>
      <c r="O443" s="1" t="s">
        <v>167</v>
      </c>
      <c r="P443" s="1" t="s">
        <v>404</v>
      </c>
      <c r="Q443" s="1">
        <v>17.228088</v>
      </c>
      <c r="R443" s="1">
        <v>-89.761455</v>
      </c>
      <c r="S443" s="1" t="s">
        <v>398</v>
      </c>
      <c r="T443" s="2" t="s">
        <v>135</v>
      </c>
      <c r="U443" s="3" t="s">
        <v>67</v>
      </c>
      <c r="V443" s="3" t="s">
        <v>68</v>
      </c>
      <c r="W443" s="1" t="s">
        <v>410</v>
      </c>
      <c r="X443" s="2" t="s">
        <v>70</v>
      </c>
      <c r="Y443" s="6" t="s">
        <v>76</v>
      </c>
      <c r="Z443" s="3" t="s">
        <v>411</v>
      </c>
      <c r="AB443" s="1">
        <v>1.0</v>
      </c>
      <c r="AI443" s="1" t="s">
        <v>399</v>
      </c>
      <c r="AJ443" s="1">
        <v>-475.0</v>
      </c>
      <c r="AK443" s="2" t="s">
        <v>72</v>
      </c>
      <c r="AL443" s="2" t="s">
        <v>100</v>
      </c>
      <c r="AM443" s="2" t="s">
        <v>72</v>
      </c>
      <c r="AN443" s="1" t="s">
        <v>400</v>
      </c>
      <c r="AO443" s="2" t="s">
        <v>72</v>
      </c>
      <c r="AQ443" s="2" t="s">
        <v>75</v>
      </c>
      <c r="AR443" s="2" t="s">
        <v>76</v>
      </c>
      <c r="AS443" s="1">
        <v>1614.0</v>
      </c>
      <c r="AT443" s="1">
        <v>1614.0</v>
      </c>
      <c r="AU443" s="1">
        <v>641.0</v>
      </c>
      <c r="AV443" s="1">
        <v>38.0</v>
      </c>
      <c r="AW443" s="1">
        <v>130.0</v>
      </c>
      <c r="AX443" s="1">
        <v>5597.0</v>
      </c>
      <c r="AY443" s="1">
        <v>229.0</v>
      </c>
      <c r="AZ443" s="1" t="s">
        <v>133</v>
      </c>
      <c r="BA443" s="1" t="s">
        <v>121</v>
      </c>
    </row>
    <row r="444">
      <c r="A444" s="1" t="s">
        <v>390</v>
      </c>
      <c r="B444" s="1" t="s">
        <v>53</v>
      </c>
      <c r="C444" s="1">
        <v>2017.0</v>
      </c>
      <c r="D444" s="1" t="s">
        <v>391</v>
      </c>
      <c r="E444" s="1" t="s">
        <v>392</v>
      </c>
      <c r="F444" s="1" t="s">
        <v>359</v>
      </c>
      <c r="G444" s="1" t="s">
        <v>393</v>
      </c>
      <c r="H444" s="1" t="s">
        <v>394</v>
      </c>
      <c r="I444" s="1">
        <v>32.0</v>
      </c>
      <c r="J444" s="1">
        <v>1.0</v>
      </c>
      <c r="K444" s="2" t="s">
        <v>395</v>
      </c>
      <c r="L444" s="2" t="s">
        <v>60</v>
      </c>
      <c r="M444" s="1" t="s">
        <v>414</v>
      </c>
      <c r="N444" s="1" t="s">
        <v>62</v>
      </c>
      <c r="O444" s="1" t="s">
        <v>167</v>
      </c>
      <c r="P444" s="1" t="s">
        <v>406</v>
      </c>
      <c r="Q444" s="1">
        <v>17.228088</v>
      </c>
      <c r="R444" s="1">
        <v>-89.761455</v>
      </c>
      <c r="S444" s="1" t="s">
        <v>398</v>
      </c>
      <c r="T444" s="2" t="s">
        <v>135</v>
      </c>
      <c r="U444" s="3" t="s">
        <v>67</v>
      </c>
      <c r="V444" s="3" t="s">
        <v>68</v>
      </c>
      <c r="W444" s="1" t="s">
        <v>410</v>
      </c>
      <c r="X444" s="2" t="s">
        <v>70</v>
      </c>
      <c r="Y444" s="6" t="s">
        <v>76</v>
      </c>
      <c r="Z444" s="3" t="s">
        <v>411</v>
      </c>
      <c r="AB444" s="1">
        <v>3.0</v>
      </c>
      <c r="AI444" s="1" t="s">
        <v>399</v>
      </c>
      <c r="AJ444" s="1">
        <v>-1725.0</v>
      </c>
      <c r="AK444" s="1">
        <v>20.0</v>
      </c>
      <c r="AL444" s="2" t="s">
        <v>73</v>
      </c>
      <c r="AM444" s="2" t="s">
        <v>72</v>
      </c>
      <c r="AN444" s="1" t="s">
        <v>400</v>
      </c>
      <c r="AO444" s="2" t="s">
        <v>72</v>
      </c>
      <c r="AQ444" s="2" t="s">
        <v>75</v>
      </c>
      <c r="AR444" s="2" t="s">
        <v>76</v>
      </c>
      <c r="AS444" s="1">
        <v>1614.0</v>
      </c>
      <c r="AT444" s="1">
        <v>1614.0</v>
      </c>
      <c r="AU444" s="1">
        <v>641.0</v>
      </c>
      <c r="AV444" s="1">
        <v>38.0</v>
      </c>
      <c r="AW444" s="1">
        <v>130.0</v>
      </c>
      <c r="AX444" s="1">
        <v>5597.0</v>
      </c>
      <c r="AY444" s="1">
        <v>229.0</v>
      </c>
      <c r="AZ444" s="1" t="s">
        <v>133</v>
      </c>
      <c r="BA444" s="1" t="s">
        <v>121</v>
      </c>
    </row>
    <row r="445">
      <c r="A445" s="1" t="s">
        <v>390</v>
      </c>
      <c r="B445" s="1" t="s">
        <v>53</v>
      </c>
      <c r="C445" s="1">
        <v>2017.0</v>
      </c>
      <c r="D445" s="1" t="s">
        <v>391</v>
      </c>
      <c r="E445" s="1" t="s">
        <v>392</v>
      </c>
      <c r="F445" s="1" t="s">
        <v>359</v>
      </c>
      <c r="G445" s="1" t="s">
        <v>393</v>
      </c>
      <c r="H445" s="1" t="s">
        <v>394</v>
      </c>
      <c r="I445" s="1">
        <v>32.0</v>
      </c>
      <c r="J445" s="1">
        <v>1.0</v>
      </c>
      <c r="K445" s="2" t="s">
        <v>395</v>
      </c>
      <c r="L445" s="2" t="s">
        <v>60</v>
      </c>
      <c r="M445" s="1" t="s">
        <v>415</v>
      </c>
      <c r="N445" s="1" t="s">
        <v>62</v>
      </c>
      <c r="O445" s="1" t="s">
        <v>167</v>
      </c>
      <c r="P445" s="1" t="s">
        <v>406</v>
      </c>
      <c r="Q445" s="1">
        <v>17.228088</v>
      </c>
      <c r="R445" s="1">
        <v>-89.761455</v>
      </c>
      <c r="S445" s="1" t="s">
        <v>398</v>
      </c>
      <c r="T445" s="2" t="s">
        <v>135</v>
      </c>
      <c r="U445" s="3" t="s">
        <v>67</v>
      </c>
      <c r="V445" s="3" t="s">
        <v>68</v>
      </c>
      <c r="W445" s="1" t="s">
        <v>410</v>
      </c>
      <c r="X445" s="2" t="s">
        <v>70</v>
      </c>
      <c r="Y445" s="6" t="s">
        <v>76</v>
      </c>
      <c r="Z445" s="3" t="s">
        <v>411</v>
      </c>
      <c r="AB445" s="1">
        <v>2.0</v>
      </c>
      <c r="AI445" s="1" t="s">
        <v>408</v>
      </c>
      <c r="AJ445" s="1">
        <v>235.0</v>
      </c>
      <c r="AK445" s="1">
        <v>660.0</v>
      </c>
      <c r="AL445" s="2" t="s">
        <v>100</v>
      </c>
      <c r="AM445" s="2" t="s">
        <v>72</v>
      </c>
      <c r="AN445" s="1" t="s">
        <v>400</v>
      </c>
      <c r="AO445" s="2" t="s">
        <v>72</v>
      </c>
      <c r="AQ445" s="2" t="s">
        <v>75</v>
      </c>
      <c r="AR445" s="2" t="s">
        <v>76</v>
      </c>
      <c r="AS445" s="1">
        <v>1614.0</v>
      </c>
      <c r="AT445" s="1">
        <v>1614.0</v>
      </c>
      <c r="AU445" s="1">
        <v>641.0</v>
      </c>
      <c r="AV445" s="1">
        <v>38.0</v>
      </c>
      <c r="AW445" s="1">
        <v>130.0</v>
      </c>
      <c r="AX445" s="1">
        <v>5597.0</v>
      </c>
      <c r="AY445" s="1">
        <v>229.0</v>
      </c>
      <c r="AZ445" s="1" t="s">
        <v>133</v>
      </c>
      <c r="BA445" s="1" t="s">
        <v>121</v>
      </c>
    </row>
    <row r="446">
      <c r="A446" s="1" t="s">
        <v>390</v>
      </c>
      <c r="B446" s="1" t="s">
        <v>53</v>
      </c>
      <c r="C446" s="1">
        <v>2017.0</v>
      </c>
      <c r="D446" s="1" t="s">
        <v>391</v>
      </c>
      <c r="E446" s="1" t="s">
        <v>392</v>
      </c>
      <c r="F446" s="1" t="s">
        <v>359</v>
      </c>
      <c r="G446" s="1" t="s">
        <v>393</v>
      </c>
      <c r="H446" s="1" t="s">
        <v>394</v>
      </c>
      <c r="I446" s="1">
        <v>32.0</v>
      </c>
      <c r="J446" s="1">
        <v>1.0</v>
      </c>
      <c r="K446" s="2" t="s">
        <v>395</v>
      </c>
      <c r="L446" s="2" t="s">
        <v>60</v>
      </c>
      <c r="M446" s="1" t="s">
        <v>416</v>
      </c>
      <c r="N446" s="1" t="s">
        <v>62</v>
      </c>
      <c r="O446" s="1" t="s">
        <v>167</v>
      </c>
      <c r="P446" s="1" t="s">
        <v>406</v>
      </c>
      <c r="Q446" s="1">
        <v>17.228088</v>
      </c>
      <c r="R446" s="1">
        <v>-89.761455</v>
      </c>
      <c r="S446" s="1" t="s">
        <v>398</v>
      </c>
      <c r="T446" s="3" t="s">
        <v>1150</v>
      </c>
      <c r="U446" s="3" t="s">
        <v>81</v>
      </c>
      <c r="V446" s="3" t="s">
        <v>68</v>
      </c>
      <c r="W446" s="2" t="s">
        <v>72</v>
      </c>
      <c r="X446" s="2" t="s">
        <v>83</v>
      </c>
      <c r="Y446" s="6" t="s">
        <v>76</v>
      </c>
      <c r="Z446" s="3" t="s">
        <v>84</v>
      </c>
      <c r="AB446" s="1">
        <v>3.0</v>
      </c>
      <c r="AI446" s="1" t="s">
        <v>399</v>
      </c>
      <c r="AJ446" s="1">
        <v>-1725.0</v>
      </c>
      <c r="AK446" s="1">
        <v>20.0</v>
      </c>
      <c r="AL446" s="2" t="s">
        <v>73</v>
      </c>
      <c r="AM446" s="2" t="s">
        <v>72</v>
      </c>
      <c r="AN446" s="1" t="s">
        <v>400</v>
      </c>
      <c r="AO446" s="2" t="s">
        <v>72</v>
      </c>
      <c r="AQ446" s="2" t="s">
        <v>75</v>
      </c>
      <c r="AR446" s="2" t="s">
        <v>76</v>
      </c>
      <c r="AS446" s="1">
        <v>1614.0</v>
      </c>
      <c r="AT446" s="1">
        <v>1614.0</v>
      </c>
      <c r="AU446" s="1">
        <v>641.0</v>
      </c>
      <c r="AV446" s="1">
        <v>38.0</v>
      </c>
      <c r="AW446" s="1">
        <v>130.0</v>
      </c>
      <c r="AX446" s="1">
        <v>5597.0</v>
      </c>
      <c r="AY446" s="1">
        <v>229.0</v>
      </c>
      <c r="AZ446" s="1" t="s">
        <v>133</v>
      </c>
      <c r="BA446" s="1" t="s">
        <v>121</v>
      </c>
    </row>
    <row r="447">
      <c r="A447" s="1" t="s">
        <v>390</v>
      </c>
      <c r="B447" s="1" t="s">
        <v>53</v>
      </c>
      <c r="C447" s="1">
        <v>2017.0</v>
      </c>
      <c r="D447" s="1" t="s">
        <v>391</v>
      </c>
      <c r="E447" s="1" t="s">
        <v>392</v>
      </c>
      <c r="F447" s="1" t="s">
        <v>359</v>
      </c>
      <c r="G447" s="1" t="s">
        <v>393</v>
      </c>
      <c r="H447" s="1" t="s">
        <v>394</v>
      </c>
      <c r="I447" s="1">
        <v>32.0</v>
      </c>
      <c r="J447" s="1">
        <v>1.0</v>
      </c>
      <c r="K447" s="2" t="s">
        <v>395</v>
      </c>
      <c r="L447" s="2" t="s">
        <v>60</v>
      </c>
      <c r="M447" s="1" t="s">
        <v>417</v>
      </c>
      <c r="N447" s="1" t="s">
        <v>62</v>
      </c>
      <c r="O447" s="1" t="s">
        <v>167</v>
      </c>
      <c r="P447" s="1" t="s">
        <v>406</v>
      </c>
      <c r="Q447" s="1">
        <v>17.228088</v>
      </c>
      <c r="R447" s="1">
        <v>-89.761455</v>
      </c>
      <c r="S447" s="1" t="s">
        <v>398</v>
      </c>
      <c r="T447" s="2" t="s">
        <v>80</v>
      </c>
      <c r="U447" s="3" t="s">
        <v>81</v>
      </c>
      <c r="V447" s="3" t="s">
        <v>68</v>
      </c>
      <c r="W447" s="2" t="s">
        <v>72</v>
      </c>
      <c r="X447" s="2" t="s">
        <v>83</v>
      </c>
      <c r="Y447" s="6" t="s">
        <v>76</v>
      </c>
      <c r="Z447" s="3" t="s">
        <v>84</v>
      </c>
      <c r="AB447" s="1">
        <v>3.0</v>
      </c>
      <c r="AI447" s="1" t="s">
        <v>399</v>
      </c>
      <c r="AJ447" s="1">
        <v>-1725.0</v>
      </c>
      <c r="AK447" s="1">
        <v>20.0</v>
      </c>
      <c r="AL447" s="2" t="s">
        <v>73</v>
      </c>
      <c r="AM447" s="2" t="s">
        <v>72</v>
      </c>
      <c r="AN447" s="1" t="s">
        <v>400</v>
      </c>
      <c r="AO447" s="2" t="s">
        <v>72</v>
      </c>
      <c r="AQ447" s="2" t="s">
        <v>75</v>
      </c>
      <c r="AR447" s="2" t="s">
        <v>76</v>
      </c>
      <c r="AS447" s="1">
        <v>1614.0</v>
      </c>
      <c r="AT447" s="1">
        <v>1614.0</v>
      </c>
      <c r="AU447" s="1">
        <v>641.0</v>
      </c>
      <c r="AV447" s="1">
        <v>38.0</v>
      </c>
      <c r="AW447" s="1">
        <v>130.0</v>
      </c>
      <c r="AX447" s="1">
        <v>5597.0</v>
      </c>
      <c r="AY447" s="1">
        <v>229.0</v>
      </c>
      <c r="AZ447" s="1" t="s">
        <v>133</v>
      </c>
      <c r="BA447" s="1" t="s">
        <v>121</v>
      </c>
    </row>
    <row r="448">
      <c r="A448" s="1" t="s">
        <v>390</v>
      </c>
      <c r="B448" s="1" t="s">
        <v>53</v>
      </c>
      <c r="C448" s="1">
        <v>2017.0</v>
      </c>
      <c r="D448" s="1" t="s">
        <v>391</v>
      </c>
      <c r="E448" s="1" t="s">
        <v>392</v>
      </c>
      <c r="F448" s="1" t="s">
        <v>359</v>
      </c>
      <c r="G448" s="1" t="s">
        <v>393</v>
      </c>
      <c r="H448" s="1" t="s">
        <v>394</v>
      </c>
      <c r="I448" s="1">
        <v>32.0</v>
      </c>
      <c r="J448" s="1">
        <v>1.0</v>
      </c>
      <c r="K448" s="2" t="s">
        <v>395</v>
      </c>
      <c r="L448" s="2" t="s">
        <v>60</v>
      </c>
      <c r="M448" s="1" t="s">
        <v>429</v>
      </c>
      <c r="N448" s="1" t="s">
        <v>62</v>
      </c>
      <c r="O448" s="1" t="s">
        <v>167</v>
      </c>
      <c r="P448" s="1" t="s">
        <v>406</v>
      </c>
      <c r="Q448" s="1">
        <v>17.228088</v>
      </c>
      <c r="R448" s="1">
        <v>-89.761455</v>
      </c>
      <c r="S448" s="1" t="s">
        <v>398</v>
      </c>
      <c r="T448" s="2" t="s">
        <v>66</v>
      </c>
      <c r="U448" s="3" t="s">
        <v>67</v>
      </c>
      <c r="V448" s="3" t="s">
        <v>68</v>
      </c>
      <c r="W448" s="2" t="s">
        <v>72</v>
      </c>
      <c r="X448" s="1" t="s">
        <v>70</v>
      </c>
      <c r="Y448" s="5" t="s">
        <v>60</v>
      </c>
      <c r="Z448" s="3" t="s">
        <v>118</v>
      </c>
      <c r="AB448" s="1">
        <v>3.0</v>
      </c>
      <c r="AI448" s="1" t="s">
        <v>399</v>
      </c>
      <c r="AJ448" s="1">
        <v>-1725.0</v>
      </c>
      <c r="AK448" s="1">
        <v>20.0</v>
      </c>
      <c r="AL448" s="2" t="s">
        <v>73</v>
      </c>
      <c r="AM448" s="2" t="s">
        <v>72</v>
      </c>
      <c r="AN448" s="1" t="s">
        <v>400</v>
      </c>
      <c r="AO448" s="2" t="s">
        <v>72</v>
      </c>
      <c r="AQ448" s="2" t="s">
        <v>75</v>
      </c>
      <c r="AR448" s="2" t="s">
        <v>76</v>
      </c>
      <c r="AS448" s="1">
        <v>1614.0</v>
      </c>
      <c r="AT448" s="1">
        <v>1614.0</v>
      </c>
      <c r="AU448" s="1">
        <v>641.0</v>
      </c>
      <c r="AV448" s="1">
        <v>38.0</v>
      </c>
      <c r="AW448" s="1">
        <v>130.0</v>
      </c>
      <c r="AX448" s="1">
        <v>5597.0</v>
      </c>
      <c r="AY448" s="1">
        <v>229.0</v>
      </c>
      <c r="AZ448" s="1" t="s">
        <v>133</v>
      </c>
      <c r="BA448" s="1" t="s">
        <v>121</v>
      </c>
    </row>
    <row r="449">
      <c r="A449" s="1" t="s">
        <v>390</v>
      </c>
      <c r="B449" s="1" t="s">
        <v>53</v>
      </c>
      <c r="C449" s="1">
        <v>2017.0</v>
      </c>
      <c r="D449" s="1" t="s">
        <v>391</v>
      </c>
      <c r="E449" s="1" t="s">
        <v>392</v>
      </c>
      <c r="F449" s="1" t="s">
        <v>359</v>
      </c>
      <c r="G449" s="1" t="s">
        <v>393</v>
      </c>
      <c r="H449" s="1" t="s">
        <v>394</v>
      </c>
      <c r="I449" s="1">
        <v>32.0</v>
      </c>
      <c r="J449" s="1">
        <v>1.0</v>
      </c>
      <c r="K449" s="2" t="s">
        <v>395</v>
      </c>
      <c r="L449" s="2" t="s">
        <v>60</v>
      </c>
      <c r="M449" s="1" t="s">
        <v>430</v>
      </c>
      <c r="N449" s="1" t="s">
        <v>62</v>
      </c>
      <c r="O449" s="1" t="s">
        <v>167</v>
      </c>
      <c r="P449" s="1" t="s">
        <v>397</v>
      </c>
      <c r="Q449" s="1">
        <v>17.239926</v>
      </c>
      <c r="R449" s="1">
        <v>-89.804629</v>
      </c>
      <c r="S449" s="1" t="s">
        <v>398</v>
      </c>
      <c r="T449" s="2" t="s">
        <v>194</v>
      </c>
      <c r="U449" s="1" t="s">
        <v>173</v>
      </c>
      <c r="V449" s="3" t="s">
        <v>68</v>
      </c>
      <c r="W449" s="1" t="s">
        <v>191</v>
      </c>
      <c r="X449" s="1" t="s">
        <v>70</v>
      </c>
      <c r="Y449" s="6" t="s">
        <v>76</v>
      </c>
      <c r="Z449" s="1" t="s">
        <v>173</v>
      </c>
      <c r="AB449" s="1">
        <v>3.0</v>
      </c>
      <c r="AI449" s="1" t="s">
        <v>399</v>
      </c>
      <c r="AJ449" s="1">
        <v>220.0</v>
      </c>
      <c r="AK449" s="1">
        <v>760.0</v>
      </c>
      <c r="AL449" s="2" t="s">
        <v>100</v>
      </c>
      <c r="AM449" s="2" t="s">
        <v>72</v>
      </c>
      <c r="AN449" s="1" t="s">
        <v>400</v>
      </c>
      <c r="AO449" s="2" t="s">
        <v>72</v>
      </c>
      <c r="AQ449" s="2" t="s">
        <v>75</v>
      </c>
      <c r="AR449" s="2" t="s">
        <v>76</v>
      </c>
      <c r="AS449" s="1">
        <v>1616.0</v>
      </c>
      <c r="AT449" s="1">
        <v>1616.0</v>
      </c>
      <c r="AU449" s="1">
        <v>647.0</v>
      </c>
      <c r="AV449" s="1">
        <v>38.0</v>
      </c>
      <c r="AW449" s="1">
        <v>128.0</v>
      </c>
      <c r="AX449" s="1">
        <v>5637.0</v>
      </c>
      <c r="AY449" s="1">
        <v>226.0</v>
      </c>
      <c r="AZ449" s="1" t="s">
        <v>133</v>
      </c>
      <c r="BA449" s="1" t="s">
        <v>121</v>
      </c>
    </row>
    <row r="450">
      <c r="A450" s="1" t="s">
        <v>390</v>
      </c>
      <c r="B450" s="1" t="s">
        <v>53</v>
      </c>
      <c r="C450" s="1">
        <v>2017.0</v>
      </c>
      <c r="D450" s="1" t="s">
        <v>391</v>
      </c>
      <c r="E450" s="1" t="s">
        <v>392</v>
      </c>
      <c r="F450" s="1" t="s">
        <v>359</v>
      </c>
      <c r="G450" s="1" t="s">
        <v>393</v>
      </c>
      <c r="H450" s="1" t="s">
        <v>394</v>
      </c>
      <c r="I450" s="1">
        <v>32.0</v>
      </c>
      <c r="J450" s="1">
        <v>1.0</v>
      </c>
      <c r="K450" s="2" t="s">
        <v>395</v>
      </c>
      <c r="L450" s="2" t="s">
        <v>60</v>
      </c>
      <c r="M450" s="1" t="s">
        <v>431</v>
      </c>
      <c r="N450" s="1" t="s">
        <v>62</v>
      </c>
      <c r="O450" s="1" t="s">
        <v>167</v>
      </c>
      <c r="P450" s="1" t="s">
        <v>402</v>
      </c>
      <c r="Q450" s="1">
        <v>17.239567</v>
      </c>
      <c r="R450" s="1">
        <v>-89.810542</v>
      </c>
      <c r="S450" s="1" t="s">
        <v>398</v>
      </c>
      <c r="T450" s="2" t="s">
        <v>194</v>
      </c>
      <c r="U450" s="1" t="s">
        <v>173</v>
      </c>
      <c r="V450" s="3" t="s">
        <v>68</v>
      </c>
      <c r="W450" s="1" t="s">
        <v>191</v>
      </c>
      <c r="X450" s="1" t="s">
        <v>70</v>
      </c>
      <c r="Y450" s="6" t="s">
        <v>76</v>
      </c>
      <c r="Z450" s="1" t="s">
        <v>173</v>
      </c>
      <c r="AB450" s="1">
        <v>2.0</v>
      </c>
      <c r="AI450" s="1" t="s">
        <v>399</v>
      </c>
      <c r="AJ450" s="1">
        <v>255.0</v>
      </c>
      <c r="AK450" s="1">
        <v>370.0</v>
      </c>
      <c r="AL450" s="2" t="s">
        <v>100</v>
      </c>
      <c r="AM450" s="2" t="s">
        <v>72</v>
      </c>
      <c r="AN450" s="1" t="s">
        <v>400</v>
      </c>
      <c r="AO450" s="2" t="s">
        <v>72</v>
      </c>
      <c r="AQ450" s="2" t="s">
        <v>75</v>
      </c>
      <c r="AR450" s="2" t="s">
        <v>76</v>
      </c>
      <c r="AS450" s="1">
        <v>1621.0</v>
      </c>
      <c r="AT450" s="1">
        <v>1621.0</v>
      </c>
      <c r="AU450" s="1">
        <v>649.0</v>
      </c>
      <c r="AV450" s="1">
        <v>38.0</v>
      </c>
      <c r="AW450" s="1">
        <v>130.0</v>
      </c>
      <c r="AX450" s="1">
        <v>5627.0</v>
      </c>
      <c r="AY450" s="1">
        <v>249.0</v>
      </c>
      <c r="AZ450" s="1" t="s">
        <v>133</v>
      </c>
      <c r="BA450" s="1" t="s">
        <v>121</v>
      </c>
    </row>
    <row r="451">
      <c r="A451" s="1" t="s">
        <v>390</v>
      </c>
      <c r="B451" s="1" t="s">
        <v>53</v>
      </c>
      <c r="C451" s="1">
        <v>2017.0</v>
      </c>
      <c r="D451" s="1" t="s">
        <v>391</v>
      </c>
      <c r="E451" s="1" t="s">
        <v>392</v>
      </c>
      <c r="F451" s="1" t="s">
        <v>359</v>
      </c>
      <c r="G451" s="1" t="s">
        <v>393</v>
      </c>
      <c r="H451" s="1" t="s">
        <v>394</v>
      </c>
      <c r="I451" s="1">
        <v>32.0</v>
      </c>
      <c r="J451" s="1">
        <v>1.0</v>
      </c>
      <c r="K451" s="2" t="s">
        <v>395</v>
      </c>
      <c r="L451" s="2" t="s">
        <v>60</v>
      </c>
      <c r="M451" s="1" t="s">
        <v>432</v>
      </c>
      <c r="N451" s="1" t="s">
        <v>62</v>
      </c>
      <c r="O451" s="1" t="s">
        <v>167</v>
      </c>
      <c r="P451" s="1" t="s">
        <v>404</v>
      </c>
      <c r="Q451" s="1">
        <v>17.228088</v>
      </c>
      <c r="R451" s="1">
        <v>-89.761455</v>
      </c>
      <c r="S451" s="1" t="s">
        <v>398</v>
      </c>
      <c r="T451" s="2" t="s">
        <v>194</v>
      </c>
      <c r="U451" s="1" t="s">
        <v>173</v>
      </c>
      <c r="V451" s="3" t="s">
        <v>68</v>
      </c>
      <c r="W451" s="1" t="s">
        <v>191</v>
      </c>
      <c r="X451" s="1" t="s">
        <v>70</v>
      </c>
      <c r="Y451" s="6" t="s">
        <v>76</v>
      </c>
      <c r="Z451" s="1" t="s">
        <v>173</v>
      </c>
      <c r="AB451" s="1">
        <v>1.0</v>
      </c>
      <c r="AI451" s="1" t="s">
        <v>399</v>
      </c>
      <c r="AJ451" s="1">
        <v>-475.0</v>
      </c>
      <c r="AK451" s="2" t="s">
        <v>72</v>
      </c>
      <c r="AL451" s="2" t="s">
        <v>100</v>
      </c>
      <c r="AM451" s="2" t="s">
        <v>72</v>
      </c>
      <c r="AN451" s="1" t="s">
        <v>400</v>
      </c>
      <c r="AO451" s="2" t="s">
        <v>72</v>
      </c>
      <c r="AQ451" s="2" t="s">
        <v>75</v>
      </c>
      <c r="AR451" s="2" t="s">
        <v>76</v>
      </c>
      <c r="AS451" s="1">
        <v>1614.0</v>
      </c>
      <c r="AT451" s="1">
        <v>1614.0</v>
      </c>
      <c r="AU451" s="1">
        <v>641.0</v>
      </c>
      <c r="AV451" s="1">
        <v>38.0</v>
      </c>
      <c r="AW451" s="1">
        <v>130.0</v>
      </c>
      <c r="AX451" s="1">
        <v>5597.0</v>
      </c>
      <c r="AY451" s="1">
        <v>229.0</v>
      </c>
      <c r="AZ451" s="1" t="s">
        <v>133</v>
      </c>
      <c r="BA451" s="1" t="s">
        <v>121</v>
      </c>
    </row>
    <row r="452">
      <c r="A452" s="1" t="s">
        <v>390</v>
      </c>
      <c r="B452" s="1" t="s">
        <v>53</v>
      </c>
      <c r="C452" s="1">
        <v>2017.0</v>
      </c>
      <c r="D452" s="1" t="s">
        <v>391</v>
      </c>
      <c r="E452" s="1" t="s">
        <v>392</v>
      </c>
      <c r="F452" s="1" t="s">
        <v>359</v>
      </c>
      <c r="G452" s="1" t="s">
        <v>393</v>
      </c>
      <c r="H452" s="1" t="s">
        <v>394</v>
      </c>
      <c r="I452" s="1">
        <v>32.0</v>
      </c>
      <c r="J452" s="1">
        <v>1.0</v>
      </c>
      <c r="K452" s="2" t="s">
        <v>395</v>
      </c>
      <c r="L452" s="2" t="s">
        <v>60</v>
      </c>
      <c r="M452" s="1" t="s">
        <v>433</v>
      </c>
      <c r="N452" s="1" t="s">
        <v>62</v>
      </c>
      <c r="O452" s="1" t="s">
        <v>167</v>
      </c>
      <c r="P452" s="1" t="s">
        <v>406</v>
      </c>
      <c r="Q452" s="1">
        <v>17.228088</v>
      </c>
      <c r="R452" s="1">
        <v>-89.761455</v>
      </c>
      <c r="S452" s="1" t="s">
        <v>398</v>
      </c>
      <c r="T452" s="2" t="s">
        <v>194</v>
      </c>
      <c r="U452" s="1" t="s">
        <v>173</v>
      </c>
      <c r="V452" s="3" t="s">
        <v>68</v>
      </c>
      <c r="W452" s="1" t="s">
        <v>191</v>
      </c>
      <c r="X452" s="1" t="s">
        <v>70</v>
      </c>
      <c r="Y452" s="6" t="s">
        <v>76</v>
      </c>
      <c r="Z452" s="1" t="s">
        <v>173</v>
      </c>
      <c r="AB452" s="1">
        <v>3.0</v>
      </c>
      <c r="AI452" s="1" t="s">
        <v>399</v>
      </c>
      <c r="AJ452" s="1">
        <v>-1725.0</v>
      </c>
      <c r="AK452" s="1">
        <v>20.0</v>
      </c>
      <c r="AL452" s="2" t="s">
        <v>73</v>
      </c>
      <c r="AM452" s="2" t="s">
        <v>72</v>
      </c>
      <c r="AN452" s="1" t="s">
        <v>400</v>
      </c>
      <c r="AO452" s="2" t="s">
        <v>72</v>
      </c>
      <c r="AQ452" s="2" t="s">
        <v>75</v>
      </c>
      <c r="AR452" s="2" t="s">
        <v>76</v>
      </c>
      <c r="AS452" s="1">
        <v>1614.0</v>
      </c>
      <c r="AT452" s="1">
        <v>1614.0</v>
      </c>
      <c r="AU452" s="1">
        <v>641.0</v>
      </c>
      <c r="AV452" s="1">
        <v>38.0</v>
      </c>
      <c r="AW452" s="1">
        <v>130.0</v>
      </c>
      <c r="AX452" s="1">
        <v>5597.0</v>
      </c>
      <c r="AY452" s="1">
        <v>229.0</v>
      </c>
      <c r="AZ452" s="1" t="s">
        <v>133</v>
      </c>
      <c r="BA452" s="1" t="s">
        <v>121</v>
      </c>
    </row>
    <row r="453">
      <c r="A453" s="1" t="s">
        <v>390</v>
      </c>
      <c r="B453" s="1" t="s">
        <v>53</v>
      </c>
      <c r="C453" s="1">
        <v>2017.0</v>
      </c>
      <c r="D453" s="1" t="s">
        <v>391</v>
      </c>
      <c r="E453" s="1" t="s">
        <v>392</v>
      </c>
      <c r="F453" s="1" t="s">
        <v>359</v>
      </c>
      <c r="G453" s="1" t="s">
        <v>393</v>
      </c>
      <c r="H453" s="1" t="s">
        <v>394</v>
      </c>
      <c r="I453" s="1">
        <v>32.0</v>
      </c>
      <c r="J453" s="1">
        <v>1.0</v>
      </c>
      <c r="K453" s="2" t="s">
        <v>395</v>
      </c>
      <c r="L453" s="2" t="s">
        <v>60</v>
      </c>
      <c r="M453" s="1" t="s">
        <v>434</v>
      </c>
      <c r="N453" s="1" t="s">
        <v>62</v>
      </c>
      <c r="O453" s="1" t="s">
        <v>167</v>
      </c>
      <c r="P453" s="1" t="s">
        <v>406</v>
      </c>
      <c r="Q453" s="1">
        <v>17.228088</v>
      </c>
      <c r="R453" s="1">
        <v>-89.761455</v>
      </c>
      <c r="S453" s="1" t="s">
        <v>398</v>
      </c>
      <c r="T453" s="2" t="s">
        <v>194</v>
      </c>
      <c r="U453" s="1" t="s">
        <v>173</v>
      </c>
      <c r="V453" s="3" t="s">
        <v>68</v>
      </c>
      <c r="W453" s="1" t="s">
        <v>191</v>
      </c>
      <c r="X453" s="1" t="s">
        <v>70</v>
      </c>
      <c r="Y453" s="6" t="s">
        <v>76</v>
      </c>
      <c r="Z453" s="1" t="s">
        <v>173</v>
      </c>
      <c r="AB453" s="1">
        <v>2.0</v>
      </c>
      <c r="AI453" s="1" t="s">
        <v>408</v>
      </c>
      <c r="AJ453" s="1">
        <v>235.0</v>
      </c>
      <c r="AK453" s="1">
        <v>660.0</v>
      </c>
      <c r="AL453" s="2" t="s">
        <v>100</v>
      </c>
      <c r="AM453" s="2" t="s">
        <v>72</v>
      </c>
      <c r="AN453" s="1" t="s">
        <v>400</v>
      </c>
      <c r="AO453" s="2" t="s">
        <v>72</v>
      </c>
      <c r="AQ453" s="2" t="s">
        <v>75</v>
      </c>
      <c r="AR453" s="2" t="s">
        <v>76</v>
      </c>
      <c r="AS453" s="1">
        <v>1614.0</v>
      </c>
      <c r="AT453" s="1">
        <v>1614.0</v>
      </c>
      <c r="AU453" s="1">
        <v>641.0</v>
      </c>
      <c r="AV453" s="1">
        <v>38.0</v>
      </c>
      <c r="AW453" s="1">
        <v>130.0</v>
      </c>
      <c r="AX453" s="1">
        <v>5597.0</v>
      </c>
      <c r="AY453" s="1">
        <v>229.0</v>
      </c>
      <c r="AZ453" s="1" t="s">
        <v>133</v>
      </c>
      <c r="BA453" s="1" t="s">
        <v>121</v>
      </c>
    </row>
    <row r="454">
      <c r="A454" s="1" t="s">
        <v>1019</v>
      </c>
      <c r="B454" s="1" t="s">
        <v>53</v>
      </c>
      <c r="C454" s="1">
        <v>2017.0</v>
      </c>
      <c r="D454" s="1" t="s">
        <v>1020</v>
      </c>
      <c r="E454" s="1" t="s">
        <v>1021</v>
      </c>
      <c r="F454" s="1" t="s">
        <v>732</v>
      </c>
      <c r="G454" s="1" t="s">
        <v>1022</v>
      </c>
      <c r="H454" s="1" t="s">
        <v>1023</v>
      </c>
      <c r="I454" s="1">
        <v>57.0</v>
      </c>
      <c r="J454" s="1">
        <v>4.0</v>
      </c>
      <c r="K454" s="2" t="s">
        <v>1024</v>
      </c>
      <c r="L454" s="2" t="s">
        <v>60</v>
      </c>
      <c r="M454" s="1" t="s">
        <v>1025</v>
      </c>
      <c r="N454" s="1" t="s">
        <v>62</v>
      </c>
      <c r="O454" s="1" t="s">
        <v>167</v>
      </c>
      <c r="P454" s="1" t="s">
        <v>512</v>
      </c>
      <c r="Q454" s="1">
        <v>16.916667</v>
      </c>
      <c r="R454" s="1">
        <v>-89.833333</v>
      </c>
      <c r="S454" s="1" t="s">
        <v>148</v>
      </c>
      <c r="T454" s="2" t="s">
        <v>135</v>
      </c>
      <c r="U454" s="3" t="s">
        <v>1026</v>
      </c>
      <c r="V454" s="3" t="s">
        <v>97</v>
      </c>
      <c r="W454" s="1" t="s">
        <v>1027</v>
      </c>
      <c r="X454" s="2" t="s">
        <v>99</v>
      </c>
      <c r="Y454" s="5" t="s">
        <v>76</v>
      </c>
      <c r="Z454" s="3" t="s">
        <v>76</v>
      </c>
      <c r="AB454" s="1">
        <v>36.0</v>
      </c>
      <c r="AH454" s="1">
        <v>1.0</v>
      </c>
      <c r="AI454" s="2" t="s">
        <v>72</v>
      </c>
      <c r="AJ454" s="1">
        <v>-41000.0</v>
      </c>
      <c r="AK454" s="1">
        <v>2006.0</v>
      </c>
      <c r="AL454" s="2" t="s">
        <v>153</v>
      </c>
      <c r="AM454" s="2" t="s">
        <v>60</v>
      </c>
      <c r="AN454" s="2" t="s">
        <v>132</v>
      </c>
      <c r="AO454" s="2" t="s">
        <v>76</v>
      </c>
      <c r="AQ454" s="2" t="s">
        <v>75</v>
      </c>
      <c r="AR454" s="2" t="s">
        <v>76</v>
      </c>
      <c r="AS454" s="1">
        <v>1738.0</v>
      </c>
      <c r="AT454" s="1">
        <v>1738.0</v>
      </c>
      <c r="AU454" s="1">
        <v>690.0</v>
      </c>
      <c r="AV454" s="1">
        <v>36.0</v>
      </c>
      <c r="AW454" s="1">
        <v>144.0</v>
      </c>
      <c r="AX454" s="1">
        <v>5677.0</v>
      </c>
      <c r="AY454" s="1">
        <v>131.0</v>
      </c>
      <c r="AZ454" s="1" t="s">
        <v>133</v>
      </c>
      <c r="BA454" s="1" t="s">
        <v>121</v>
      </c>
    </row>
    <row r="455">
      <c r="A455" s="1" t="s">
        <v>1019</v>
      </c>
      <c r="B455" s="1" t="s">
        <v>53</v>
      </c>
      <c r="C455" s="1">
        <v>2017.0</v>
      </c>
      <c r="D455" s="1" t="s">
        <v>1020</v>
      </c>
      <c r="E455" s="1" t="s">
        <v>1021</v>
      </c>
      <c r="F455" s="1" t="s">
        <v>732</v>
      </c>
      <c r="G455" s="1" t="s">
        <v>1022</v>
      </c>
      <c r="H455" s="1" t="s">
        <v>1023</v>
      </c>
      <c r="I455" s="1">
        <v>57.0</v>
      </c>
      <c r="J455" s="1">
        <v>4.0</v>
      </c>
      <c r="K455" s="2" t="s">
        <v>1024</v>
      </c>
      <c r="L455" s="2" t="s">
        <v>60</v>
      </c>
      <c r="M455" s="1" t="s">
        <v>1028</v>
      </c>
      <c r="N455" s="1" t="s">
        <v>62</v>
      </c>
      <c r="O455" s="1" t="s">
        <v>167</v>
      </c>
      <c r="P455" s="1" t="s">
        <v>512</v>
      </c>
      <c r="Q455" s="1">
        <v>16.916667</v>
      </c>
      <c r="R455" s="1">
        <v>-89.833333</v>
      </c>
      <c r="S455" s="1" t="s">
        <v>148</v>
      </c>
      <c r="T455" s="2" t="s">
        <v>1029</v>
      </c>
      <c r="U455" s="1" t="s">
        <v>173</v>
      </c>
      <c r="V455" s="3" t="s">
        <v>68</v>
      </c>
      <c r="W455" s="1" t="s">
        <v>1030</v>
      </c>
      <c r="X455" s="2" t="s">
        <v>72</v>
      </c>
      <c r="Y455" s="6" t="s">
        <v>76</v>
      </c>
      <c r="Z455" s="1" t="s">
        <v>173</v>
      </c>
      <c r="AB455" s="1">
        <v>36.0</v>
      </c>
      <c r="AH455" s="1">
        <v>1.0</v>
      </c>
      <c r="AI455" s="2" t="s">
        <v>72</v>
      </c>
      <c r="AJ455" s="1">
        <v>-41000.0</v>
      </c>
      <c r="AK455" s="1">
        <v>2006.0</v>
      </c>
      <c r="AL455" s="2" t="s">
        <v>153</v>
      </c>
      <c r="AM455" s="2" t="s">
        <v>60</v>
      </c>
      <c r="AN455" s="2" t="s">
        <v>132</v>
      </c>
      <c r="AO455" s="2" t="s">
        <v>76</v>
      </c>
      <c r="AQ455" s="2" t="s">
        <v>75</v>
      </c>
      <c r="AR455" s="2" t="s">
        <v>76</v>
      </c>
      <c r="AS455" s="1">
        <v>1738.0</v>
      </c>
      <c r="AT455" s="1">
        <v>1738.0</v>
      </c>
      <c r="AU455" s="1">
        <v>690.0</v>
      </c>
      <c r="AV455" s="1">
        <v>36.0</v>
      </c>
      <c r="AW455" s="1">
        <v>144.0</v>
      </c>
      <c r="AX455" s="1">
        <v>5677.0</v>
      </c>
      <c r="AY455" s="1">
        <v>131.0</v>
      </c>
      <c r="AZ455" s="1" t="s">
        <v>133</v>
      </c>
      <c r="BA455" s="1" t="s">
        <v>121</v>
      </c>
    </row>
    <row r="456">
      <c r="A456" s="1" t="s">
        <v>1019</v>
      </c>
      <c r="B456" s="1" t="s">
        <v>53</v>
      </c>
      <c r="C456" s="1">
        <v>2017.0</v>
      </c>
      <c r="D456" s="1" t="s">
        <v>1020</v>
      </c>
      <c r="E456" s="1" t="s">
        <v>1021</v>
      </c>
      <c r="F456" s="1" t="s">
        <v>732</v>
      </c>
      <c r="G456" s="1" t="s">
        <v>1022</v>
      </c>
      <c r="H456" s="1" t="s">
        <v>1023</v>
      </c>
      <c r="I456" s="1">
        <v>57.0</v>
      </c>
      <c r="J456" s="1">
        <v>4.0</v>
      </c>
      <c r="K456" s="2" t="s">
        <v>1024</v>
      </c>
      <c r="L456" s="2" t="s">
        <v>60</v>
      </c>
      <c r="M456" s="1" t="s">
        <v>1031</v>
      </c>
      <c r="N456" s="1" t="s">
        <v>62</v>
      </c>
      <c r="O456" s="1" t="s">
        <v>167</v>
      </c>
      <c r="P456" s="1" t="s">
        <v>512</v>
      </c>
      <c r="Q456" s="1">
        <v>16.916667</v>
      </c>
      <c r="R456" s="1">
        <v>-89.833333</v>
      </c>
      <c r="S456" s="1" t="s">
        <v>148</v>
      </c>
      <c r="T456" s="2" t="s">
        <v>382</v>
      </c>
      <c r="U456" s="1" t="s">
        <v>173</v>
      </c>
      <c r="V456" s="3" t="s">
        <v>68</v>
      </c>
      <c r="W456" s="1" t="s">
        <v>1030</v>
      </c>
      <c r="X456" s="1" t="s">
        <v>968</v>
      </c>
      <c r="Y456" s="6" t="s">
        <v>76</v>
      </c>
      <c r="Z456" s="1" t="s">
        <v>173</v>
      </c>
      <c r="AB456" s="1">
        <v>36.0</v>
      </c>
      <c r="AH456" s="1">
        <v>1.0</v>
      </c>
      <c r="AI456" s="2" t="s">
        <v>72</v>
      </c>
      <c r="AJ456" s="1">
        <v>-41000.0</v>
      </c>
      <c r="AK456" s="1">
        <v>2006.0</v>
      </c>
      <c r="AL456" s="2" t="s">
        <v>153</v>
      </c>
      <c r="AM456" s="2" t="s">
        <v>60</v>
      </c>
      <c r="AN456" s="2" t="s">
        <v>132</v>
      </c>
      <c r="AO456" s="2" t="s">
        <v>76</v>
      </c>
      <c r="AQ456" s="2" t="s">
        <v>75</v>
      </c>
      <c r="AR456" s="2" t="s">
        <v>76</v>
      </c>
      <c r="AS456" s="1">
        <v>1738.0</v>
      </c>
      <c r="AT456" s="1">
        <v>1738.0</v>
      </c>
      <c r="AU456" s="1">
        <v>690.0</v>
      </c>
      <c r="AV456" s="1">
        <v>36.0</v>
      </c>
      <c r="AW456" s="1">
        <v>144.0</v>
      </c>
      <c r="AX456" s="1">
        <v>5677.0</v>
      </c>
      <c r="AY456" s="1">
        <v>131.0</v>
      </c>
      <c r="AZ456" s="1" t="s">
        <v>133</v>
      </c>
      <c r="BA456" s="1" t="s">
        <v>121</v>
      </c>
    </row>
    <row r="457">
      <c r="A457" s="1" t="s">
        <v>1019</v>
      </c>
      <c r="B457" s="1" t="s">
        <v>53</v>
      </c>
      <c r="C457" s="1">
        <v>2017.0</v>
      </c>
      <c r="D457" s="1" t="s">
        <v>1020</v>
      </c>
      <c r="E457" s="1" t="s">
        <v>1021</v>
      </c>
      <c r="F457" s="1" t="s">
        <v>732</v>
      </c>
      <c r="G457" s="1" t="s">
        <v>1022</v>
      </c>
      <c r="H457" s="1" t="s">
        <v>1023</v>
      </c>
      <c r="I457" s="1">
        <v>57.0</v>
      </c>
      <c r="J457" s="1">
        <v>4.0</v>
      </c>
      <c r="K457" s="2" t="s">
        <v>1024</v>
      </c>
      <c r="L457" s="2" t="s">
        <v>60</v>
      </c>
      <c r="M457" s="1" t="s">
        <v>1032</v>
      </c>
      <c r="N457" s="1" t="s">
        <v>62</v>
      </c>
      <c r="O457" s="1" t="s">
        <v>167</v>
      </c>
      <c r="P457" s="1" t="s">
        <v>512</v>
      </c>
      <c r="Q457" s="1">
        <v>16.916667</v>
      </c>
      <c r="R457" s="1">
        <v>-89.833333</v>
      </c>
      <c r="S457" s="1" t="s">
        <v>148</v>
      </c>
      <c r="T457" s="2" t="s">
        <v>169</v>
      </c>
      <c r="U457" s="2" t="s">
        <v>1033</v>
      </c>
      <c r="V457" s="3" t="s">
        <v>68</v>
      </c>
      <c r="W457" s="1" t="s">
        <v>1034</v>
      </c>
      <c r="X457" s="1" t="s">
        <v>70</v>
      </c>
      <c r="Y457" s="5" t="s">
        <v>76</v>
      </c>
      <c r="Z457" s="2" t="s">
        <v>1033</v>
      </c>
      <c r="AB457" s="1">
        <v>36.0</v>
      </c>
      <c r="AH457" s="1">
        <v>1.0</v>
      </c>
      <c r="AI457" s="2" t="s">
        <v>72</v>
      </c>
      <c r="AJ457" s="1">
        <v>-41000.0</v>
      </c>
      <c r="AK457" s="1">
        <v>2006.0</v>
      </c>
      <c r="AL457" s="2" t="s">
        <v>153</v>
      </c>
      <c r="AM457" s="2" t="s">
        <v>60</v>
      </c>
      <c r="AN457" s="2" t="s">
        <v>132</v>
      </c>
      <c r="AO457" s="2" t="s">
        <v>76</v>
      </c>
      <c r="AQ457" s="2" t="s">
        <v>75</v>
      </c>
      <c r="AR457" s="2" t="s">
        <v>76</v>
      </c>
      <c r="AS457" s="1">
        <v>1738.0</v>
      </c>
      <c r="AT457" s="1">
        <v>1738.0</v>
      </c>
      <c r="AU457" s="1">
        <v>690.0</v>
      </c>
      <c r="AV457" s="1">
        <v>36.0</v>
      </c>
      <c r="AW457" s="1">
        <v>144.0</v>
      </c>
      <c r="AX457" s="1">
        <v>5677.0</v>
      </c>
      <c r="AY457" s="1">
        <v>131.0</v>
      </c>
      <c r="AZ457" s="1" t="s">
        <v>133</v>
      </c>
      <c r="BA457" s="1" t="s">
        <v>121</v>
      </c>
    </row>
    <row r="458">
      <c r="A458" s="1" t="s">
        <v>1081</v>
      </c>
      <c r="B458" s="1" t="s">
        <v>53</v>
      </c>
      <c r="C458" s="1">
        <v>2017.0</v>
      </c>
      <c r="D458" s="1" t="s">
        <v>1082</v>
      </c>
      <c r="E458" s="1" t="s">
        <v>1083</v>
      </c>
      <c r="F458" s="1" t="s">
        <v>827</v>
      </c>
      <c r="G458" s="1" t="s">
        <v>1084</v>
      </c>
      <c r="H458" s="1" t="s">
        <v>1085</v>
      </c>
      <c r="I458" s="1">
        <v>32.0</v>
      </c>
      <c r="J458" s="1">
        <v>8.0</v>
      </c>
      <c r="K458" s="2" t="s">
        <v>1086</v>
      </c>
      <c r="L458" s="2" t="s">
        <v>60</v>
      </c>
      <c r="M458" s="1" t="s">
        <v>1087</v>
      </c>
      <c r="N458" s="1" t="s">
        <v>62</v>
      </c>
      <c r="O458" s="1" t="s">
        <v>92</v>
      </c>
      <c r="P458" s="1" t="s">
        <v>1088</v>
      </c>
      <c r="Q458" s="1">
        <v>20.38821</v>
      </c>
      <c r="R458" s="1">
        <v>-90.428587</v>
      </c>
      <c r="S458" s="3" t="s">
        <v>114</v>
      </c>
      <c r="T458" s="2" t="s">
        <v>194</v>
      </c>
      <c r="U458" s="2" t="s">
        <v>96</v>
      </c>
      <c r="V458" s="3" t="s">
        <v>97</v>
      </c>
      <c r="W458" s="1" t="s">
        <v>1089</v>
      </c>
      <c r="X458" s="1" t="s">
        <v>70</v>
      </c>
      <c r="Y458" s="5" t="s">
        <v>76</v>
      </c>
      <c r="Z458" s="3" t="s">
        <v>76</v>
      </c>
      <c r="AB458" s="1">
        <v>3.0</v>
      </c>
      <c r="AI458" s="2" t="s">
        <v>72</v>
      </c>
      <c r="AJ458" s="1">
        <v>-2000.0</v>
      </c>
      <c r="AK458" s="1">
        <v>1950.0</v>
      </c>
      <c r="AL458" s="2" t="s">
        <v>73</v>
      </c>
      <c r="AM458" s="2" t="s">
        <v>72</v>
      </c>
      <c r="AN458" s="2" t="s">
        <v>132</v>
      </c>
      <c r="AO458" s="2" t="s">
        <v>72</v>
      </c>
      <c r="AQ458" s="2" t="s">
        <v>576</v>
      </c>
      <c r="AR458" s="2" t="s">
        <v>76</v>
      </c>
      <c r="AS458" s="1">
        <v>926.0</v>
      </c>
      <c r="AT458" s="1">
        <v>926.0</v>
      </c>
      <c r="AU458" s="1">
        <v>479.0</v>
      </c>
      <c r="AV458" s="1">
        <v>12.0</v>
      </c>
      <c r="AW458" s="1">
        <v>42.0</v>
      </c>
      <c r="AX458" s="1">
        <v>8239.0</v>
      </c>
      <c r="AY458" s="1">
        <v>4.0</v>
      </c>
      <c r="AZ458" s="1" t="s">
        <v>658</v>
      </c>
      <c r="BA458" s="1" t="s">
        <v>659</v>
      </c>
    </row>
    <row r="459">
      <c r="A459" s="1" t="s">
        <v>1081</v>
      </c>
      <c r="B459" s="1" t="s">
        <v>53</v>
      </c>
      <c r="C459" s="1">
        <v>2017.0</v>
      </c>
      <c r="D459" s="1" t="s">
        <v>1082</v>
      </c>
      <c r="E459" s="1" t="s">
        <v>1083</v>
      </c>
      <c r="F459" s="1" t="s">
        <v>827</v>
      </c>
      <c r="G459" s="1" t="s">
        <v>1084</v>
      </c>
      <c r="H459" s="1" t="s">
        <v>1085</v>
      </c>
      <c r="I459" s="1">
        <v>32.0</v>
      </c>
      <c r="J459" s="1">
        <v>8.0</v>
      </c>
      <c r="K459" s="2" t="s">
        <v>1086</v>
      </c>
      <c r="L459" s="2" t="s">
        <v>60</v>
      </c>
      <c r="M459" s="1" t="s">
        <v>1090</v>
      </c>
      <c r="N459" s="1" t="s">
        <v>62</v>
      </c>
      <c r="O459" s="1" t="s">
        <v>92</v>
      </c>
      <c r="P459" s="1" t="s">
        <v>1088</v>
      </c>
      <c r="Q459" s="1">
        <v>20.38821</v>
      </c>
      <c r="R459" s="1">
        <v>-90.428587</v>
      </c>
      <c r="S459" s="3" t="s">
        <v>114</v>
      </c>
      <c r="T459" s="2" t="s">
        <v>189</v>
      </c>
      <c r="U459" s="2" t="s">
        <v>96</v>
      </c>
      <c r="V459" s="3" t="s">
        <v>97</v>
      </c>
      <c r="W459" s="1" t="s">
        <v>1089</v>
      </c>
      <c r="X459" s="1" t="s">
        <v>70</v>
      </c>
      <c r="Y459" s="5" t="s">
        <v>76</v>
      </c>
      <c r="Z459" s="3" t="s">
        <v>76</v>
      </c>
      <c r="AB459" s="1">
        <v>3.0</v>
      </c>
      <c r="AI459" s="2" t="s">
        <v>72</v>
      </c>
      <c r="AJ459" s="1">
        <v>-2000.0</v>
      </c>
      <c r="AK459" s="1">
        <v>1950.0</v>
      </c>
      <c r="AL459" s="2" t="s">
        <v>73</v>
      </c>
      <c r="AM459" s="2" t="s">
        <v>72</v>
      </c>
      <c r="AN459" s="2" t="s">
        <v>132</v>
      </c>
      <c r="AO459" s="2" t="s">
        <v>72</v>
      </c>
      <c r="AQ459" s="2" t="s">
        <v>576</v>
      </c>
      <c r="AR459" s="2" t="s">
        <v>76</v>
      </c>
      <c r="AS459" s="1">
        <v>926.0</v>
      </c>
      <c r="AT459" s="1">
        <v>926.0</v>
      </c>
      <c r="AU459" s="1">
        <v>479.0</v>
      </c>
      <c r="AV459" s="1">
        <v>12.0</v>
      </c>
      <c r="AW459" s="1">
        <v>42.0</v>
      </c>
      <c r="AX459" s="1">
        <v>8239.0</v>
      </c>
      <c r="AY459" s="1">
        <v>4.0</v>
      </c>
      <c r="AZ459" s="1" t="s">
        <v>658</v>
      </c>
      <c r="BA459" s="1" t="s">
        <v>659</v>
      </c>
    </row>
    <row r="460">
      <c r="A460" s="1" t="s">
        <v>1081</v>
      </c>
      <c r="B460" s="1" t="s">
        <v>53</v>
      </c>
      <c r="C460" s="1">
        <v>2017.0</v>
      </c>
      <c r="D460" s="1" t="s">
        <v>1082</v>
      </c>
      <c r="E460" s="1" t="s">
        <v>1083</v>
      </c>
      <c r="F460" s="1" t="s">
        <v>827</v>
      </c>
      <c r="G460" s="1" t="s">
        <v>1084</v>
      </c>
      <c r="H460" s="1" t="s">
        <v>1085</v>
      </c>
      <c r="I460" s="1">
        <v>32.0</v>
      </c>
      <c r="J460" s="1">
        <v>8.0</v>
      </c>
      <c r="K460" s="2" t="s">
        <v>1086</v>
      </c>
      <c r="L460" s="2" t="s">
        <v>60</v>
      </c>
      <c r="M460" s="1" t="s">
        <v>1091</v>
      </c>
      <c r="N460" s="1" t="s">
        <v>62</v>
      </c>
      <c r="O460" s="1" t="s">
        <v>92</v>
      </c>
      <c r="P460" s="1" t="s">
        <v>1088</v>
      </c>
      <c r="Q460" s="1">
        <v>20.38821</v>
      </c>
      <c r="R460" s="1">
        <v>-90.428587</v>
      </c>
      <c r="S460" s="3" t="s">
        <v>114</v>
      </c>
      <c r="T460" s="2" t="s">
        <v>169</v>
      </c>
      <c r="U460" s="2" t="s">
        <v>96</v>
      </c>
      <c r="V460" s="3" t="s">
        <v>97</v>
      </c>
      <c r="W460" s="1" t="s">
        <v>1044</v>
      </c>
      <c r="X460" s="1" t="s">
        <v>70</v>
      </c>
      <c r="Y460" s="5" t="s">
        <v>76</v>
      </c>
      <c r="Z460" s="3" t="s">
        <v>76</v>
      </c>
      <c r="AB460" s="1">
        <v>3.0</v>
      </c>
      <c r="AI460" s="2" t="s">
        <v>72</v>
      </c>
      <c r="AJ460" s="1">
        <v>-2000.0</v>
      </c>
      <c r="AK460" s="1">
        <v>1950.0</v>
      </c>
      <c r="AL460" s="2" t="s">
        <v>73</v>
      </c>
      <c r="AM460" s="2" t="s">
        <v>72</v>
      </c>
      <c r="AN460" s="2" t="s">
        <v>132</v>
      </c>
      <c r="AO460" s="2" t="s">
        <v>72</v>
      </c>
      <c r="AQ460" s="2" t="s">
        <v>576</v>
      </c>
      <c r="AR460" s="2" t="s">
        <v>76</v>
      </c>
      <c r="AS460" s="1">
        <v>926.0</v>
      </c>
      <c r="AT460" s="1">
        <v>926.0</v>
      </c>
      <c r="AU460" s="1">
        <v>479.0</v>
      </c>
      <c r="AV460" s="1">
        <v>12.0</v>
      </c>
      <c r="AW460" s="1">
        <v>42.0</v>
      </c>
      <c r="AX460" s="1">
        <v>8239.0</v>
      </c>
      <c r="AY460" s="1">
        <v>4.0</v>
      </c>
      <c r="AZ460" s="1" t="s">
        <v>658</v>
      </c>
      <c r="BA460" s="1" t="s">
        <v>659</v>
      </c>
    </row>
    <row r="461">
      <c r="A461" s="1" t="s">
        <v>85</v>
      </c>
      <c r="B461" s="1" t="s">
        <v>53</v>
      </c>
      <c r="C461" s="1">
        <v>2017.0</v>
      </c>
      <c r="D461" s="1" t="s">
        <v>86</v>
      </c>
      <c r="E461" s="1" t="s">
        <v>87</v>
      </c>
      <c r="F461" s="1" t="s">
        <v>88</v>
      </c>
      <c r="G461" s="1" t="s">
        <v>89</v>
      </c>
      <c r="H461" s="1" t="s">
        <v>90</v>
      </c>
      <c r="I461" s="1">
        <v>91.0</v>
      </c>
      <c r="J461" s="1">
        <v>356.0</v>
      </c>
      <c r="K461" s="2" t="s">
        <v>91</v>
      </c>
      <c r="L461" s="2" t="s">
        <v>76</v>
      </c>
      <c r="M461" s="1" t="s">
        <v>85</v>
      </c>
      <c r="N461" s="1" t="s">
        <v>62</v>
      </c>
      <c r="O461" s="1" t="s">
        <v>92</v>
      </c>
      <c r="P461" s="1" t="s">
        <v>93</v>
      </c>
      <c r="Q461" s="1">
        <v>20.372967</v>
      </c>
      <c r="R461" s="1">
        <v>-89.569194</v>
      </c>
      <c r="S461" s="1" t="s">
        <v>94</v>
      </c>
      <c r="T461" s="2" t="s">
        <v>95</v>
      </c>
      <c r="U461" s="2" t="s">
        <v>96</v>
      </c>
      <c r="V461" s="3" t="s">
        <v>97</v>
      </c>
      <c r="W461" s="1" t="s">
        <v>98</v>
      </c>
      <c r="X461" s="2" t="s">
        <v>99</v>
      </c>
      <c r="Y461" s="6" t="s">
        <v>76</v>
      </c>
      <c r="Z461" s="3" t="s">
        <v>76</v>
      </c>
      <c r="AA461" s="1">
        <v>1.0</v>
      </c>
      <c r="AJ461" s="1">
        <v>500.0</v>
      </c>
      <c r="AK461" s="1">
        <v>1500.0</v>
      </c>
      <c r="AL461" s="2" t="s">
        <v>100</v>
      </c>
      <c r="AM461" s="2" t="s">
        <v>72</v>
      </c>
      <c r="AN461" s="2" t="s">
        <v>72</v>
      </c>
      <c r="AO461" s="2" t="s">
        <v>101</v>
      </c>
      <c r="AQ461" s="2" t="s">
        <v>102</v>
      </c>
      <c r="AR461" s="2" t="s">
        <v>76</v>
      </c>
      <c r="AS461" s="1">
        <v>1104.0</v>
      </c>
      <c r="AT461" s="1">
        <v>1104.0</v>
      </c>
      <c r="AU461" s="1">
        <v>530.0</v>
      </c>
      <c r="AV461" s="1">
        <v>24.0</v>
      </c>
      <c r="AW461" s="1">
        <v>89.0</v>
      </c>
      <c r="AX461" s="1">
        <v>7058.0</v>
      </c>
      <c r="AY461" s="1">
        <v>77.0</v>
      </c>
      <c r="AZ461" s="1" t="s">
        <v>103</v>
      </c>
      <c r="BA461" s="1" t="s">
        <v>104</v>
      </c>
    </row>
    <row r="462">
      <c r="A462" s="1" t="s">
        <v>122</v>
      </c>
      <c r="B462" s="1" t="s">
        <v>53</v>
      </c>
      <c r="C462" s="1">
        <v>2018.0</v>
      </c>
      <c r="D462" s="1" t="s">
        <v>123</v>
      </c>
      <c r="E462" s="1" t="s">
        <v>124</v>
      </c>
      <c r="F462" s="1" t="s">
        <v>125</v>
      </c>
      <c r="G462" s="1" t="s">
        <v>126</v>
      </c>
      <c r="H462" s="1" t="s">
        <v>127</v>
      </c>
      <c r="I462" s="1">
        <v>70.0</v>
      </c>
      <c r="J462" s="1">
        <v>1.0</v>
      </c>
      <c r="K462" s="2" t="s">
        <v>128</v>
      </c>
      <c r="L462" s="2" t="s">
        <v>60</v>
      </c>
      <c r="M462" s="1" t="s">
        <v>129</v>
      </c>
      <c r="N462" s="1" t="s">
        <v>62</v>
      </c>
      <c r="O462" s="1" t="s">
        <v>92</v>
      </c>
      <c r="P462" s="1" t="s">
        <v>130</v>
      </c>
      <c r="Q462" s="1">
        <v>16.859733</v>
      </c>
      <c r="R462" s="1">
        <v>-93.398911</v>
      </c>
      <c r="S462" s="1" t="s">
        <v>131</v>
      </c>
      <c r="T462" s="2" t="s">
        <v>95</v>
      </c>
      <c r="U462" s="2" t="s">
        <v>96</v>
      </c>
      <c r="V462" s="3" t="s">
        <v>97</v>
      </c>
      <c r="W462" s="2" t="s">
        <v>72</v>
      </c>
      <c r="X462" s="2" t="s">
        <v>99</v>
      </c>
      <c r="Y462" s="6" t="s">
        <v>76</v>
      </c>
      <c r="Z462" s="3" t="s">
        <v>76</v>
      </c>
      <c r="AB462" s="1">
        <v>13.0</v>
      </c>
      <c r="AI462" s="2" t="s">
        <v>72</v>
      </c>
      <c r="AJ462" s="1">
        <v>10440.0</v>
      </c>
      <c r="AK462" s="1">
        <v>-4590.0</v>
      </c>
      <c r="AL462" s="2" t="s">
        <v>100</v>
      </c>
      <c r="AM462" s="2" t="s">
        <v>76</v>
      </c>
      <c r="AN462" s="2" t="s">
        <v>132</v>
      </c>
      <c r="AO462" s="2" t="s">
        <v>72</v>
      </c>
      <c r="AQ462" s="2" t="s">
        <v>102</v>
      </c>
      <c r="AR462" s="2" t="s">
        <v>76</v>
      </c>
      <c r="AS462" s="1">
        <v>1183.0</v>
      </c>
      <c r="AT462" s="1">
        <v>1183.0</v>
      </c>
      <c r="AU462" s="1">
        <v>569.0</v>
      </c>
      <c r="AV462" s="1">
        <v>18.0</v>
      </c>
      <c r="AW462" s="1">
        <v>65.0</v>
      </c>
      <c r="AX462" s="1">
        <v>7652.0</v>
      </c>
      <c r="AY462" s="1">
        <v>887.0</v>
      </c>
      <c r="AZ462" s="1" t="s">
        <v>133</v>
      </c>
      <c r="BA462" s="1" t="s">
        <v>121</v>
      </c>
    </row>
    <row r="463">
      <c r="A463" s="1" t="s">
        <v>122</v>
      </c>
      <c r="B463" s="1" t="s">
        <v>53</v>
      </c>
      <c r="C463" s="1">
        <v>2018.0</v>
      </c>
      <c r="D463" s="1" t="s">
        <v>123</v>
      </c>
      <c r="E463" s="1" t="s">
        <v>124</v>
      </c>
      <c r="F463" s="1" t="s">
        <v>125</v>
      </c>
      <c r="G463" s="1" t="s">
        <v>126</v>
      </c>
      <c r="H463" s="1" t="s">
        <v>127</v>
      </c>
      <c r="I463" s="1">
        <v>70.0</v>
      </c>
      <c r="J463" s="1">
        <v>1.0</v>
      </c>
      <c r="K463" s="2" t="s">
        <v>128</v>
      </c>
      <c r="L463" s="2" t="s">
        <v>60</v>
      </c>
      <c r="M463" s="1" t="s">
        <v>134</v>
      </c>
      <c r="N463" s="1" t="s">
        <v>62</v>
      </c>
      <c r="O463" s="1" t="s">
        <v>92</v>
      </c>
      <c r="P463" s="1" t="s">
        <v>130</v>
      </c>
      <c r="Q463" s="1">
        <v>16.859733</v>
      </c>
      <c r="R463" s="1">
        <v>-93.398911</v>
      </c>
      <c r="S463" s="1" t="s">
        <v>131</v>
      </c>
      <c r="T463" s="2" t="s">
        <v>135</v>
      </c>
      <c r="U463" s="2" t="s">
        <v>96</v>
      </c>
      <c r="V463" s="3" t="s">
        <v>97</v>
      </c>
      <c r="W463" s="2" t="s">
        <v>72</v>
      </c>
      <c r="X463" s="2" t="s">
        <v>99</v>
      </c>
      <c r="Y463" s="6" t="s">
        <v>76</v>
      </c>
      <c r="Z463" s="3" t="s">
        <v>76</v>
      </c>
      <c r="AB463" s="1">
        <v>13.0</v>
      </c>
      <c r="AI463" s="2" t="s">
        <v>72</v>
      </c>
      <c r="AJ463" s="1">
        <v>10440.0</v>
      </c>
      <c r="AK463" s="1">
        <v>-4590.0</v>
      </c>
      <c r="AL463" s="2" t="s">
        <v>100</v>
      </c>
      <c r="AM463" s="2" t="s">
        <v>76</v>
      </c>
      <c r="AN463" s="2" t="s">
        <v>132</v>
      </c>
      <c r="AO463" s="2" t="s">
        <v>72</v>
      </c>
      <c r="AQ463" s="2" t="s">
        <v>102</v>
      </c>
      <c r="AR463" s="2" t="s">
        <v>76</v>
      </c>
      <c r="AS463" s="1">
        <v>1183.0</v>
      </c>
      <c r="AT463" s="1">
        <v>1183.0</v>
      </c>
      <c r="AU463" s="1">
        <v>569.0</v>
      </c>
      <c r="AV463" s="1">
        <v>18.0</v>
      </c>
      <c r="AW463" s="1">
        <v>65.0</v>
      </c>
      <c r="AX463" s="1">
        <v>7652.0</v>
      </c>
      <c r="AY463" s="1">
        <v>887.0</v>
      </c>
      <c r="AZ463" s="1" t="s">
        <v>133</v>
      </c>
      <c r="BA463" s="1" t="s">
        <v>121</v>
      </c>
    </row>
    <row r="464">
      <c r="A464" s="1" t="s">
        <v>122</v>
      </c>
      <c r="B464" s="1" t="s">
        <v>53</v>
      </c>
      <c r="C464" s="1">
        <v>2018.0</v>
      </c>
      <c r="D464" s="1" t="s">
        <v>123</v>
      </c>
      <c r="E464" s="1" t="s">
        <v>124</v>
      </c>
      <c r="F464" s="1" t="s">
        <v>125</v>
      </c>
      <c r="G464" s="1" t="s">
        <v>126</v>
      </c>
      <c r="H464" s="1" t="s">
        <v>127</v>
      </c>
      <c r="I464" s="1">
        <v>70.0</v>
      </c>
      <c r="J464" s="1">
        <v>1.0</v>
      </c>
      <c r="K464" s="2" t="s">
        <v>128</v>
      </c>
      <c r="L464" s="2" t="s">
        <v>60</v>
      </c>
      <c r="M464" s="1" t="s">
        <v>136</v>
      </c>
      <c r="N464" s="1" t="s">
        <v>62</v>
      </c>
      <c r="O464" s="1" t="s">
        <v>92</v>
      </c>
      <c r="P464" s="1" t="s">
        <v>130</v>
      </c>
      <c r="Q464" s="1">
        <v>16.859733</v>
      </c>
      <c r="R464" s="1">
        <v>-93.398911</v>
      </c>
      <c r="S464" s="1" t="s">
        <v>131</v>
      </c>
      <c r="T464" s="2" t="s">
        <v>66</v>
      </c>
      <c r="U464" s="2" t="s">
        <v>137</v>
      </c>
      <c r="V464" s="3" t="s">
        <v>138</v>
      </c>
      <c r="W464" s="2" t="s">
        <v>72</v>
      </c>
      <c r="X464" s="1" t="s">
        <v>70</v>
      </c>
      <c r="Y464" s="5" t="s">
        <v>76</v>
      </c>
      <c r="Z464" s="3" t="s">
        <v>76</v>
      </c>
      <c r="AB464" s="1">
        <v>13.0</v>
      </c>
      <c r="AI464" s="2" t="s">
        <v>72</v>
      </c>
      <c r="AJ464" s="1">
        <v>10440.0</v>
      </c>
      <c r="AK464" s="1">
        <v>-4590.0</v>
      </c>
      <c r="AL464" s="2" t="s">
        <v>100</v>
      </c>
      <c r="AM464" s="2" t="s">
        <v>76</v>
      </c>
      <c r="AN464" s="2" t="s">
        <v>132</v>
      </c>
      <c r="AO464" s="2" t="s">
        <v>72</v>
      </c>
      <c r="AQ464" s="2" t="s">
        <v>102</v>
      </c>
      <c r="AR464" s="2" t="s">
        <v>76</v>
      </c>
      <c r="AS464" s="1">
        <v>1183.0</v>
      </c>
      <c r="AT464" s="1">
        <v>1183.0</v>
      </c>
      <c r="AU464" s="1">
        <v>569.0</v>
      </c>
      <c r="AV464" s="1">
        <v>18.0</v>
      </c>
      <c r="AW464" s="1">
        <v>65.0</v>
      </c>
      <c r="AX464" s="1">
        <v>7652.0</v>
      </c>
      <c r="AY464" s="1">
        <v>887.0</v>
      </c>
      <c r="AZ464" s="1" t="s">
        <v>133</v>
      </c>
      <c r="BA464" s="1" t="s">
        <v>121</v>
      </c>
    </row>
    <row r="465">
      <c r="A465" s="1" t="s">
        <v>1329</v>
      </c>
      <c r="B465" s="1" t="s">
        <v>53</v>
      </c>
      <c r="C465" s="1">
        <v>2018.0</v>
      </c>
      <c r="D465" s="1" t="s">
        <v>1330</v>
      </c>
      <c r="E465" s="1" t="s">
        <v>1331</v>
      </c>
      <c r="F465" s="1" t="s">
        <v>793</v>
      </c>
      <c r="G465" s="1" t="s">
        <v>1332</v>
      </c>
      <c r="H465" s="1" t="s">
        <v>1333</v>
      </c>
      <c r="I465" s="1">
        <v>495.0</v>
      </c>
      <c r="K465" s="2" t="s">
        <v>1334</v>
      </c>
      <c r="L465" s="2" t="s">
        <v>60</v>
      </c>
      <c r="M465" s="1" t="s">
        <v>1335</v>
      </c>
      <c r="N465" s="1" t="s">
        <v>62</v>
      </c>
      <c r="O465" s="1" t="s">
        <v>92</v>
      </c>
      <c r="P465" s="1" t="s">
        <v>1336</v>
      </c>
      <c r="Q465" s="1">
        <v>18.495674</v>
      </c>
      <c r="R465" s="1">
        <v>-88.400921</v>
      </c>
      <c r="S465" s="1" t="s">
        <v>1337</v>
      </c>
      <c r="T465" s="2" t="s">
        <v>66</v>
      </c>
      <c r="U465" s="3" t="s">
        <v>1338</v>
      </c>
      <c r="V465" s="3" t="s">
        <v>171</v>
      </c>
      <c r="W465" s="1" t="s">
        <v>1339</v>
      </c>
      <c r="X465" s="1" t="s">
        <v>70</v>
      </c>
      <c r="Y465" s="5" t="s">
        <v>60</v>
      </c>
      <c r="Z465" s="3" t="s">
        <v>345</v>
      </c>
      <c r="AB465" s="1">
        <v>7.0</v>
      </c>
      <c r="AI465" s="1" t="s">
        <v>1340</v>
      </c>
      <c r="AJ465" s="1">
        <v>-3650.0</v>
      </c>
      <c r="AK465" s="1">
        <v>250.0</v>
      </c>
      <c r="AL465" s="2" t="s">
        <v>73</v>
      </c>
      <c r="AM465" s="2" t="s">
        <v>72</v>
      </c>
      <c r="AN465" s="2" t="s">
        <v>132</v>
      </c>
      <c r="AO465" s="2" t="s">
        <v>60</v>
      </c>
      <c r="AQ465" s="2" t="s">
        <v>102</v>
      </c>
      <c r="AR465" s="2" t="s">
        <v>76</v>
      </c>
      <c r="AS465" s="1">
        <v>1203.0</v>
      </c>
      <c r="AT465" s="1">
        <v>1203.0</v>
      </c>
      <c r="AU465" s="1">
        <v>481.0</v>
      </c>
      <c r="AV465" s="1">
        <v>23.0</v>
      </c>
      <c r="AW465" s="1">
        <v>92.0</v>
      </c>
      <c r="AX465" s="1">
        <v>5915.0</v>
      </c>
      <c r="AY465" s="1">
        <v>5.0</v>
      </c>
      <c r="AZ465" s="1" t="s">
        <v>658</v>
      </c>
      <c r="BA465" s="1" t="s">
        <v>659</v>
      </c>
    </row>
    <row r="466">
      <c r="A466" s="1" t="s">
        <v>1329</v>
      </c>
      <c r="B466" s="1" t="s">
        <v>53</v>
      </c>
      <c r="C466" s="1">
        <v>2018.0</v>
      </c>
      <c r="D466" s="1" t="s">
        <v>1330</v>
      </c>
      <c r="E466" s="1" t="s">
        <v>1331</v>
      </c>
      <c r="F466" s="1" t="s">
        <v>793</v>
      </c>
      <c r="G466" s="1" t="s">
        <v>1332</v>
      </c>
      <c r="H466" s="1" t="s">
        <v>1333</v>
      </c>
      <c r="I466" s="1">
        <v>495.0</v>
      </c>
      <c r="K466" s="2" t="s">
        <v>1334</v>
      </c>
      <c r="L466" s="2" t="s">
        <v>60</v>
      </c>
      <c r="M466" s="1" t="s">
        <v>1341</v>
      </c>
      <c r="N466" s="1" t="s">
        <v>62</v>
      </c>
      <c r="O466" s="1" t="s">
        <v>92</v>
      </c>
      <c r="P466" s="1" t="s">
        <v>1336</v>
      </c>
      <c r="Q466" s="1">
        <v>18.495674</v>
      </c>
      <c r="R466" s="1">
        <v>-88.400921</v>
      </c>
      <c r="S466" s="1" t="s">
        <v>1337</v>
      </c>
      <c r="T466" s="2" t="s">
        <v>169</v>
      </c>
      <c r="U466" s="2" t="s">
        <v>96</v>
      </c>
      <c r="V466" s="3" t="s">
        <v>97</v>
      </c>
      <c r="W466" s="2" t="s">
        <v>1342</v>
      </c>
      <c r="X466" s="1" t="s">
        <v>70</v>
      </c>
      <c r="Y466" s="6" t="s">
        <v>76</v>
      </c>
      <c r="Z466" s="3" t="s">
        <v>76</v>
      </c>
      <c r="AB466" s="1">
        <v>7.0</v>
      </c>
      <c r="AI466" s="1" t="s">
        <v>1340</v>
      </c>
      <c r="AJ466" s="1">
        <v>-3650.0</v>
      </c>
      <c r="AK466" s="1">
        <v>250.0</v>
      </c>
      <c r="AL466" s="2" t="s">
        <v>73</v>
      </c>
      <c r="AM466" s="2" t="s">
        <v>72</v>
      </c>
      <c r="AN466" s="2" t="s">
        <v>132</v>
      </c>
      <c r="AO466" s="2" t="s">
        <v>60</v>
      </c>
      <c r="AQ466" s="2" t="s">
        <v>102</v>
      </c>
      <c r="AR466" s="2" t="s">
        <v>76</v>
      </c>
      <c r="AS466" s="1">
        <v>1203.0</v>
      </c>
      <c r="AT466" s="1">
        <v>1203.0</v>
      </c>
      <c r="AU466" s="1">
        <v>481.0</v>
      </c>
      <c r="AV466" s="1">
        <v>23.0</v>
      </c>
      <c r="AW466" s="1">
        <v>92.0</v>
      </c>
      <c r="AX466" s="1">
        <v>5915.0</v>
      </c>
      <c r="AY466" s="1">
        <v>5.0</v>
      </c>
      <c r="AZ466" s="1" t="s">
        <v>658</v>
      </c>
      <c r="BA466" s="1" t="s">
        <v>659</v>
      </c>
    </row>
    <row r="467">
      <c r="A467" s="1" t="s">
        <v>1092</v>
      </c>
      <c r="B467" s="1" t="s">
        <v>53</v>
      </c>
      <c r="C467" s="1">
        <v>2018.0</v>
      </c>
      <c r="D467" s="1" t="s">
        <v>1093</v>
      </c>
      <c r="E467" s="1" t="s">
        <v>1094</v>
      </c>
      <c r="F467" s="1" t="s">
        <v>827</v>
      </c>
      <c r="G467" s="1" t="s">
        <v>1095</v>
      </c>
      <c r="H467" s="1" t="s">
        <v>1096</v>
      </c>
      <c r="I467" s="1">
        <v>33.0</v>
      </c>
      <c r="J467" s="1">
        <v>2.0</v>
      </c>
      <c r="K467" s="2" t="s">
        <v>1097</v>
      </c>
      <c r="L467" s="2" t="s">
        <v>60</v>
      </c>
      <c r="M467" s="1" t="s">
        <v>1098</v>
      </c>
      <c r="N467" s="1" t="s">
        <v>62</v>
      </c>
      <c r="O467" s="1" t="s">
        <v>167</v>
      </c>
      <c r="P467" s="1" t="s">
        <v>512</v>
      </c>
      <c r="Q467" s="1">
        <v>16.916667</v>
      </c>
      <c r="R467" s="1">
        <v>-89.833333</v>
      </c>
      <c r="S467" s="1" t="s">
        <v>148</v>
      </c>
      <c r="T467" s="2" t="s">
        <v>169</v>
      </c>
      <c r="U467" s="2" t="s">
        <v>1099</v>
      </c>
      <c r="V467" s="3" t="s">
        <v>171</v>
      </c>
      <c r="W467" s="1" t="s">
        <v>1100</v>
      </c>
      <c r="X467" s="1" t="s">
        <v>575</v>
      </c>
      <c r="Y467" s="6" t="s">
        <v>76</v>
      </c>
      <c r="Z467" s="3" t="s">
        <v>173</v>
      </c>
      <c r="AB467" s="1">
        <v>5.0</v>
      </c>
      <c r="AI467" s="2" t="s">
        <v>72</v>
      </c>
      <c r="AJ467" s="1">
        <v>-3550.0</v>
      </c>
      <c r="AK467" s="1">
        <v>1950.0</v>
      </c>
      <c r="AL467" s="2" t="s">
        <v>100</v>
      </c>
      <c r="AM467" s="2" t="s">
        <v>72</v>
      </c>
      <c r="AN467" s="2" t="s">
        <v>72</v>
      </c>
      <c r="AO467" s="2" t="s">
        <v>72</v>
      </c>
      <c r="AQ467" s="2" t="s">
        <v>102</v>
      </c>
      <c r="AR467" s="2" t="s">
        <v>76</v>
      </c>
      <c r="AS467" s="1">
        <v>1738.0</v>
      </c>
      <c r="AT467" s="1">
        <v>1738.0</v>
      </c>
      <c r="AU467" s="1">
        <v>690.0</v>
      </c>
      <c r="AV467" s="1">
        <v>36.0</v>
      </c>
      <c r="AW467" s="1">
        <v>144.0</v>
      </c>
      <c r="AX467" s="1">
        <v>5677.0</v>
      </c>
      <c r="AY467" s="1">
        <v>131.0</v>
      </c>
      <c r="AZ467" s="1" t="s">
        <v>133</v>
      </c>
      <c r="BA467" s="1" t="s">
        <v>121</v>
      </c>
    </row>
    <row r="468">
      <c r="A468" s="1" t="s">
        <v>1092</v>
      </c>
      <c r="B468" s="1" t="s">
        <v>53</v>
      </c>
      <c r="C468" s="1">
        <v>2018.0</v>
      </c>
      <c r="D468" s="1" t="s">
        <v>1093</v>
      </c>
      <c r="E468" s="1" t="s">
        <v>1094</v>
      </c>
      <c r="F468" s="1" t="s">
        <v>827</v>
      </c>
      <c r="G468" s="1" t="s">
        <v>1095</v>
      </c>
      <c r="H468" s="1" t="s">
        <v>1096</v>
      </c>
      <c r="I468" s="1">
        <v>33.0</v>
      </c>
      <c r="J468" s="1">
        <v>2.0</v>
      </c>
      <c r="K468" s="2" t="s">
        <v>1097</v>
      </c>
      <c r="L468" s="2" t="s">
        <v>60</v>
      </c>
      <c r="M468" s="1" t="s">
        <v>1115</v>
      </c>
      <c r="N468" s="1" t="s">
        <v>62</v>
      </c>
      <c r="O468" s="1" t="s">
        <v>167</v>
      </c>
      <c r="P468" s="1" t="s">
        <v>512</v>
      </c>
      <c r="Q468" s="1">
        <v>16.916667</v>
      </c>
      <c r="R468" s="1">
        <v>-89.833333</v>
      </c>
      <c r="S468" s="1" t="s">
        <v>148</v>
      </c>
      <c r="T468" s="2" t="s">
        <v>189</v>
      </c>
      <c r="U468" s="2" t="s">
        <v>1099</v>
      </c>
      <c r="V468" s="3" t="s">
        <v>171</v>
      </c>
      <c r="W468" s="1" t="s">
        <v>1116</v>
      </c>
      <c r="X468" s="1" t="s">
        <v>70</v>
      </c>
      <c r="Y468" s="6" t="s">
        <v>76</v>
      </c>
      <c r="Z468" s="3" t="s">
        <v>173</v>
      </c>
      <c r="AB468" s="1">
        <v>5.0</v>
      </c>
      <c r="AI468" s="2" t="s">
        <v>72</v>
      </c>
      <c r="AJ468" s="1">
        <v>-3550.0</v>
      </c>
      <c r="AK468" s="1">
        <v>1950.0</v>
      </c>
      <c r="AL468" s="2" t="s">
        <v>100</v>
      </c>
      <c r="AM468" s="2" t="s">
        <v>72</v>
      </c>
      <c r="AN468" s="2" t="s">
        <v>72</v>
      </c>
      <c r="AO468" s="2" t="s">
        <v>72</v>
      </c>
      <c r="AQ468" s="2" t="s">
        <v>102</v>
      </c>
      <c r="AR468" s="2" t="s">
        <v>76</v>
      </c>
      <c r="AS468" s="1">
        <v>1738.0</v>
      </c>
      <c r="AT468" s="1">
        <v>1738.0</v>
      </c>
      <c r="AU468" s="1">
        <v>690.0</v>
      </c>
      <c r="AV468" s="1">
        <v>36.0</v>
      </c>
      <c r="AW468" s="1">
        <v>144.0</v>
      </c>
      <c r="AX468" s="1">
        <v>5677.0</v>
      </c>
      <c r="AY468" s="1">
        <v>131.0</v>
      </c>
      <c r="AZ468" s="1" t="s">
        <v>133</v>
      </c>
      <c r="BA468" s="1" t="s">
        <v>121</v>
      </c>
    </row>
    <row r="469">
      <c r="A469" s="1" t="s">
        <v>1092</v>
      </c>
      <c r="B469" s="1" t="s">
        <v>53</v>
      </c>
      <c r="C469" s="1">
        <v>2018.0</v>
      </c>
      <c r="D469" s="1" t="s">
        <v>1093</v>
      </c>
      <c r="E469" s="1" t="s">
        <v>1094</v>
      </c>
      <c r="F469" s="1" t="s">
        <v>827</v>
      </c>
      <c r="G469" s="1" t="s">
        <v>1095</v>
      </c>
      <c r="H469" s="1" t="s">
        <v>1096</v>
      </c>
      <c r="I469" s="1">
        <v>33.0</v>
      </c>
      <c r="J469" s="1">
        <v>2.0</v>
      </c>
      <c r="K469" s="2" t="s">
        <v>1097</v>
      </c>
      <c r="L469" s="2" t="s">
        <v>60</v>
      </c>
      <c r="M469" s="1" t="s">
        <v>1117</v>
      </c>
      <c r="N469" s="1" t="s">
        <v>62</v>
      </c>
      <c r="O469" s="1" t="s">
        <v>167</v>
      </c>
      <c r="P469" s="1" t="s">
        <v>512</v>
      </c>
      <c r="Q469" s="1">
        <v>16.916667</v>
      </c>
      <c r="R469" s="1">
        <v>-89.833333</v>
      </c>
      <c r="S469" s="1" t="s">
        <v>148</v>
      </c>
      <c r="T469" s="2" t="s">
        <v>194</v>
      </c>
      <c r="U469" s="2" t="s">
        <v>1099</v>
      </c>
      <c r="V469" s="3" t="s">
        <v>171</v>
      </c>
      <c r="W469" s="1" t="s">
        <v>1116</v>
      </c>
      <c r="X469" s="1" t="s">
        <v>70</v>
      </c>
      <c r="Y469" s="6" t="s">
        <v>76</v>
      </c>
      <c r="Z469" s="3" t="s">
        <v>173</v>
      </c>
      <c r="AB469" s="1">
        <v>5.0</v>
      </c>
      <c r="AI469" s="2" t="s">
        <v>72</v>
      </c>
      <c r="AJ469" s="1">
        <v>-3550.0</v>
      </c>
      <c r="AK469" s="1">
        <v>1950.0</v>
      </c>
      <c r="AL469" s="2" t="s">
        <v>100</v>
      </c>
      <c r="AM469" s="2" t="s">
        <v>72</v>
      </c>
      <c r="AN469" s="2" t="s">
        <v>72</v>
      </c>
      <c r="AO469" s="2" t="s">
        <v>72</v>
      </c>
      <c r="AQ469" s="2" t="s">
        <v>102</v>
      </c>
      <c r="AR469" s="2" t="s">
        <v>76</v>
      </c>
      <c r="AS469" s="1">
        <v>1738.0</v>
      </c>
      <c r="AT469" s="1">
        <v>1738.0</v>
      </c>
      <c r="AU469" s="1">
        <v>690.0</v>
      </c>
      <c r="AV469" s="1">
        <v>36.0</v>
      </c>
      <c r="AW469" s="1">
        <v>144.0</v>
      </c>
      <c r="AX469" s="1">
        <v>5677.0</v>
      </c>
      <c r="AY469" s="1">
        <v>131.0</v>
      </c>
      <c r="AZ469" s="1" t="s">
        <v>133</v>
      </c>
      <c r="BA469" s="1" t="s">
        <v>121</v>
      </c>
    </row>
    <row r="470">
      <c r="A470" s="1" t="s">
        <v>1750</v>
      </c>
      <c r="B470" s="1" t="s">
        <v>53</v>
      </c>
      <c r="C470" s="1">
        <v>2018.0</v>
      </c>
      <c r="D470" s="1" t="s">
        <v>1751</v>
      </c>
      <c r="E470" s="1" t="s">
        <v>1752</v>
      </c>
      <c r="F470" s="1" t="s">
        <v>1386</v>
      </c>
      <c r="G470" s="1" t="s">
        <v>1753</v>
      </c>
      <c r="H470" s="1" t="s">
        <v>1754</v>
      </c>
      <c r="I470" s="1">
        <v>189.0</v>
      </c>
      <c r="K470" s="2" t="s">
        <v>1755</v>
      </c>
      <c r="L470" s="2" t="s">
        <v>60</v>
      </c>
      <c r="M470" s="1" t="s">
        <v>1756</v>
      </c>
      <c r="N470" s="1" t="s">
        <v>62</v>
      </c>
      <c r="O470" s="1" t="s">
        <v>167</v>
      </c>
      <c r="P470" s="1" t="s">
        <v>168</v>
      </c>
      <c r="Q470" s="1">
        <v>16.147314</v>
      </c>
      <c r="R470" s="1">
        <v>-91.768701</v>
      </c>
      <c r="S470" s="1" t="s">
        <v>148</v>
      </c>
      <c r="T470" s="2" t="s">
        <v>80</v>
      </c>
      <c r="U470" s="3" t="s">
        <v>81</v>
      </c>
      <c r="V470" s="3" t="s">
        <v>68</v>
      </c>
      <c r="W470" s="1" t="s">
        <v>348</v>
      </c>
      <c r="X470" s="2" t="s">
        <v>158</v>
      </c>
      <c r="Y470" s="6" t="s">
        <v>76</v>
      </c>
      <c r="Z470" s="3" t="s">
        <v>84</v>
      </c>
      <c r="AB470" s="1">
        <v>4.0</v>
      </c>
      <c r="AI470" s="1" t="s">
        <v>174</v>
      </c>
      <c r="AJ470" s="1">
        <v>-1450.0</v>
      </c>
      <c r="AK470" s="1">
        <v>2013.0</v>
      </c>
      <c r="AL470" s="3" t="s">
        <v>73</v>
      </c>
      <c r="AM470" s="2" t="s">
        <v>72</v>
      </c>
      <c r="AN470" s="2" t="s">
        <v>132</v>
      </c>
      <c r="AO470" s="2" t="s">
        <v>72</v>
      </c>
      <c r="AQ470" s="2" t="s">
        <v>102</v>
      </c>
      <c r="AR470" s="2" t="s">
        <v>76</v>
      </c>
      <c r="AS470" s="1">
        <v>2150.0</v>
      </c>
      <c r="AT470" s="1">
        <v>2150.0</v>
      </c>
      <c r="AU470" s="1">
        <v>1038.0</v>
      </c>
      <c r="AV470" s="1">
        <v>35.0</v>
      </c>
      <c r="AW470" s="1">
        <v>132.0</v>
      </c>
      <c r="AX470" s="1">
        <v>7746.0</v>
      </c>
      <c r="AY470" s="1">
        <v>1497.0</v>
      </c>
      <c r="AZ470" s="1" t="s">
        <v>77</v>
      </c>
      <c r="BA470" s="1" t="s">
        <v>78</v>
      </c>
    </row>
    <row r="471">
      <c r="A471" s="1" t="s">
        <v>1750</v>
      </c>
      <c r="B471" s="1" t="s">
        <v>53</v>
      </c>
      <c r="C471" s="1">
        <v>2018.0</v>
      </c>
      <c r="D471" s="1" t="s">
        <v>1751</v>
      </c>
      <c r="E471" s="1" t="s">
        <v>1752</v>
      </c>
      <c r="F471" s="1" t="s">
        <v>1386</v>
      </c>
      <c r="G471" s="1" t="s">
        <v>1753</v>
      </c>
      <c r="H471" s="1" t="s">
        <v>1754</v>
      </c>
      <c r="I471" s="1">
        <v>189.0</v>
      </c>
      <c r="K471" s="2" t="s">
        <v>1755</v>
      </c>
      <c r="L471" s="2" t="s">
        <v>60</v>
      </c>
      <c r="M471" s="1" t="s">
        <v>1757</v>
      </c>
      <c r="N471" s="1" t="s">
        <v>62</v>
      </c>
      <c r="O471" s="1" t="s">
        <v>167</v>
      </c>
      <c r="P471" s="1" t="s">
        <v>1758</v>
      </c>
      <c r="Q471" s="1">
        <v>16.115819</v>
      </c>
      <c r="R471" s="1">
        <v>-91.726393</v>
      </c>
      <c r="S471" s="1" t="s">
        <v>148</v>
      </c>
      <c r="T471" s="2" t="s">
        <v>66</v>
      </c>
      <c r="U471" s="1" t="s">
        <v>823</v>
      </c>
      <c r="V471" s="3" t="s">
        <v>68</v>
      </c>
      <c r="W471" s="1" t="s">
        <v>1759</v>
      </c>
      <c r="X471" s="1" t="s">
        <v>70</v>
      </c>
      <c r="Y471" s="5" t="s">
        <v>76</v>
      </c>
      <c r="Z471" s="3" t="s">
        <v>76</v>
      </c>
      <c r="AB471" s="1">
        <v>3.0</v>
      </c>
      <c r="AI471" s="1" t="s">
        <v>1760</v>
      </c>
      <c r="AJ471" s="3">
        <v>-850.0</v>
      </c>
      <c r="AK471" s="1">
        <v>2013.0</v>
      </c>
      <c r="AL471" s="2" t="s">
        <v>100</v>
      </c>
      <c r="AM471" s="2" t="s">
        <v>72</v>
      </c>
      <c r="AN471" s="2" t="s">
        <v>132</v>
      </c>
      <c r="AO471" s="2" t="s">
        <v>72</v>
      </c>
      <c r="AQ471" s="2" t="s">
        <v>102</v>
      </c>
      <c r="AR471" s="2" t="s">
        <v>76</v>
      </c>
      <c r="AS471" s="1">
        <v>2405.0</v>
      </c>
      <c r="AT471" s="1">
        <v>2405.0</v>
      </c>
      <c r="AU471" s="1">
        <v>1144.0</v>
      </c>
      <c r="AV471" s="1">
        <v>40.0</v>
      </c>
      <c r="AW471" s="1">
        <v>152.0</v>
      </c>
      <c r="AX471" s="1">
        <v>7450.0</v>
      </c>
      <c r="AY471" s="1">
        <v>1500.0</v>
      </c>
      <c r="AZ471" s="1" t="s">
        <v>333</v>
      </c>
      <c r="BA471" s="1" t="s">
        <v>121</v>
      </c>
    </row>
    <row r="472">
      <c r="A472" s="1" t="s">
        <v>1750</v>
      </c>
      <c r="B472" s="1" t="s">
        <v>53</v>
      </c>
      <c r="C472" s="1">
        <v>2018.0</v>
      </c>
      <c r="D472" s="1" t="s">
        <v>1751</v>
      </c>
      <c r="E472" s="1" t="s">
        <v>1752</v>
      </c>
      <c r="F472" s="1" t="s">
        <v>1386</v>
      </c>
      <c r="G472" s="1" t="s">
        <v>1753</v>
      </c>
      <c r="H472" s="1" t="s">
        <v>1754</v>
      </c>
      <c r="I472" s="1">
        <v>189.0</v>
      </c>
      <c r="K472" s="2" t="s">
        <v>1755</v>
      </c>
      <c r="L472" s="2" t="s">
        <v>60</v>
      </c>
      <c r="M472" s="1" t="s">
        <v>1761</v>
      </c>
      <c r="N472" s="1" t="s">
        <v>62</v>
      </c>
      <c r="O472" s="1" t="s">
        <v>167</v>
      </c>
      <c r="P472" s="1" t="s">
        <v>1758</v>
      </c>
      <c r="Q472" s="1">
        <v>16.147314</v>
      </c>
      <c r="R472" s="1">
        <v>-91.768701</v>
      </c>
      <c r="S472" s="1" t="s">
        <v>148</v>
      </c>
      <c r="T472" s="2" t="s">
        <v>80</v>
      </c>
      <c r="U472" s="3" t="s">
        <v>81</v>
      </c>
      <c r="V472" s="3" t="s">
        <v>68</v>
      </c>
      <c r="W472" s="1" t="s">
        <v>348</v>
      </c>
      <c r="X472" s="2" t="s">
        <v>158</v>
      </c>
      <c r="Y472" s="6" t="s">
        <v>76</v>
      </c>
      <c r="Z472" s="3" t="s">
        <v>84</v>
      </c>
      <c r="AB472" s="1">
        <v>4.0</v>
      </c>
      <c r="AI472" s="1" t="s">
        <v>174</v>
      </c>
      <c r="AJ472" s="3">
        <v>-850.0</v>
      </c>
      <c r="AK472" s="1">
        <v>2013.0</v>
      </c>
      <c r="AL472" s="2" t="s">
        <v>100</v>
      </c>
      <c r="AM472" s="2" t="s">
        <v>72</v>
      </c>
      <c r="AN472" s="2" t="s">
        <v>132</v>
      </c>
      <c r="AO472" s="2" t="s">
        <v>72</v>
      </c>
      <c r="AQ472" s="2" t="s">
        <v>102</v>
      </c>
      <c r="AR472" s="2" t="s">
        <v>76</v>
      </c>
      <c r="AS472" s="1">
        <v>2150.0</v>
      </c>
      <c r="AT472" s="1">
        <v>2150.0</v>
      </c>
      <c r="AU472" s="1">
        <v>1038.0</v>
      </c>
      <c r="AV472" s="1">
        <v>35.0</v>
      </c>
      <c r="AW472" s="1">
        <v>132.0</v>
      </c>
      <c r="AX472" s="1">
        <v>7746.0</v>
      </c>
      <c r="AY472" s="1">
        <v>1497.0</v>
      </c>
      <c r="AZ472" s="1" t="s">
        <v>77</v>
      </c>
      <c r="BA472" s="1" t="s">
        <v>78</v>
      </c>
    </row>
    <row r="473">
      <c r="A473" s="1" t="s">
        <v>1750</v>
      </c>
      <c r="B473" s="1" t="s">
        <v>53</v>
      </c>
      <c r="C473" s="1">
        <v>2018.0</v>
      </c>
      <c r="D473" s="1" t="s">
        <v>1751</v>
      </c>
      <c r="E473" s="1" t="s">
        <v>1752</v>
      </c>
      <c r="F473" s="1" t="s">
        <v>1386</v>
      </c>
      <c r="G473" s="1" t="s">
        <v>1753</v>
      </c>
      <c r="H473" s="1" t="s">
        <v>1754</v>
      </c>
      <c r="I473" s="1">
        <v>189.0</v>
      </c>
      <c r="K473" s="2" t="s">
        <v>1755</v>
      </c>
      <c r="L473" s="2" t="s">
        <v>60</v>
      </c>
      <c r="M473" s="1" t="s">
        <v>1768</v>
      </c>
      <c r="N473" s="1" t="s">
        <v>62</v>
      </c>
      <c r="O473" s="1" t="s">
        <v>167</v>
      </c>
      <c r="P473" s="1" t="s">
        <v>168</v>
      </c>
      <c r="Q473" s="1">
        <v>16.115819</v>
      </c>
      <c r="R473" s="1">
        <v>-91.726393</v>
      </c>
      <c r="S473" s="1" t="s">
        <v>148</v>
      </c>
      <c r="T473" s="2" t="s">
        <v>66</v>
      </c>
      <c r="U473" s="3" t="s">
        <v>67</v>
      </c>
      <c r="V473" s="3" t="s">
        <v>171</v>
      </c>
      <c r="W473" s="1" t="s">
        <v>1759</v>
      </c>
      <c r="X473" s="1" t="s">
        <v>70</v>
      </c>
      <c r="Y473" s="5" t="s">
        <v>60</v>
      </c>
      <c r="Z473" s="3" t="s">
        <v>345</v>
      </c>
      <c r="AB473" s="1">
        <v>3.0</v>
      </c>
      <c r="AI473" s="1" t="s">
        <v>1760</v>
      </c>
      <c r="AJ473" s="1">
        <v>-1450.0</v>
      </c>
      <c r="AK473" s="1">
        <v>2013.0</v>
      </c>
      <c r="AL473" s="3" t="s">
        <v>73</v>
      </c>
      <c r="AM473" s="2" t="s">
        <v>72</v>
      </c>
      <c r="AN473" s="2" t="s">
        <v>132</v>
      </c>
      <c r="AO473" s="2" t="s">
        <v>72</v>
      </c>
      <c r="AQ473" s="2" t="s">
        <v>102</v>
      </c>
      <c r="AR473" s="2" t="s">
        <v>76</v>
      </c>
      <c r="AS473" s="1">
        <v>2405.0</v>
      </c>
      <c r="AT473" s="1">
        <v>2405.0</v>
      </c>
      <c r="AU473" s="1">
        <v>1144.0</v>
      </c>
      <c r="AV473" s="1">
        <v>40.0</v>
      </c>
      <c r="AW473" s="1">
        <v>152.0</v>
      </c>
      <c r="AX473" s="1">
        <v>7450.0</v>
      </c>
      <c r="AY473" s="1">
        <v>1500.0</v>
      </c>
      <c r="AZ473" s="1" t="s">
        <v>333</v>
      </c>
      <c r="BA473" s="1" t="s">
        <v>121</v>
      </c>
    </row>
    <row r="474">
      <c r="A474" s="1" t="s">
        <v>1855</v>
      </c>
      <c r="B474" s="1" t="s">
        <v>53</v>
      </c>
      <c r="C474" s="1">
        <v>2018.0</v>
      </c>
      <c r="D474" s="1" t="s">
        <v>1856</v>
      </c>
      <c r="E474" s="1" t="s">
        <v>1857</v>
      </c>
      <c r="F474" s="1" t="s">
        <v>1858</v>
      </c>
      <c r="G474" s="1" t="s">
        <v>1859</v>
      </c>
      <c r="H474" s="1" t="s">
        <v>1860</v>
      </c>
      <c r="I474" s="1">
        <v>630.0</v>
      </c>
      <c r="K474" s="2" t="s">
        <v>1861</v>
      </c>
      <c r="L474" s="2" t="s">
        <v>60</v>
      </c>
      <c r="M474" s="1" t="s">
        <v>1862</v>
      </c>
      <c r="N474" s="1" t="s">
        <v>62</v>
      </c>
      <c r="O474" s="1" t="s">
        <v>737</v>
      </c>
      <c r="P474" s="1" t="s">
        <v>1863</v>
      </c>
      <c r="Q474" s="1">
        <v>13.192232</v>
      </c>
      <c r="R474" s="1">
        <v>-88.398807</v>
      </c>
      <c r="S474" s="3" t="s">
        <v>1864</v>
      </c>
      <c r="T474" s="2" t="s">
        <v>169</v>
      </c>
      <c r="U474" s="3" t="s">
        <v>1597</v>
      </c>
      <c r="V474" s="3" t="s">
        <v>97</v>
      </c>
      <c r="W474" s="1" t="s">
        <v>1865</v>
      </c>
      <c r="X474" s="1" t="s">
        <v>70</v>
      </c>
      <c r="Y474" s="6" t="s">
        <v>76</v>
      </c>
      <c r="Z474" s="3" t="s">
        <v>76</v>
      </c>
      <c r="AD474" s="2" t="s">
        <v>72</v>
      </c>
      <c r="AI474" s="2" t="s">
        <v>72</v>
      </c>
      <c r="AJ474" s="1">
        <v>1982.0</v>
      </c>
      <c r="AK474" s="1">
        <v>2012.0</v>
      </c>
      <c r="AL474" s="2" t="s">
        <v>153</v>
      </c>
      <c r="AM474" s="2" t="s">
        <v>72</v>
      </c>
      <c r="AN474" s="2" t="s">
        <v>72</v>
      </c>
      <c r="AO474" s="2" t="s">
        <v>101</v>
      </c>
      <c r="AQ474" s="2" t="s">
        <v>576</v>
      </c>
      <c r="AR474" s="2" t="s">
        <v>76</v>
      </c>
      <c r="AS474" s="1">
        <v>1897.0</v>
      </c>
      <c r="AT474" s="1">
        <v>1897.0</v>
      </c>
      <c r="AU474" s="1">
        <v>1018.0</v>
      </c>
      <c r="AV474" s="1">
        <v>0.0</v>
      </c>
      <c r="AW474" s="1">
        <v>7.0</v>
      </c>
      <c r="AX474" s="1">
        <v>9916.0</v>
      </c>
      <c r="AY474" s="1">
        <v>3.0</v>
      </c>
      <c r="AZ474" s="1" t="s">
        <v>1162</v>
      </c>
      <c r="BA474" s="1" t="s">
        <v>659</v>
      </c>
    </row>
    <row r="475">
      <c r="A475" s="1" t="s">
        <v>1855</v>
      </c>
      <c r="B475" s="1" t="s">
        <v>53</v>
      </c>
      <c r="C475" s="1">
        <v>2018.0</v>
      </c>
      <c r="D475" s="1" t="s">
        <v>1856</v>
      </c>
      <c r="E475" s="1" t="s">
        <v>1857</v>
      </c>
      <c r="F475" s="1" t="s">
        <v>1858</v>
      </c>
      <c r="G475" s="1" t="s">
        <v>1859</v>
      </c>
      <c r="H475" s="1" t="s">
        <v>1860</v>
      </c>
      <c r="I475" s="1">
        <v>630.0</v>
      </c>
      <c r="K475" s="2" t="s">
        <v>1861</v>
      </c>
      <c r="L475" s="2" t="s">
        <v>60</v>
      </c>
      <c r="M475" s="1" t="s">
        <v>1866</v>
      </c>
      <c r="N475" s="1" t="s">
        <v>62</v>
      </c>
      <c r="O475" s="1" t="s">
        <v>737</v>
      </c>
      <c r="P475" s="1" t="s">
        <v>1863</v>
      </c>
      <c r="Q475" s="1">
        <v>13.256202</v>
      </c>
      <c r="R475" s="1">
        <v>-88.493592</v>
      </c>
      <c r="S475" s="3" t="s">
        <v>1864</v>
      </c>
      <c r="T475" s="2" t="s">
        <v>169</v>
      </c>
      <c r="U475" s="3" t="s">
        <v>1597</v>
      </c>
      <c r="V475" s="3" t="s">
        <v>97</v>
      </c>
      <c r="W475" s="1" t="s">
        <v>1865</v>
      </c>
      <c r="X475" s="1" t="s">
        <v>70</v>
      </c>
      <c r="Y475" s="6" t="s">
        <v>76</v>
      </c>
      <c r="Z475" s="3" t="s">
        <v>76</v>
      </c>
      <c r="AD475" s="2" t="s">
        <v>72</v>
      </c>
      <c r="AI475" s="2" t="s">
        <v>72</v>
      </c>
      <c r="AJ475" s="1">
        <v>1982.0</v>
      </c>
      <c r="AK475" s="1">
        <v>2012.0</v>
      </c>
      <c r="AL475" s="2" t="s">
        <v>153</v>
      </c>
      <c r="AM475" s="2" t="s">
        <v>72</v>
      </c>
      <c r="AN475" s="2" t="s">
        <v>72</v>
      </c>
      <c r="AO475" s="2" t="s">
        <v>101</v>
      </c>
      <c r="AQ475" s="2" t="s">
        <v>576</v>
      </c>
      <c r="AR475" s="2" t="s">
        <v>76</v>
      </c>
      <c r="AS475" s="1">
        <v>1898.0</v>
      </c>
      <c r="AT475" s="1">
        <v>1898.0</v>
      </c>
      <c r="AU475" s="1">
        <v>1014.0</v>
      </c>
      <c r="AV475" s="1">
        <v>1.0</v>
      </c>
      <c r="AW475" s="1">
        <v>7.0</v>
      </c>
      <c r="AX475" s="1">
        <v>9893.0</v>
      </c>
      <c r="AY475" s="1">
        <v>13.0</v>
      </c>
      <c r="AZ475" s="1" t="s">
        <v>1162</v>
      </c>
      <c r="BA475" s="1" t="s">
        <v>659</v>
      </c>
    </row>
    <row r="476">
      <c r="A476" s="1" t="s">
        <v>1855</v>
      </c>
      <c r="B476" s="1" t="s">
        <v>53</v>
      </c>
      <c r="C476" s="1">
        <v>2018.0</v>
      </c>
      <c r="D476" s="1" t="s">
        <v>1856</v>
      </c>
      <c r="E476" s="1" t="s">
        <v>1857</v>
      </c>
      <c r="F476" s="1" t="s">
        <v>1858</v>
      </c>
      <c r="G476" s="1" t="s">
        <v>1859</v>
      </c>
      <c r="H476" s="1" t="s">
        <v>1860</v>
      </c>
      <c r="I476" s="1">
        <v>630.0</v>
      </c>
      <c r="K476" s="2" t="s">
        <v>1861</v>
      </c>
      <c r="L476" s="2" t="s">
        <v>60</v>
      </c>
      <c r="M476" s="1" t="s">
        <v>1867</v>
      </c>
      <c r="N476" s="1" t="s">
        <v>62</v>
      </c>
      <c r="O476" s="1" t="s">
        <v>92</v>
      </c>
      <c r="P476" s="1" t="s">
        <v>1868</v>
      </c>
      <c r="Q476" s="1">
        <v>19.613729</v>
      </c>
      <c r="R476" s="1">
        <v>-87.45764</v>
      </c>
      <c r="S476" s="3" t="s">
        <v>1864</v>
      </c>
      <c r="T476" s="2" t="s">
        <v>169</v>
      </c>
      <c r="U476" s="3" t="s">
        <v>1597</v>
      </c>
      <c r="V476" s="3" t="s">
        <v>97</v>
      </c>
      <c r="W476" s="1" t="s">
        <v>1865</v>
      </c>
      <c r="X476" s="1" t="s">
        <v>70</v>
      </c>
      <c r="Y476" s="6" t="s">
        <v>76</v>
      </c>
      <c r="Z476" s="3" t="s">
        <v>76</v>
      </c>
      <c r="AD476" s="2" t="s">
        <v>72</v>
      </c>
      <c r="AI476" s="2" t="s">
        <v>72</v>
      </c>
      <c r="AJ476" s="1">
        <v>1983.0</v>
      </c>
      <c r="AK476" s="1">
        <v>2012.0</v>
      </c>
      <c r="AL476" s="2" t="s">
        <v>153</v>
      </c>
      <c r="AM476" s="2" t="s">
        <v>72</v>
      </c>
      <c r="AN476" s="2" t="s">
        <v>72</v>
      </c>
      <c r="AO476" s="2" t="s">
        <v>101</v>
      </c>
      <c r="AQ476" s="2" t="s">
        <v>576</v>
      </c>
      <c r="AR476" s="2" t="s">
        <v>76</v>
      </c>
      <c r="AS476" s="1">
        <v>1316.0</v>
      </c>
      <c r="AT476" s="1">
        <v>1316.0</v>
      </c>
      <c r="AU476" s="1">
        <v>538.0</v>
      </c>
      <c r="AV476" s="1">
        <v>35.0</v>
      </c>
      <c r="AW476" s="1">
        <v>131.0</v>
      </c>
      <c r="AX476" s="1">
        <v>5276.0</v>
      </c>
      <c r="AY476" s="1">
        <v>1.0</v>
      </c>
      <c r="AZ476" s="1" t="s">
        <v>658</v>
      </c>
      <c r="BA476" s="1" t="s">
        <v>659</v>
      </c>
    </row>
    <row r="477">
      <c r="A477" s="1" t="s">
        <v>1855</v>
      </c>
      <c r="B477" s="1" t="s">
        <v>53</v>
      </c>
      <c r="C477" s="1">
        <v>2018.0</v>
      </c>
      <c r="D477" s="1" t="s">
        <v>1856</v>
      </c>
      <c r="E477" s="1" t="s">
        <v>1857</v>
      </c>
      <c r="F477" s="1" t="s">
        <v>1858</v>
      </c>
      <c r="G477" s="1" t="s">
        <v>1859</v>
      </c>
      <c r="H477" s="1" t="s">
        <v>1860</v>
      </c>
      <c r="I477" s="1">
        <v>630.0</v>
      </c>
      <c r="K477" s="2" t="s">
        <v>1861</v>
      </c>
      <c r="L477" s="2" t="s">
        <v>60</v>
      </c>
      <c r="M477" s="1" t="s">
        <v>1869</v>
      </c>
      <c r="N477" s="1" t="s">
        <v>62</v>
      </c>
      <c r="O477" s="1" t="s">
        <v>92</v>
      </c>
      <c r="P477" s="1" t="s">
        <v>1870</v>
      </c>
      <c r="Q477" s="1">
        <v>19.703751</v>
      </c>
      <c r="R477" s="1">
        <v>-87.484473</v>
      </c>
      <c r="S477" s="3" t="s">
        <v>1864</v>
      </c>
      <c r="T477" s="2" t="s">
        <v>169</v>
      </c>
      <c r="U477" s="3" t="s">
        <v>1597</v>
      </c>
      <c r="V477" s="3" t="s">
        <v>97</v>
      </c>
      <c r="W477" s="1" t="s">
        <v>1865</v>
      </c>
      <c r="X477" s="1" t="s">
        <v>70</v>
      </c>
      <c r="Y477" s="6" t="s">
        <v>76</v>
      </c>
      <c r="Z477" s="3" t="s">
        <v>76</v>
      </c>
      <c r="AD477" s="2" t="s">
        <v>72</v>
      </c>
      <c r="AI477" s="2" t="s">
        <v>72</v>
      </c>
      <c r="AJ477" s="1">
        <v>1983.0</v>
      </c>
      <c r="AK477" s="1">
        <v>2012.0</v>
      </c>
      <c r="AL477" s="2" t="s">
        <v>153</v>
      </c>
      <c r="AM477" s="2" t="s">
        <v>72</v>
      </c>
      <c r="AN477" s="2" t="s">
        <v>72</v>
      </c>
      <c r="AO477" s="2" t="s">
        <v>101</v>
      </c>
      <c r="AQ477" s="2" t="s">
        <v>576</v>
      </c>
      <c r="AR477" s="2" t="s">
        <v>76</v>
      </c>
      <c r="AS477" s="1">
        <v>1289.0</v>
      </c>
      <c r="AT477" s="1">
        <v>1289.0</v>
      </c>
      <c r="AU477" s="1">
        <v>534.0</v>
      </c>
      <c r="AV477" s="1">
        <v>35.0</v>
      </c>
      <c r="AW477" s="1">
        <v>128.0</v>
      </c>
      <c r="AX477" s="1">
        <v>5381.0</v>
      </c>
      <c r="AY477" s="1">
        <v>1.0</v>
      </c>
      <c r="AZ477" s="1" t="s">
        <v>658</v>
      </c>
      <c r="BA477" s="1" t="s">
        <v>659</v>
      </c>
    </row>
    <row r="478">
      <c r="A478" s="1" t="s">
        <v>139</v>
      </c>
      <c r="B478" s="1" t="s">
        <v>53</v>
      </c>
      <c r="C478" s="1">
        <v>2018.0</v>
      </c>
      <c r="D478" s="1" t="s">
        <v>140</v>
      </c>
      <c r="E478" s="1" t="s">
        <v>141</v>
      </c>
      <c r="F478" s="1" t="s">
        <v>125</v>
      </c>
      <c r="G478" s="1" t="s">
        <v>142</v>
      </c>
      <c r="H478" s="1" t="s">
        <v>143</v>
      </c>
      <c r="I478" s="1">
        <v>70.0</v>
      </c>
      <c r="J478" s="1">
        <v>1.0</v>
      </c>
      <c r="K478" s="2" t="s">
        <v>144</v>
      </c>
      <c r="L478" s="2" t="s">
        <v>60</v>
      </c>
      <c r="M478" s="1" t="s">
        <v>145</v>
      </c>
      <c r="N478" s="1" t="s">
        <v>62</v>
      </c>
      <c r="O478" s="1" t="s">
        <v>146</v>
      </c>
      <c r="P478" s="1" t="s">
        <v>147</v>
      </c>
      <c r="Q478" s="1">
        <v>8.88582</v>
      </c>
      <c r="R478" s="1">
        <v>-82.499791</v>
      </c>
      <c r="S478" s="1" t="s">
        <v>148</v>
      </c>
      <c r="T478" s="2" t="s">
        <v>149</v>
      </c>
      <c r="U478" s="3" t="s">
        <v>150</v>
      </c>
      <c r="V478" s="3" t="s">
        <v>97</v>
      </c>
      <c r="W478" s="1" t="s">
        <v>151</v>
      </c>
      <c r="X478" s="1" t="s">
        <v>70</v>
      </c>
      <c r="Y478" s="6" t="s">
        <v>76</v>
      </c>
      <c r="Z478" s="3" t="s">
        <v>76</v>
      </c>
      <c r="AB478" s="1">
        <v>3.0</v>
      </c>
      <c r="AI478" s="1" t="s">
        <v>152</v>
      </c>
      <c r="AJ478" s="1">
        <v>-892.0</v>
      </c>
      <c r="AK478" s="1">
        <v>1752.0</v>
      </c>
      <c r="AL478" s="2" t="s">
        <v>153</v>
      </c>
      <c r="AM478" s="2" t="s">
        <v>72</v>
      </c>
      <c r="AN478" s="2" t="s">
        <v>132</v>
      </c>
      <c r="AO478" s="2" t="s">
        <v>72</v>
      </c>
      <c r="AQ478" s="2" t="s">
        <v>75</v>
      </c>
      <c r="AR478" s="2" t="s">
        <v>76</v>
      </c>
      <c r="AS478" s="1">
        <v>3751.0</v>
      </c>
      <c r="AT478" s="1">
        <v>3751.0</v>
      </c>
      <c r="AU478" s="1">
        <v>1320.0</v>
      </c>
      <c r="AV478" s="1">
        <v>102.0</v>
      </c>
      <c r="AW478" s="1">
        <v>466.0</v>
      </c>
      <c r="AX478" s="1">
        <v>3973.0</v>
      </c>
      <c r="AY478" s="1">
        <v>1859.0</v>
      </c>
      <c r="AZ478" s="1" t="s">
        <v>154</v>
      </c>
      <c r="BA478" s="1" t="s">
        <v>121</v>
      </c>
    </row>
    <row r="479">
      <c r="A479" s="1" t="s">
        <v>139</v>
      </c>
      <c r="B479" s="1" t="s">
        <v>53</v>
      </c>
      <c r="C479" s="1">
        <v>2018.0</v>
      </c>
      <c r="D479" s="1" t="s">
        <v>140</v>
      </c>
      <c r="E479" s="1" t="s">
        <v>141</v>
      </c>
      <c r="F479" s="1" t="s">
        <v>125</v>
      </c>
      <c r="G479" s="1" t="s">
        <v>142</v>
      </c>
      <c r="H479" s="1" t="s">
        <v>143</v>
      </c>
      <c r="I479" s="1">
        <v>70.0</v>
      </c>
      <c r="J479" s="1">
        <v>1.0</v>
      </c>
      <c r="K479" s="2" t="s">
        <v>144</v>
      </c>
      <c r="L479" s="2" t="s">
        <v>60</v>
      </c>
      <c r="M479" s="1" t="s">
        <v>155</v>
      </c>
      <c r="N479" s="1" t="s">
        <v>62</v>
      </c>
      <c r="O479" s="1" t="s">
        <v>146</v>
      </c>
      <c r="P479" s="1" t="s">
        <v>147</v>
      </c>
      <c r="Q479" s="1">
        <v>8.88582</v>
      </c>
      <c r="R479" s="1">
        <v>-82.499791</v>
      </c>
      <c r="S479" s="1" t="s">
        <v>148</v>
      </c>
      <c r="T479" s="3" t="s">
        <v>80</v>
      </c>
      <c r="U479" s="1" t="s">
        <v>156</v>
      </c>
      <c r="V479" s="3" t="s">
        <v>68</v>
      </c>
      <c r="W479" s="1" t="s">
        <v>157</v>
      </c>
      <c r="X479" s="2" t="s">
        <v>158</v>
      </c>
      <c r="Y479" s="6" t="s">
        <v>76</v>
      </c>
      <c r="Z479" s="3" t="s">
        <v>84</v>
      </c>
      <c r="AB479" s="1">
        <v>3.0</v>
      </c>
      <c r="AI479" s="1" t="s">
        <v>152</v>
      </c>
      <c r="AJ479" s="1">
        <v>-892.0</v>
      </c>
      <c r="AK479" s="1">
        <v>1752.0</v>
      </c>
      <c r="AL479" s="2" t="s">
        <v>153</v>
      </c>
      <c r="AM479" s="2" t="s">
        <v>72</v>
      </c>
      <c r="AN479" s="2" t="s">
        <v>132</v>
      </c>
      <c r="AO479" s="2" t="s">
        <v>72</v>
      </c>
      <c r="AQ479" s="2" t="s">
        <v>75</v>
      </c>
      <c r="AR479" s="2" t="s">
        <v>76</v>
      </c>
      <c r="AS479" s="1">
        <v>3751.0</v>
      </c>
      <c r="AT479" s="1">
        <v>3751.0</v>
      </c>
      <c r="AU479" s="1">
        <v>1320.0</v>
      </c>
      <c r="AV479" s="1">
        <v>102.0</v>
      </c>
      <c r="AW479" s="1">
        <v>466.0</v>
      </c>
      <c r="AX479" s="1">
        <v>3973.0</v>
      </c>
      <c r="AY479" s="1">
        <v>1859.0</v>
      </c>
      <c r="AZ479" s="1" t="s">
        <v>154</v>
      </c>
      <c r="BA479" s="1" t="s">
        <v>121</v>
      </c>
    </row>
    <row r="480">
      <c r="A480" s="1" t="s">
        <v>337</v>
      </c>
      <c r="B480" s="1" t="s">
        <v>53</v>
      </c>
      <c r="C480" s="1">
        <v>2019.0</v>
      </c>
      <c r="D480" s="1" t="s">
        <v>338</v>
      </c>
      <c r="E480" s="1" t="s">
        <v>339</v>
      </c>
      <c r="F480" s="1" t="s">
        <v>340</v>
      </c>
      <c r="G480" s="1" t="s">
        <v>341</v>
      </c>
      <c r="H480" s="1" t="s">
        <v>342</v>
      </c>
      <c r="I480" s="1">
        <v>2.0</v>
      </c>
      <c r="L480" s="2" t="s">
        <v>60</v>
      </c>
      <c r="M480" s="1" t="s">
        <v>343</v>
      </c>
      <c r="N480" s="1" t="s">
        <v>62</v>
      </c>
      <c r="O480" s="1" t="s">
        <v>167</v>
      </c>
      <c r="P480" s="1" t="s">
        <v>263</v>
      </c>
      <c r="Q480" s="1">
        <v>16.000583</v>
      </c>
      <c r="R480" s="1">
        <v>-91.554216</v>
      </c>
      <c r="S480" s="1" t="s">
        <v>148</v>
      </c>
      <c r="T480" s="2" t="s">
        <v>66</v>
      </c>
      <c r="U480" s="3" t="s">
        <v>67</v>
      </c>
      <c r="V480" s="3" t="s">
        <v>68</v>
      </c>
      <c r="W480" s="1" t="s">
        <v>344</v>
      </c>
      <c r="X480" s="1" t="s">
        <v>70</v>
      </c>
      <c r="Y480" s="5" t="s">
        <v>60</v>
      </c>
      <c r="Z480" s="3" t="s">
        <v>345</v>
      </c>
      <c r="AB480" s="1">
        <v>38.0</v>
      </c>
      <c r="AI480" s="3" t="s">
        <v>346</v>
      </c>
      <c r="AJ480" s="1">
        <v>-4000.0</v>
      </c>
      <c r="AK480" s="1">
        <v>1522.0</v>
      </c>
      <c r="AL480" s="2" t="s">
        <v>153</v>
      </c>
      <c r="AM480" s="2" t="s">
        <v>60</v>
      </c>
      <c r="AN480" s="2" t="s">
        <v>132</v>
      </c>
      <c r="AO480" s="2" t="s">
        <v>72</v>
      </c>
      <c r="AQ480" s="2" t="s">
        <v>102</v>
      </c>
      <c r="AR480" s="2" t="s">
        <v>60</v>
      </c>
      <c r="AS480" s="1">
        <v>3417.0</v>
      </c>
      <c r="AT480" s="1">
        <v>3417.0</v>
      </c>
      <c r="AU480" s="1">
        <v>1566.0</v>
      </c>
      <c r="AV480" s="1">
        <v>75.0</v>
      </c>
      <c r="AW480" s="1">
        <v>258.0</v>
      </c>
      <c r="AX480" s="1">
        <v>6710.0</v>
      </c>
      <c r="AY480" s="1">
        <v>1520.0</v>
      </c>
      <c r="AZ480" s="1" t="s">
        <v>77</v>
      </c>
      <c r="BA480" s="1" t="s">
        <v>78</v>
      </c>
    </row>
    <row r="481">
      <c r="A481" s="1" t="s">
        <v>337</v>
      </c>
      <c r="B481" s="1" t="s">
        <v>53</v>
      </c>
      <c r="C481" s="1">
        <v>2019.0</v>
      </c>
      <c r="D481" s="1" t="s">
        <v>338</v>
      </c>
      <c r="E481" s="1" t="s">
        <v>339</v>
      </c>
      <c r="F481" s="1" t="s">
        <v>340</v>
      </c>
      <c r="G481" s="1" t="s">
        <v>341</v>
      </c>
      <c r="H481" s="1" t="s">
        <v>342</v>
      </c>
      <c r="I481" s="1">
        <v>2.0</v>
      </c>
      <c r="L481" s="2" t="s">
        <v>60</v>
      </c>
      <c r="M481" s="1" t="s">
        <v>347</v>
      </c>
      <c r="N481" s="1" t="s">
        <v>62</v>
      </c>
      <c r="O481" s="1" t="s">
        <v>167</v>
      </c>
      <c r="P481" s="1" t="s">
        <v>263</v>
      </c>
      <c r="Q481" s="1">
        <v>16.000583</v>
      </c>
      <c r="R481" s="1">
        <v>-91.554216</v>
      </c>
      <c r="S481" s="1" t="s">
        <v>148</v>
      </c>
      <c r="T481" s="2" t="s">
        <v>80</v>
      </c>
      <c r="U481" s="3" t="s">
        <v>81</v>
      </c>
      <c r="V481" s="3" t="s">
        <v>68</v>
      </c>
      <c r="W481" s="1" t="s">
        <v>348</v>
      </c>
      <c r="X481" s="1" t="s">
        <v>349</v>
      </c>
      <c r="Y481" s="6" t="s">
        <v>76</v>
      </c>
      <c r="Z481" s="3" t="s">
        <v>84</v>
      </c>
      <c r="AB481" s="1">
        <v>38.0</v>
      </c>
      <c r="AI481" s="3" t="s">
        <v>346</v>
      </c>
      <c r="AJ481" s="1">
        <v>-4000.0</v>
      </c>
      <c r="AK481" s="1">
        <v>1522.0</v>
      </c>
      <c r="AL481" s="2" t="s">
        <v>153</v>
      </c>
      <c r="AM481" s="2" t="s">
        <v>60</v>
      </c>
      <c r="AN481" s="2" t="s">
        <v>132</v>
      </c>
      <c r="AO481" s="2" t="s">
        <v>72</v>
      </c>
      <c r="AQ481" s="2" t="s">
        <v>102</v>
      </c>
      <c r="AR481" s="2" t="s">
        <v>60</v>
      </c>
      <c r="AS481" s="1">
        <v>3417.0</v>
      </c>
      <c r="AT481" s="1">
        <v>3417.0</v>
      </c>
      <c r="AU481" s="1">
        <v>1566.0</v>
      </c>
      <c r="AV481" s="1">
        <v>75.0</v>
      </c>
      <c r="AW481" s="1">
        <v>258.0</v>
      </c>
      <c r="AX481" s="1">
        <v>6710.0</v>
      </c>
      <c r="AY481" s="1">
        <v>1520.0</v>
      </c>
      <c r="AZ481" s="1" t="s">
        <v>77</v>
      </c>
      <c r="BA481" s="1" t="s">
        <v>78</v>
      </c>
    </row>
    <row r="482">
      <c r="A482" s="1" t="s">
        <v>337</v>
      </c>
      <c r="B482" s="1" t="s">
        <v>53</v>
      </c>
      <c r="C482" s="1">
        <v>2019.0</v>
      </c>
      <c r="D482" s="1" t="s">
        <v>338</v>
      </c>
      <c r="E482" s="1" t="s">
        <v>339</v>
      </c>
      <c r="F482" s="1" t="s">
        <v>340</v>
      </c>
      <c r="G482" s="1" t="s">
        <v>341</v>
      </c>
      <c r="H482" s="1" t="s">
        <v>342</v>
      </c>
      <c r="I482" s="1">
        <v>2.0</v>
      </c>
      <c r="L482" s="2" t="s">
        <v>60</v>
      </c>
      <c r="M482" s="1" t="s">
        <v>350</v>
      </c>
      <c r="N482" s="1" t="s">
        <v>62</v>
      </c>
      <c r="O482" s="1" t="s">
        <v>167</v>
      </c>
      <c r="P482" s="1" t="s">
        <v>263</v>
      </c>
      <c r="Q482" s="1">
        <v>16.000583</v>
      </c>
      <c r="R482" s="1">
        <v>-91.554216</v>
      </c>
      <c r="S482" s="1" t="s">
        <v>148</v>
      </c>
      <c r="T482" s="3" t="s">
        <v>1150</v>
      </c>
      <c r="U482" s="3" t="s">
        <v>81</v>
      </c>
      <c r="V482" s="3" t="s">
        <v>68</v>
      </c>
      <c r="W482" s="1" t="s">
        <v>82</v>
      </c>
      <c r="X482" s="2" t="s">
        <v>158</v>
      </c>
      <c r="Y482" s="6" t="s">
        <v>76</v>
      </c>
      <c r="Z482" s="3" t="s">
        <v>84</v>
      </c>
      <c r="AB482" s="1">
        <v>38.0</v>
      </c>
      <c r="AI482" s="3" t="s">
        <v>346</v>
      </c>
      <c r="AJ482" s="1">
        <v>-4000.0</v>
      </c>
      <c r="AK482" s="1">
        <v>1522.0</v>
      </c>
      <c r="AL482" s="2" t="s">
        <v>153</v>
      </c>
      <c r="AM482" s="2" t="s">
        <v>60</v>
      </c>
      <c r="AN482" s="2" t="s">
        <v>132</v>
      </c>
      <c r="AO482" s="2" t="s">
        <v>72</v>
      </c>
      <c r="AQ482" s="2" t="s">
        <v>102</v>
      </c>
      <c r="AR482" s="2" t="s">
        <v>60</v>
      </c>
      <c r="AS482" s="1">
        <v>3417.0</v>
      </c>
      <c r="AT482" s="1">
        <v>3417.0</v>
      </c>
      <c r="AU482" s="1">
        <v>1566.0</v>
      </c>
      <c r="AV482" s="1">
        <v>75.0</v>
      </c>
      <c r="AW482" s="1">
        <v>258.0</v>
      </c>
      <c r="AX482" s="1">
        <v>6710.0</v>
      </c>
      <c r="AY482" s="1">
        <v>1520.0</v>
      </c>
      <c r="AZ482" s="1" t="s">
        <v>77</v>
      </c>
      <c r="BA482" s="1" t="s">
        <v>78</v>
      </c>
    </row>
    <row r="483">
      <c r="A483" s="1" t="s">
        <v>337</v>
      </c>
      <c r="B483" s="1" t="s">
        <v>53</v>
      </c>
      <c r="C483" s="1">
        <v>2019.0</v>
      </c>
      <c r="D483" s="1" t="s">
        <v>338</v>
      </c>
      <c r="E483" s="1" t="s">
        <v>339</v>
      </c>
      <c r="F483" s="1" t="s">
        <v>340</v>
      </c>
      <c r="G483" s="1" t="s">
        <v>341</v>
      </c>
      <c r="H483" s="1" t="s">
        <v>342</v>
      </c>
      <c r="I483" s="1">
        <v>2.0</v>
      </c>
      <c r="L483" s="2" t="s">
        <v>60</v>
      </c>
      <c r="M483" s="1" t="s">
        <v>351</v>
      </c>
      <c r="N483" s="1" t="s">
        <v>62</v>
      </c>
      <c r="O483" s="1" t="s">
        <v>167</v>
      </c>
      <c r="P483" s="1" t="s">
        <v>263</v>
      </c>
      <c r="Q483" s="1">
        <v>16.000583</v>
      </c>
      <c r="R483" s="1">
        <v>-91.554216</v>
      </c>
      <c r="S483" s="1" t="s">
        <v>148</v>
      </c>
      <c r="T483" s="2" t="s">
        <v>352</v>
      </c>
      <c r="U483" s="7" t="s">
        <v>353</v>
      </c>
      <c r="V483" s="3" t="s">
        <v>116</v>
      </c>
      <c r="W483" s="1" t="s">
        <v>354</v>
      </c>
      <c r="X483" s="2" t="s">
        <v>355</v>
      </c>
      <c r="Y483" s="6" t="s">
        <v>76</v>
      </c>
      <c r="Z483" s="3" t="s">
        <v>76</v>
      </c>
      <c r="AB483" s="1">
        <v>38.0</v>
      </c>
      <c r="AI483" s="3" t="s">
        <v>346</v>
      </c>
      <c r="AJ483" s="1">
        <v>-4000.0</v>
      </c>
      <c r="AK483" s="1">
        <v>1522.0</v>
      </c>
      <c r="AL483" s="2" t="s">
        <v>153</v>
      </c>
      <c r="AM483" s="2" t="s">
        <v>60</v>
      </c>
      <c r="AN483" s="2" t="s">
        <v>132</v>
      </c>
      <c r="AO483" s="2" t="s">
        <v>72</v>
      </c>
      <c r="AQ483" s="2" t="s">
        <v>102</v>
      </c>
      <c r="AR483" s="2" t="s">
        <v>60</v>
      </c>
      <c r="AS483" s="1">
        <v>3417.0</v>
      </c>
      <c r="AT483" s="1">
        <v>3417.0</v>
      </c>
      <c r="AU483" s="1">
        <v>1566.0</v>
      </c>
      <c r="AV483" s="1">
        <v>75.0</v>
      </c>
      <c r="AW483" s="1">
        <v>258.0</v>
      </c>
      <c r="AX483" s="1">
        <v>6710.0</v>
      </c>
      <c r="AY483" s="1">
        <v>1520.0</v>
      </c>
      <c r="AZ483" s="1" t="s">
        <v>77</v>
      </c>
      <c r="BA483" s="1" t="s">
        <v>78</v>
      </c>
    </row>
    <row r="484">
      <c r="A484" s="1" t="s">
        <v>1428</v>
      </c>
      <c r="B484" s="1" t="s">
        <v>53</v>
      </c>
      <c r="C484" s="1">
        <v>2019.0</v>
      </c>
      <c r="D484" s="1" t="s">
        <v>1429</v>
      </c>
      <c r="E484" s="1" t="s">
        <v>1430</v>
      </c>
      <c r="F484" s="1" t="s">
        <v>1431</v>
      </c>
      <c r="G484" s="1" t="s">
        <v>1432</v>
      </c>
      <c r="H484" s="1" t="s">
        <v>1433</v>
      </c>
      <c r="I484" s="1">
        <v>2.0</v>
      </c>
      <c r="J484" s="1">
        <v>3.0</v>
      </c>
      <c r="L484" s="2" t="s">
        <v>60</v>
      </c>
      <c r="M484" s="1" t="s">
        <v>1434</v>
      </c>
      <c r="N484" s="1" t="s">
        <v>62</v>
      </c>
      <c r="O484" s="1" t="s">
        <v>521</v>
      </c>
      <c r="P484" s="1" t="s">
        <v>522</v>
      </c>
      <c r="Q484" s="1">
        <v>11.906</v>
      </c>
      <c r="R484" s="1">
        <v>-85.918</v>
      </c>
      <c r="S484" s="1" t="s">
        <v>148</v>
      </c>
      <c r="T484" s="2" t="s">
        <v>66</v>
      </c>
      <c r="U484" s="1" t="s">
        <v>823</v>
      </c>
      <c r="V484" s="3" t="s">
        <v>138</v>
      </c>
      <c r="W484" s="1" t="s">
        <v>344</v>
      </c>
      <c r="X484" s="1" t="s">
        <v>70</v>
      </c>
      <c r="Y484" s="5" t="s">
        <v>76</v>
      </c>
      <c r="Z484" s="3" t="s">
        <v>76</v>
      </c>
      <c r="AB484" s="1">
        <v>5.0</v>
      </c>
      <c r="AI484" s="11" t="s">
        <v>523</v>
      </c>
      <c r="AJ484" s="1">
        <v>850.0</v>
      </c>
      <c r="AK484" s="1">
        <v>2004.0</v>
      </c>
      <c r="AL484" s="2" t="s">
        <v>73</v>
      </c>
      <c r="AM484" s="2" t="s">
        <v>60</v>
      </c>
      <c r="AN484" s="2" t="s">
        <v>132</v>
      </c>
      <c r="AO484" s="2" t="s">
        <v>72</v>
      </c>
      <c r="AQ484" s="2" t="s">
        <v>102</v>
      </c>
      <c r="AR484" s="2" t="s">
        <v>60</v>
      </c>
      <c r="AS484" s="1">
        <v>1535.0</v>
      </c>
      <c r="AT484" s="1">
        <v>1535.0</v>
      </c>
      <c r="AU484" s="1">
        <v>863.0</v>
      </c>
      <c r="AV484" s="1">
        <v>2.0</v>
      </c>
      <c r="AW484" s="1">
        <v>16.0</v>
      </c>
      <c r="AX484" s="1">
        <v>9899.0</v>
      </c>
      <c r="AY484" s="1">
        <v>43.0</v>
      </c>
      <c r="AZ484" s="1" t="s">
        <v>525</v>
      </c>
      <c r="BA484" s="1" t="s">
        <v>104</v>
      </c>
    </row>
    <row r="485">
      <c r="A485" s="1" t="s">
        <v>1428</v>
      </c>
      <c r="B485" s="1" t="s">
        <v>53</v>
      </c>
      <c r="C485" s="1">
        <v>2019.0</v>
      </c>
      <c r="D485" s="1" t="s">
        <v>1429</v>
      </c>
      <c r="E485" s="1" t="s">
        <v>1430</v>
      </c>
      <c r="F485" s="1" t="s">
        <v>1431</v>
      </c>
      <c r="G485" s="1" t="s">
        <v>1432</v>
      </c>
      <c r="H485" s="1" t="s">
        <v>1433</v>
      </c>
      <c r="I485" s="1">
        <v>2.0</v>
      </c>
      <c r="J485" s="1">
        <v>3.0</v>
      </c>
      <c r="L485" s="2" t="s">
        <v>60</v>
      </c>
      <c r="M485" s="1" t="s">
        <v>1435</v>
      </c>
      <c r="N485" s="1" t="s">
        <v>62</v>
      </c>
      <c r="O485" s="1" t="s">
        <v>521</v>
      </c>
      <c r="P485" s="1" t="s">
        <v>522</v>
      </c>
      <c r="Q485" s="1">
        <v>11.906</v>
      </c>
      <c r="R485" s="1">
        <v>-85.918</v>
      </c>
      <c r="S485" s="1" t="s">
        <v>148</v>
      </c>
      <c r="T485" s="2" t="s">
        <v>149</v>
      </c>
      <c r="U485" s="1" t="s">
        <v>150</v>
      </c>
      <c r="V485" s="3" t="s">
        <v>97</v>
      </c>
      <c r="W485" s="1" t="s">
        <v>1436</v>
      </c>
      <c r="X485" s="1" t="s">
        <v>70</v>
      </c>
      <c r="Y485" s="6" t="s">
        <v>76</v>
      </c>
      <c r="Z485" s="3" t="s">
        <v>76</v>
      </c>
      <c r="AB485" s="1">
        <v>5.0</v>
      </c>
      <c r="AI485" s="11" t="s">
        <v>523</v>
      </c>
      <c r="AJ485" s="1">
        <v>850.0</v>
      </c>
      <c r="AK485" s="1">
        <v>2004.0</v>
      </c>
      <c r="AL485" s="2" t="s">
        <v>73</v>
      </c>
      <c r="AM485" s="2" t="s">
        <v>60</v>
      </c>
      <c r="AN485" s="2" t="s">
        <v>132</v>
      </c>
      <c r="AO485" s="2" t="s">
        <v>72</v>
      </c>
      <c r="AQ485" s="2" t="s">
        <v>102</v>
      </c>
      <c r="AR485" s="2" t="s">
        <v>60</v>
      </c>
      <c r="AS485" s="1">
        <v>1535.0</v>
      </c>
      <c r="AT485" s="1">
        <v>1535.0</v>
      </c>
      <c r="AU485" s="1">
        <v>863.0</v>
      </c>
      <c r="AV485" s="1">
        <v>2.0</v>
      </c>
      <c r="AW485" s="1">
        <v>16.0</v>
      </c>
      <c r="AX485" s="1">
        <v>9899.0</v>
      </c>
      <c r="AY485" s="1">
        <v>43.0</v>
      </c>
      <c r="AZ485" s="1" t="s">
        <v>525</v>
      </c>
      <c r="BA485" s="1" t="s">
        <v>104</v>
      </c>
    </row>
    <row r="486">
      <c r="A486" s="1" t="s">
        <v>1428</v>
      </c>
      <c r="B486" s="1" t="s">
        <v>53</v>
      </c>
      <c r="C486" s="1">
        <v>2019.0</v>
      </c>
      <c r="D486" s="1" t="s">
        <v>1429</v>
      </c>
      <c r="E486" s="1" t="s">
        <v>1430</v>
      </c>
      <c r="F486" s="1" t="s">
        <v>1431</v>
      </c>
      <c r="G486" s="1" t="s">
        <v>1432</v>
      </c>
      <c r="H486" s="1" t="s">
        <v>1433</v>
      </c>
      <c r="I486" s="1">
        <v>2.0</v>
      </c>
      <c r="J486" s="1">
        <v>3.0</v>
      </c>
      <c r="L486" s="2" t="s">
        <v>60</v>
      </c>
      <c r="M486" s="1" t="s">
        <v>1437</v>
      </c>
      <c r="N486" s="1" t="s">
        <v>62</v>
      </c>
      <c r="O486" s="1" t="s">
        <v>521</v>
      </c>
      <c r="P486" s="1" t="s">
        <v>522</v>
      </c>
      <c r="Q486" s="1">
        <v>11.906</v>
      </c>
      <c r="R486" s="1">
        <v>-85.918</v>
      </c>
      <c r="S486" s="1" t="s">
        <v>148</v>
      </c>
      <c r="T486" s="3" t="s">
        <v>1150</v>
      </c>
      <c r="U486" s="3" t="s">
        <v>156</v>
      </c>
      <c r="V486" s="3" t="s">
        <v>788</v>
      </c>
      <c r="W486" s="1" t="s">
        <v>82</v>
      </c>
      <c r="X486" s="2" t="s">
        <v>158</v>
      </c>
      <c r="Y486" s="6" t="s">
        <v>76</v>
      </c>
      <c r="Z486" s="3" t="s">
        <v>76</v>
      </c>
      <c r="AB486" s="1">
        <v>5.0</v>
      </c>
      <c r="AI486" s="11" t="s">
        <v>523</v>
      </c>
      <c r="AJ486" s="1">
        <v>850.0</v>
      </c>
      <c r="AK486" s="1">
        <v>2004.0</v>
      </c>
      <c r="AL486" s="2" t="s">
        <v>73</v>
      </c>
      <c r="AM486" s="2" t="s">
        <v>60</v>
      </c>
      <c r="AN486" s="2" t="s">
        <v>132</v>
      </c>
      <c r="AO486" s="2" t="s">
        <v>72</v>
      </c>
      <c r="AQ486" s="2" t="s">
        <v>102</v>
      </c>
      <c r="AR486" s="2" t="s">
        <v>60</v>
      </c>
      <c r="AS486" s="1">
        <v>1535.0</v>
      </c>
      <c r="AT486" s="1">
        <v>1535.0</v>
      </c>
      <c r="AU486" s="1">
        <v>863.0</v>
      </c>
      <c r="AV486" s="1">
        <v>2.0</v>
      </c>
      <c r="AW486" s="1">
        <v>16.0</v>
      </c>
      <c r="AX486" s="1">
        <v>9899.0</v>
      </c>
      <c r="AY486" s="1">
        <v>43.0</v>
      </c>
      <c r="AZ486" s="1" t="s">
        <v>525</v>
      </c>
      <c r="BA486" s="1" t="s">
        <v>104</v>
      </c>
    </row>
    <row r="487">
      <c r="A487" s="1" t="s">
        <v>1428</v>
      </c>
      <c r="B487" s="1" t="s">
        <v>53</v>
      </c>
      <c r="C487" s="1">
        <v>2019.0</v>
      </c>
      <c r="D487" s="1" t="s">
        <v>1429</v>
      </c>
      <c r="E487" s="1" t="s">
        <v>1430</v>
      </c>
      <c r="F487" s="1" t="s">
        <v>1431</v>
      </c>
      <c r="G487" s="1" t="s">
        <v>1432</v>
      </c>
      <c r="H487" s="1" t="s">
        <v>1433</v>
      </c>
      <c r="I487" s="1">
        <v>2.0</v>
      </c>
      <c r="J487" s="1">
        <v>3.0</v>
      </c>
      <c r="L487" s="2" t="s">
        <v>60</v>
      </c>
      <c r="M487" s="1" t="s">
        <v>1438</v>
      </c>
      <c r="N487" s="1" t="s">
        <v>62</v>
      </c>
      <c r="O487" s="1" t="s">
        <v>521</v>
      </c>
      <c r="P487" s="1" t="s">
        <v>522</v>
      </c>
      <c r="Q487" s="1">
        <v>11.906</v>
      </c>
      <c r="R487" s="1">
        <v>-85.918</v>
      </c>
      <c r="S487" s="1" t="s">
        <v>148</v>
      </c>
      <c r="T487" s="2" t="s">
        <v>352</v>
      </c>
      <c r="U487" s="7" t="s">
        <v>353</v>
      </c>
      <c r="V487" s="3" t="s">
        <v>116</v>
      </c>
      <c r="W487" s="1" t="s">
        <v>344</v>
      </c>
      <c r="X487" s="1" t="s">
        <v>70</v>
      </c>
      <c r="Y487" s="6" t="s">
        <v>76</v>
      </c>
      <c r="Z487" s="3" t="s">
        <v>76</v>
      </c>
      <c r="AB487" s="1">
        <v>5.0</v>
      </c>
      <c r="AI487" s="11" t="s">
        <v>523</v>
      </c>
      <c r="AJ487" s="1">
        <v>850.0</v>
      </c>
      <c r="AK487" s="1">
        <v>2004.0</v>
      </c>
      <c r="AL487" s="2" t="s">
        <v>73</v>
      </c>
      <c r="AM487" s="2" t="s">
        <v>60</v>
      </c>
      <c r="AN487" s="2" t="s">
        <v>132</v>
      </c>
      <c r="AO487" s="2" t="s">
        <v>72</v>
      </c>
      <c r="AQ487" s="2" t="s">
        <v>102</v>
      </c>
      <c r="AR487" s="2" t="s">
        <v>60</v>
      </c>
      <c r="AS487" s="1">
        <v>1535.0</v>
      </c>
      <c r="AT487" s="1">
        <v>1535.0</v>
      </c>
      <c r="AU487" s="1">
        <v>863.0</v>
      </c>
      <c r="AV487" s="1">
        <v>2.0</v>
      </c>
      <c r="AW487" s="1">
        <v>16.0</v>
      </c>
      <c r="AX487" s="1">
        <v>9899.0</v>
      </c>
      <c r="AY487" s="1">
        <v>43.0</v>
      </c>
      <c r="AZ487" s="1" t="s">
        <v>525</v>
      </c>
      <c r="BA487" s="1" t="s">
        <v>104</v>
      </c>
    </row>
    <row r="488">
      <c r="A488" s="1" t="s">
        <v>616</v>
      </c>
      <c r="B488" s="1" t="s">
        <v>53</v>
      </c>
      <c r="C488" s="1">
        <v>2019.0</v>
      </c>
      <c r="D488" s="1" t="s">
        <v>617</v>
      </c>
      <c r="E488" s="1" t="s">
        <v>618</v>
      </c>
      <c r="F488" s="1" t="s">
        <v>583</v>
      </c>
      <c r="G488" s="1" t="s">
        <v>619</v>
      </c>
      <c r="H488" s="1" t="s">
        <v>620</v>
      </c>
      <c r="I488" s="1">
        <v>29.0</v>
      </c>
      <c r="J488" s="1">
        <v>11.0</v>
      </c>
      <c r="K488" s="2" t="s">
        <v>621</v>
      </c>
      <c r="L488" s="2" t="s">
        <v>60</v>
      </c>
      <c r="M488" s="1" t="s">
        <v>622</v>
      </c>
      <c r="N488" s="1" t="s">
        <v>62</v>
      </c>
      <c r="O488" s="1" t="s">
        <v>112</v>
      </c>
      <c r="P488" s="1" t="s">
        <v>623</v>
      </c>
      <c r="Q488" s="1">
        <v>10.730842</v>
      </c>
      <c r="R488" s="1">
        <v>-85.264185</v>
      </c>
      <c r="S488" s="1" t="s">
        <v>148</v>
      </c>
      <c r="T488" s="2" t="s">
        <v>66</v>
      </c>
      <c r="U488" s="3" t="s">
        <v>67</v>
      </c>
      <c r="V488" s="3" t="s">
        <v>68</v>
      </c>
      <c r="W488" s="1" t="s">
        <v>624</v>
      </c>
      <c r="X488" s="1" t="s">
        <v>70</v>
      </c>
      <c r="Y488" s="5" t="s">
        <v>60</v>
      </c>
      <c r="Z488" s="3" t="s">
        <v>625</v>
      </c>
      <c r="AB488" s="1">
        <v>10.0</v>
      </c>
      <c r="AI488" s="1" t="s">
        <v>626</v>
      </c>
      <c r="AJ488" s="1">
        <v>-2250.0</v>
      </c>
      <c r="AK488" s="1">
        <v>2014.0</v>
      </c>
      <c r="AL488" s="2" t="s">
        <v>73</v>
      </c>
      <c r="AM488" s="3" t="s">
        <v>72</v>
      </c>
      <c r="AN488" s="2" t="s">
        <v>132</v>
      </c>
      <c r="AO488" s="2" t="s">
        <v>72</v>
      </c>
      <c r="AQ488" s="2" t="s">
        <v>102</v>
      </c>
      <c r="AR488" s="2" t="s">
        <v>76</v>
      </c>
      <c r="AS488" s="1">
        <v>2220.0</v>
      </c>
      <c r="AT488" s="1">
        <v>2220.0</v>
      </c>
      <c r="AU488" s="1">
        <v>951.0</v>
      </c>
      <c r="AV488" s="1">
        <v>22.0</v>
      </c>
      <c r="AW488" s="1">
        <v>105.0</v>
      </c>
      <c r="AX488" s="1">
        <v>6837.0</v>
      </c>
      <c r="AY488" s="1">
        <v>690.0</v>
      </c>
      <c r="AZ488" s="1" t="s">
        <v>627</v>
      </c>
      <c r="BA488" s="1" t="s">
        <v>121</v>
      </c>
    </row>
    <row r="489">
      <c r="A489" s="1" t="s">
        <v>616</v>
      </c>
      <c r="B489" s="1" t="s">
        <v>53</v>
      </c>
      <c r="C489" s="1">
        <v>2019.0</v>
      </c>
      <c r="D489" s="1" t="s">
        <v>617</v>
      </c>
      <c r="E489" s="1" t="s">
        <v>618</v>
      </c>
      <c r="F489" s="1" t="s">
        <v>583</v>
      </c>
      <c r="G489" s="1" t="s">
        <v>619</v>
      </c>
      <c r="H489" s="1" t="s">
        <v>620</v>
      </c>
      <c r="I489" s="1">
        <v>29.0</v>
      </c>
      <c r="J489" s="1">
        <v>11.0</v>
      </c>
      <c r="K489" s="2" t="s">
        <v>621</v>
      </c>
      <c r="L489" s="2" t="s">
        <v>60</v>
      </c>
      <c r="M489" s="1" t="s">
        <v>639</v>
      </c>
      <c r="N489" s="1" t="s">
        <v>62</v>
      </c>
      <c r="O489" s="1" t="s">
        <v>112</v>
      </c>
      <c r="P489" s="1" t="s">
        <v>623</v>
      </c>
      <c r="Q489" s="1">
        <v>10.730842</v>
      </c>
      <c r="R489" s="1">
        <v>-85.264185</v>
      </c>
      <c r="S489" s="1" t="s">
        <v>148</v>
      </c>
      <c r="T489" s="2" t="s">
        <v>80</v>
      </c>
      <c r="U489" s="3" t="s">
        <v>81</v>
      </c>
      <c r="V489" s="3" t="s">
        <v>68</v>
      </c>
      <c r="W489" s="1" t="s">
        <v>640</v>
      </c>
      <c r="X489" s="2" t="s">
        <v>641</v>
      </c>
      <c r="Y489" s="6" t="s">
        <v>76</v>
      </c>
      <c r="Z489" s="3" t="s">
        <v>84</v>
      </c>
      <c r="AB489" s="1">
        <v>10.0</v>
      </c>
      <c r="AI489" s="1" t="s">
        <v>626</v>
      </c>
      <c r="AJ489" s="1">
        <v>-2250.0</v>
      </c>
      <c r="AK489" s="1">
        <v>2014.0</v>
      </c>
      <c r="AL489" s="2" t="s">
        <v>73</v>
      </c>
      <c r="AM489" s="3" t="s">
        <v>72</v>
      </c>
      <c r="AN489" s="2" t="s">
        <v>132</v>
      </c>
      <c r="AO489" s="2" t="s">
        <v>72</v>
      </c>
      <c r="AQ489" s="2" t="s">
        <v>102</v>
      </c>
      <c r="AR489" s="2" t="s">
        <v>76</v>
      </c>
      <c r="AS489" s="1">
        <v>2220.0</v>
      </c>
      <c r="AT489" s="1">
        <v>2220.0</v>
      </c>
      <c r="AU489" s="1">
        <v>951.0</v>
      </c>
      <c r="AV489" s="1">
        <v>22.0</v>
      </c>
      <c r="AW489" s="1">
        <v>105.0</v>
      </c>
      <c r="AX489" s="1">
        <v>6837.0</v>
      </c>
      <c r="AY489" s="1">
        <v>690.0</v>
      </c>
      <c r="AZ489" s="1" t="s">
        <v>627</v>
      </c>
      <c r="BA489" s="1" t="s">
        <v>121</v>
      </c>
    </row>
    <row r="490">
      <c r="A490" s="1" t="s">
        <v>616</v>
      </c>
      <c r="B490" s="1" t="s">
        <v>53</v>
      </c>
      <c r="C490" s="1">
        <v>2019.0</v>
      </c>
      <c r="D490" s="1" t="s">
        <v>617</v>
      </c>
      <c r="E490" s="1" t="s">
        <v>618</v>
      </c>
      <c r="F490" s="1" t="s">
        <v>583</v>
      </c>
      <c r="G490" s="1" t="s">
        <v>619</v>
      </c>
      <c r="H490" s="1" t="s">
        <v>620</v>
      </c>
      <c r="I490" s="1">
        <v>29.0</v>
      </c>
      <c r="J490" s="1">
        <v>11.0</v>
      </c>
      <c r="K490" s="2" t="s">
        <v>621</v>
      </c>
      <c r="L490" s="2" t="s">
        <v>60</v>
      </c>
      <c r="M490" s="1" t="s">
        <v>642</v>
      </c>
      <c r="N490" s="1" t="s">
        <v>62</v>
      </c>
      <c r="O490" s="1" t="s">
        <v>112</v>
      </c>
      <c r="P490" s="1" t="s">
        <v>623</v>
      </c>
      <c r="Q490" s="1">
        <v>10.730842</v>
      </c>
      <c r="R490" s="1">
        <v>-85.264185</v>
      </c>
      <c r="S490" s="1" t="s">
        <v>148</v>
      </c>
      <c r="T490" s="2" t="s">
        <v>135</v>
      </c>
      <c r="U490" s="3" t="s">
        <v>67</v>
      </c>
      <c r="V490" s="3" t="s">
        <v>68</v>
      </c>
      <c r="W490" s="1" t="s">
        <v>643</v>
      </c>
      <c r="X490" s="2" t="s">
        <v>99</v>
      </c>
      <c r="Y490" s="6" t="s">
        <v>76</v>
      </c>
      <c r="Z490" s="3" t="s">
        <v>411</v>
      </c>
      <c r="AB490" s="1">
        <v>10.0</v>
      </c>
      <c r="AI490" s="1" t="s">
        <v>626</v>
      </c>
      <c r="AJ490" s="1">
        <v>-2250.0</v>
      </c>
      <c r="AK490" s="1">
        <v>2014.0</v>
      </c>
      <c r="AL490" s="2" t="s">
        <v>73</v>
      </c>
      <c r="AM490" s="3" t="s">
        <v>72</v>
      </c>
      <c r="AN490" s="2" t="s">
        <v>132</v>
      </c>
      <c r="AO490" s="2" t="s">
        <v>72</v>
      </c>
      <c r="AQ490" s="2" t="s">
        <v>102</v>
      </c>
      <c r="AR490" s="2" t="s">
        <v>76</v>
      </c>
      <c r="AS490" s="1">
        <v>2220.0</v>
      </c>
      <c r="AT490" s="1">
        <v>2220.0</v>
      </c>
      <c r="AU490" s="1">
        <v>951.0</v>
      </c>
      <c r="AV490" s="1">
        <v>22.0</v>
      </c>
      <c r="AW490" s="1">
        <v>105.0</v>
      </c>
      <c r="AX490" s="1">
        <v>6837.0</v>
      </c>
      <c r="AY490" s="1">
        <v>690.0</v>
      </c>
      <c r="AZ490" s="1" t="s">
        <v>627</v>
      </c>
      <c r="BA490" s="1" t="s">
        <v>121</v>
      </c>
    </row>
    <row r="491">
      <c r="A491" s="1" t="s">
        <v>616</v>
      </c>
      <c r="B491" s="1" t="s">
        <v>53</v>
      </c>
      <c r="C491" s="1">
        <v>2019.0</v>
      </c>
      <c r="D491" s="1" t="s">
        <v>617</v>
      </c>
      <c r="E491" s="1" t="s">
        <v>618</v>
      </c>
      <c r="F491" s="1" t="s">
        <v>583</v>
      </c>
      <c r="G491" s="1" t="s">
        <v>619</v>
      </c>
      <c r="H491" s="1" t="s">
        <v>620</v>
      </c>
      <c r="I491" s="1">
        <v>29.0</v>
      </c>
      <c r="J491" s="1">
        <v>11.0</v>
      </c>
      <c r="K491" s="2" t="s">
        <v>621</v>
      </c>
      <c r="L491" s="2" t="s">
        <v>60</v>
      </c>
      <c r="M491" s="1" t="s">
        <v>644</v>
      </c>
      <c r="N491" s="1" t="s">
        <v>62</v>
      </c>
      <c r="O491" s="1" t="s">
        <v>112</v>
      </c>
      <c r="P491" s="1" t="s">
        <v>623</v>
      </c>
      <c r="Q491" s="1">
        <v>10.730842</v>
      </c>
      <c r="R491" s="1">
        <v>-85.264185</v>
      </c>
      <c r="S491" s="1" t="s">
        <v>148</v>
      </c>
      <c r="T491" s="2" t="s">
        <v>169</v>
      </c>
      <c r="U491" s="9" t="s">
        <v>173</v>
      </c>
      <c r="V491" s="3" t="s">
        <v>116</v>
      </c>
      <c r="W491" s="2" t="s">
        <v>645</v>
      </c>
      <c r="X491" s="2" t="s">
        <v>72</v>
      </c>
      <c r="Y491" s="5" t="s">
        <v>76</v>
      </c>
      <c r="Z491" s="3" t="s">
        <v>173</v>
      </c>
      <c r="AB491" s="1">
        <v>10.0</v>
      </c>
      <c r="AI491" s="1" t="s">
        <v>626</v>
      </c>
      <c r="AJ491" s="1">
        <v>-2250.0</v>
      </c>
      <c r="AK491" s="1">
        <v>2014.0</v>
      </c>
      <c r="AL491" s="2" t="s">
        <v>73</v>
      </c>
      <c r="AM491" s="3" t="s">
        <v>72</v>
      </c>
      <c r="AN491" s="2" t="s">
        <v>132</v>
      </c>
      <c r="AO491" s="2" t="s">
        <v>72</v>
      </c>
      <c r="AQ491" s="2" t="s">
        <v>102</v>
      </c>
      <c r="AR491" s="2" t="s">
        <v>76</v>
      </c>
      <c r="AS491" s="1">
        <v>2220.0</v>
      </c>
      <c r="AT491" s="1">
        <v>2220.0</v>
      </c>
      <c r="AU491" s="1">
        <v>951.0</v>
      </c>
      <c r="AV491" s="1">
        <v>22.0</v>
      </c>
      <c r="AW491" s="1">
        <v>105.0</v>
      </c>
      <c r="AX491" s="1">
        <v>6837.0</v>
      </c>
      <c r="AY491" s="1">
        <v>690.0</v>
      </c>
      <c r="AZ491" s="1" t="s">
        <v>627</v>
      </c>
      <c r="BA491" s="1" t="s">
        <v>121</v>
      </c>
    </row>
    <row r="492">
      <c r="A492" s="1" t="s">
        <v>526</v>
      </c>
      <c r="B492" s="1" t="s">
        <v>53</v>
      </c>
      <c r="C492" s="1">
        <v>2019.0</v>
      </c>
      <c r="D492" s="1" t="s">
        <v>527</v>
      </c>
      <c r="E492" s="1" t="s">
        <v>528</v>
      </c>
      <c r="F492" s="1" t="s">
        <v>529</v>
      </c>
      <c r="G492" s="1" t="s">
        <v>530</v>
      </c>
      <c r="H492" s="1" t="s">
        <v>531</v>
      </c>
      <c r="I492" s="1">
        <v>331.0</v>
      </c>
      <c r="K492" s="2" t="s">
        <v>532</v>
      </c>
      <c r="L492" s="2" t="s">
        <v>60</v>
      </c>
      <c r="M492" s="1" t="s">
        <v>533</v>
      </c>
      <c r="N492" s="1" t="s">
        <v>62</v>
      </c>
      <c r="O492" s="1" t="s">
        <v>187</v>
      </c>
      <c r="P492" s="1" t="s">
        <v>534</v>
      </c>
      <c r="Q492" s="1">
        <v>17.824612</v>
      </c>
      <c r="R492" s="1">
        <v>-88.889705</v>
      </c>
      <c r="S492" s="1" t="s">
        <v>535</v>
      </c>
      <c r="T492" s="2" t="s">
        <v>66</v>
      </c>
      <c r="U492" s="3" t="s">
        <v>67</v>
      </c>
      <c r="V492" s="3" t="s">
        <v>68</v>
      </c>
      <c r="W492" s="2" t="s">
        <v>72</v>
      </c>
      <c r="X492" s="2" t="s">
        <v>72</v>
      </c>
      <c r="Y492" s="5" t="s">
        <v>60</v>
      </c>
      <c r="Z492" s="3" t="s">
        <v>118</v>
      </c>
      <c r="AB492" s="1">
        <v>4.0</v>
      </c>
      <c r="AI492" s="2" t="s">
        <v>72</v>
      </c>
      <c r="AJ492" s="1">
        <v>225.0</v>
      </c>
      <c r="AK492" s="1">
        <v>2014.0</v>
      </c>
      <c r="AL492" s="2" t="s">
        <v>153</v>
      </c>
      <c r="AM492" s="2" t="s">
        <v>72</v>
      </c>
      <c r="AN492" s="2" t="s">
        <v>72</v>
      </c>
      <c r="AO492" s="2" t="s">
        <v>72</v>
      </c>
      <c r="AQ492" s="2" t="s">
        <v>75</v>
      </c>
      <c r="AR492" s="2" t="s">
        <v>76</v>
      </c>
      <c r="AS492" s="1">
        <v>1512.0</v>
      </c>
      <c r="AT492" s="1">
        <v>1512.0</v>
      </c>
      <c r="AU492" s="1">
        <v>605.0</v>
      </c>
      <c r="AV492" s="1">
        <v>38.0</v>
      </c>
      <c r="AW492" s="1">
        <v>124.0</v>
      </c>
      <c r="AX492" s="1">
        <v>5497.0</v>
      </c>
      <c r="AY492" s="1">
        <v>46.0</v>
      </c>
      <c r="AZ492" s="1" t="s">
        <v>133</v>
      </c>
      <c r="BA492" s="1" t="s">
        <v>121</v>
      </c>
    </row>
    <row r="493">
      <c r="A493" s="1" t="s">
        <v>526</v>
      </c>
      <c r="B493" s="1" t="s">
        <v>53</v>
      </c>
      <c r="C493" s="1">
        <v>2019.0</v>
      </c>
      <c r="D493" s="1" t="s">
        <v>527</v>
      </c>
      <c r="E493" s="1" t="s">
        <v>528</v>
      </c>
      <c r="F493" s="1" t="s">
        <v>529</v>
      </c>
      <c r="G493" s="1" t="s">
        <v>530</v>
      </c>
      <c r="H493" s="1" t="s">
        <v>531</v>
      </c>
      <c r="I493" s="1">
        <v>331.0</v>
      </c>
      <c r="K493" s="2" t="s">
        <v>532</v>
      </c>
      <c r="L493" s="2" t="s">
        <v>60</v>
      </c>
      <c r="M493" s="1" t="s">
        <v>536</v>
      </c>
      <c r="N493" s="1" t="s">
        <v>62</v>
      </c>
      <c r="O493" s="1" t="s">
        <v>187</v>
      </c>
      <c r="P493" s="1" t="s">
        <v>534</v>
      </c>
      <c r="Q493" s="1">
        <v>17.824612</v>
      </c>
      <c r="R493" s="1">
        <v>-88.889705</v>
      </c>
      <c r="S493" s="1" t="s">
        <v>535</v>
      </c>
      <c r="T493" s="3" t="s">
        <v>80</v>
      </c>
      <c r="U493" s="3" t="s">
        <v>81</v>
      </c>
      <c r="V493" s="3" t="s">
        <v>68</v>
      </c>
      <c r="W493" s="2" t="s">
        <v>72</v>
      </c>
      <c r="X493" s="2" t="s">
        <v>72</v>
      </c>
      <c r="Y493" s="6" t="s">
        <v>76</v>
      </c>
      <c r="Z493" s="3" t="s">
        <v>84</v>
      </c>
      <c r="AB493" s="1">
        <v>4.0</v>
      </c>
      <c r="AI493" s="2" t="s">
        <v>72</v>
      </c>
      <c r="AJ493" s="1">
        <v>225.0</v>
      </c>
      <c r="AK493" s="1">
        <v>2014.0</v>
      </c>
      <c r="AL493" s="2" t="s">
        <v>153</v>
      </c>
      <c r="AM493" s="2" t="s">
        <v>72</v>
      </c>
      <c r="AN493" s="2" t="s">
        <v>72</v>
      </c>
      <c r="AO493" s="2" t="s">
        <v>72</v>
      </c>
      <c r="AQ493" s="2" t="s">
        <v>75</v>
      </c>
      <c r="AR493" s="2" t="s">
        <v>76</v>
      </c>
      <c r="AS493" s="1">
        <v>1512.0</v>
      </c>
      <c r="AT493" s="1">
        <v>1512.0</v>
      </c>
      <c r="AU493" s="1">
        <v>605.0</v>
      </c>
      <c r="AV493" s="1">
        <v>38.0</v>
      </c>
      <c r="AW493" s="1">
        <v>124.0</v>
      </c>
      <c r="AX493" s="1">
        <v>5497.0</v>
      </c>
      <c r="AY493" s="1">
        <v>46.0</v>
      </c>
      <c r="AZ493" s="1" t="s">
        <v>133</v>
      </c>
      <c r="BA493" s="1" t="s">
        <v>121</v>
      </c>
    </row>
    <row r="494">
      <c r="A494" s="1" t="s">
        <v>526</v>
      </c>
      <c r="B494" s="1" t="s">
        <v>53</v>
      </c>
      <c r="C494" s="1">
        <v>2019.0</v>
      </c>
      <c r="D494" s="1" t="s">
        <v>527</v>
      </c>
      <c r="E494" s="1" t="s">
        <v>528</v>
      </c>
      <c r="F494" s="1" t="s">
        <v>529</v>
      </c>
      <c r="G494" s="1" t="s">
        <v>530</v>
      </c>
      <c r="H494" s="1" t="s">
        <v>531</v>
      </c>
      <c r="I494" s="1">
        <v>331.0</v>
      </c>
      <c r="K494" s="2" t="s">
        <v>532</v>
      </c>
      <c r="L494" s="2" t="s">
        <v>60</v>
      </c>
      <c r="M494" s="1" t="s">
        <v>537</v>
      </c>
      <c r="N494" s="1" t="s">
        <v>62</v>
      </c>
      <c r="O494" s="1" t="s">
        <v>187</v>
      </c>
      <c r="P494" s="1" t="s">
        <v>534</v>
      </c>
      <c r="Q494" s="1">
        <v>17.824612</v>
      </c>
      <c r="R494" s="1">
        <v>-88.889705</v>
      </c>
      <c r="S494" s="1" t="s">
        <v>535</v>
      </c>
      <c r="T494" s="2" t="s">
        <v>194</v>
      </c>
      <c r="U494" s="1" t="s">
        <v>173</v>
      </c>
      <c r="V494" s="3" t="s">
        <v>68</v>
      </c>
      <c r="W494" s="1" t="s">
        <v>286</v>
      </c>
      <c r="X494" s="1" t="s">
        <v>70</v>
      </c>
      <c r="Y494" s="6" t="s">
        <v>76</v>
      </c>
      <c r="Z494" s="1" t="s">
        <v>173</v>
      </c>
      <c r="AB494" s="1">
        <v>4.0</v>
      </c>
      <c r="AI494" s="2" t="s">
        <v>72</v>
      </c>
      <c r="AJ494" s="1">
        <v>225.0</v>
      </c>
      <c r="AK494" s="1">
        <v>2014.0</v>
      </c>
      <c r="AL494" s="2" t="s">
        <v>153</v>
      </c>
      <c r="AM494" s="2" t="s">
        <v>72</v>
      </c>
      <c r="AN494" s="2" t="s">
        <v>72</v>
      </c>
      <c r="AO494" s="2" t="s">
        <v>72</v>
      </c>
      <c r="AQ494" s="2" t="s">
        <v>75</v>
      </c>
      <c r="AR494" s="2" t="s">
        <v>76</v>
      </c>
      <c r="AS494" s="1">
        <v>1512.0</v>
      </c>
      <c r="AT494" s="1">
        <v>1512.0</v>
      </c>
      <c r="AU494" s="1">
        <v>605.0</v>
      </c>
      <c r="AV494" s="1">
        <v>38.0</v>
      </c>
      <c r="AW494" s="1">
        <v>124.0</v>
      </c>
      <c r="AX494" s="1">
        <v>5497.0</v>
      </c>
      <c r="AY494" s="1">
        <v>46.0</v>
      </c>
      <c r="AZ494" s="1" t="s">
        <v>133</v>
      </c>
      <c r="BA494" s="1" t="s">
        <v>121</v>
      </c>
    </row>
    <row r="495">
      <c r="A495" s="1" t="s">
        <v>526</v>
      </c>
      <c r="B495" s="1" t="s">
        <v>53</v>
      </c>
      <c r="C495" s="1">
        <v>2019.0</v>
      </c>
      <c r="D495" s="1" t="s">
        <v>527</v>
      </c>
      <c r="E495" s="1" t="s">
        <v>528</v>
      </c>
      <c r="F495" s="1" t="s">
        <v>529</v>
      </c>
      <c r="G495" s="1" t="s">
        <v>530</v>
      </c>
      <c r="H495" s="1" t="s">
        <v>531</v>
      </c>
      <c r="I495" s="1">
        <v>331.0</v>
      </c>
      <c r="K495" s="2" t="s">
        <v>532</v>
      </c>
      <c r="L495" s="2" t="s">
        <v>60</v>
      </c>
      <c r="M495" s="1" t="s">
        <v>538</v>
      </c>
      <c r="N495" s="1" t="s">
        <v>62</v>
      </c>
      <c r="O495" s="1" t="s">
        <v>187</v>
      </c>
      <c r="P495" s="1" t="s">
        <v>534</v>
      </c>
      <c r="Q495" s="1">
        <v>17.824612</v>
      </c>
      <c r="R495" s="1">
        <v>-88.889705</v>
      </c>
      <c r="S495" s="1" t="s">
        <v>535</v>
      </c>
      <c r="T495" s="2" t="s">
        <v>189</v>
      </c>
      <c r="U495" s="1" t="s">
        <v>173</v>
      </c>
      <c r="V495" s="3" t="s">
        <v>68</v>
      </c>
      <c r="W495" s="1" t="s">
        <v>284</v>
      </c>
      <c r="X495" s="1" t="s">
        <v>70</v>
      </c>
      <c r="Y495" s="6" t="s">
        <v>76</v>
      </c>
      <c r="Z495" s="1" t="s">
        <v>173</v>
      </c>
      <c r="AB495" s="1">
        <v>4.0</v>
      </c>
      <c r="AI495" s="2" t="s">
        <v>72</v>
      </c>
      <c r="AJ495" s="1">
        <v>225.0</v>
      </c>
      <c r="AK495" s="1">
        <v>2014.0</v>
      </c>
      <c r="AL495" s="2" t="s">
        <v>153</v>
      </c>
      <c r="AM495" s="2" t="s">
        <v>72</v>
      </c>
      <c r="AN495" s="2" t="s">
        <v>72</v>
      </c>
      <c r="AO495" s="2" t="s">
        <v>72</v>
      </c>
      <c r="AQ495" s="2" t="s">
        <v>75</v>
      </c>
      <c r="AR495" s="2" t="s">
        <v>76</v>
      </c>
      <c r="AS495" s="1">
        <v>1512.0</v>
      </c>
      <c r="AT495" s="1">
        <v>1512.0</v>
      </c>
      <c r="AU495" s="1">
        <v>605.0</v>
      </c>
      <c r="AV495" s="1">
        <v>38.0</v>
      </c>
      <c r="AW495" s="1">
        <v>124.0</v>
      </c>
      <c r="AX495" s="1">
        <v>5497.0</v>
      </c>
      <c r="AY495" s="1">
        <v>46.0</v>
      </c>
      <c r="AZ495" s="1" t="s">
        <v>133</v>
      </c>
      <c r="BA495" s="1" t="s">
        <v>121</v>
      </c>
    </row>
    <row r="496">
      <c r="A496" s="1" t="s">
        <v>526</v>
      </c>
      <c r="B496" s="1" t="s">
        <v>53</v>
      </c>
      <c r="C496" s="1">
        <v>2019.0</v>
      </c>
      <c r="D496" s="1" t="s">
        <v>527</v>
      </c>
      <c r="E496" s="1" t="s">
        <v>528</v>
      </c>
      <c r="F496" s="1" t="s">
        <v>529</v>
      </c>
      <c r="G496" s="1" t="s">
        <v>530</v>
      </c>
      <c r="H496" s="1" t="s">
        <v>531</v>
      </c>
      <c r="I496" s="1">
        <v>331.0</v>
      </c>
      <c r="K496" s="2" t="s">
        <v>532</v>
      </c>
      <c r="L496" s="2" t="s">
        <v>60</v>
      </c>
      <c r="M496" s="1" t="s">
        <v>539</v>
      </c>
      <c r="N496" s="1" t="s">
        <v>62</v>
      </c>
      <c r="O496" s="1" t="s">
        <v>187</v>
      </c>
      <c r="P496" s="1" t="s">
        <v>534</v>
      </c>
      <c r="Q496" s="1">
        <v>17.824612</v>
      </c>
      <c r="R496" s="1">
        <v>-88.889705</v>
      </c>
      <c r="S496" s="1" t="s">
        <v>535</v>
      </c>
      <c r="T496" s="2" t="s">
        <v>169</v>
      </c>
      <c r="U496" s="2" t="s">
        <v>540</v>
      </c>
      <c r="V496" s="3" t="s">
        <v>68</v>
      </c>
      <c r="W496" s="1" t="s">
        <v>541</v>
      </c>
      <c r="X496" s="1" t="s">
        <v>70</v>
      </c>
      <c r="Y496" s="6" t="s">
        <v>76</v>
      </c>
      <c r="Z496" s="1" t="s">
        <v>173</v>
      </c>
      <c r="AB496" s="1">
        <v>4.0</v>
      </c>
      <c r="AI496" s="2" t="s">
        <v>72</v>
      </c>
      <c r="AJ496" s="1">
        <v>225.0</v>
      </c>
      <c r="AK496" s="1">
        <v>2014.0</v>
      </c>
      <c r="AL496" s="2" t="s">
        <v>153</v>
      </c>
      <c r="AM496" s="2" t="s">
        <v>72</v>
      </c>
      <c r="AN496" s="2" t="s">
        <v>72</v>
      </c>
      <c r="AO496" s="2" t="s">
        <v>72</v>
      </c>
      <c r="AQ496" s="2" t="s">
        <v>75</v>
      </c>
      <c r="AR496" s="2" t="s">
        <v>76</v>
      </c>
      <c r="AS496" s="1">
        <v>1512.0</v>
      </c>
      <c r="AT496" s="1">
        <v>1512.0</v>
      </c>
      <c r="AU496" s="1">
        <v>605.0</v>
      </c>
      <c r="AV496" s="1">
        <v>38.0</v>
      </c>
      <c r="AW496" s="1">
        <v>124.0</v>
      </c>
      <c r="AX496" s="1">
        <v>5497.0</v>
      </c>
      <c r="AY496" s="1">
        <v>46.0</v>
      </c>
      <c r="AZ496" s="1" t="s">
        <v>133</v>
      </c>
      <c r="BA496" s="1" t="s">
        <v>121</v>
      </c>
    </row>
    <row r="497">
      <c r="A497" s="1" t="s">
        <v>526</v>
      </c>
      <c r="B497" s="1" t="s">
        <v>53</v>
      </c>
      <c r="C497" s="1">
        <v>2019.0</v>
      </c>
      <c r="D497" s="1" t="s">
        <v>527</v>
      </c>
      <c r="E497" s="1" t="s">
        <v>528</v>
      </c>
      <c r="F497" s="1" t="s">
        <v>529</v>
      </c>
      <c r="G497" s="1" t="s">
        <v>530</v>
      </c>
      <c r="H497" s="1" t="s">
        <v>531</v>
      </c>
      <c r="I497" s="1">
        <v>331.0</v>
      </c>
      <c r="K497" s="2" t="s">
        <v>532</v>
      </c>
      <c r="L497" s="2" t="s">
        <v>60</v>
      </c>
      <c r="M497" s="1" t="s">
        <v>542</v>
      </c>
      <c r="N497" s="1" t="s">
        <v>62</v>
      </c>
      <c r="O497" s="1" t="s">
        <v>187</v>
      </c>
      <c r="P497" s="1" t="s">
        <v>534</v>
      </c>
      <c r="Q497" s="1">
        <v>17.824612</v>
      </c>
      <c r="R497" s="1">
        <v>-88.889705</v>
      </c>
      <c r="S497" s="1" t="s">
        <v>535</v>
      </c>
      <c r="T497" s="2" t="s">
        <v>382</v>
      </c>
      <c r="U497" s="1" t="s">
        <v>173</v>
      </c>
      <c r="V497" s="3" t="s">
        <v>68</v>
      </c>
      <c r="W497" s="1" t="s">
        <v>543</v>
      </c>
      <c r="X497" s="1" t="s">
        <v>544</v>
      </c>
      <c r="Y497" s="6" t="s">
        <v>76</v>
      </c>
      <c r="Z497" s="1" t="s">
        <v>173</v>
      </c>
      <c r="AB497" s="1">
        <v>4.0</v>
      </c>
      <c r="AI497" s="2" t="s">
        <v>72</v>
      </c>
      <c r="AJ497" s="1">
        <v>225.0</v>
      </c>
      <c r="AK497" s="1">
        <v>2014.0</v>
      </c>
      <c r="AL497" s="2" t="s">
        <v>153</v>
      </c>
      <c r="AM497" s="2" t="s">
        <v>72</v>
      </c>
      <c r="AN497" s="2" t="s">
        <v>72</v>
      </c>
      <c r="AO497" s="2" t="s">
        <v>72</v>
      </c>
      <c r="AQ497" s="2" t="s">
        <v>75</v>
      </c>
      <c r="AR497" s="2" t="s">
        <v>76</v>
      </c>
      <c r="AS497" s="1">
        <v>1512.0</v>
      </c>
      <c r="AT497" s="1">
        <v>1512.0</v>
      </c>
      <c r="AU497" s="1">
        <v>605.0</v>
      </c>
      <c r="AV497" s="1">
        <v>38.0</v>
      </c>
      <c r="AW497" s="1">
        <v>124.0</v>
      </c>
      <c r="AX497" s="1">
        <v>5497.0</v>
      </c>
      <c r="AY497" s="1">
        <v>46.0</v>
      </c>
      <c r="AZ497" s="1" t="s">
        <v>133</v>
      </c>
      <c r="BA497" s="1" t="s">
        <v>121</v>
      </c>
    </row>
    <row r="498">
      <c r="A498" s="1" t="s">
        <v>526</v>
      </c>
      <c r="B498" s="1" t="s">
        <v>53</v>
      </c>
      <c r="C498" s="1">
        <v>2019.0</v>
      </c>
      <c r="D498" s="1" t="s">
        <v>527</v>
      </c>
      <c r="E498" s="1" t="s">
        <v>528</v>
      </c>
      <c r="F498" s="1" t="s">
        <v>529</v>
      </c>
      <c r="G498" s="1" t="s">
        <v>530</v>
      </c>
      <c r="H498" s="1" t="s">
        <v>531</v>
      </c>
      <c r="I498" s="1">
        <v>331.0</v>
      </c>
      <c r="K498" s="2" t="s">
        <v>532</v>
      </c>
      <c r="L498" s="2" t="s">
        <v>60</v>
      </c>
      <c r="M498" s="1" t="s">
        <v>545</v>
      </c>
      <c r="N498" s="1" t="s">
        <v>62</v>
      </c>
      <c r="O498" s="1" t="s">
        <v>187</v>
      </c>
      <c r="P498" s="1" t="s">
        <v>534</v>
      </c>
      <c r="Q498" s="1">
        <v>17.824612</v>
      </c>
      <c r="R498" s="1">
        <v>-88.889705</v>
      </c>
      <c r="S498" s="1" t="s">
        <v>535</v>
      </c>
      <c r="T498" s="2" t="s">
        <v>135</v>
      </c>
      <c r="U498" s="3" t="s">
        <v>546</v>
      </c>
      <c r="V498" s="3" t="s">
        <v>68</v>
      </c>
      <c r="W498" s="1" t="s">
        <v>547</v>
      </c>
      <c r="X498" s="2" t="s">
        <v>99</v>
      </c>
      <c r="Y498" s="6" t="s">
        <v>76</v>
      </c>
      <c r="Z498" s="3" t="s">
        <v>411</v>
      </c>
      <c r="AB498" s="1">
        <v>4.0</v>
      </c>
      <c r="AI498" s="2" t="s">
        <v>72</v>
      </c>
      <c r="AJ498" s="1">
        <v>225.0</v>
      </c>
      <c r="AK498" s="1">
        <v>2014.0</v>
      </c>
      <c r="AL498" s="2" t="s">
        <v>153</v>
      </c>
      <c r="AM498" s="2" t="s">
        <v>72</v>
      </c>
      <c r="AN498" s="2" t="s">
        <v>72</v>
      </c>
      <c r="AO498" s="2" t="s">
        <v>72</v>
      </c>
      <c r="AQ498" s="2" t="s">
        <v>75</v>
      </c>
      <c r="AR498" s="2" t="s">
        <v>76</v>
      </c>
      <c r="AS498" s="1">
        <v>1512.0</v>
      </c>
      <c r="AT498" s="1">
        <v>1512.0</v>
      </c>
      <c r="AU498" s="1">
        <v>605.0</v>
      </c>
      <c r="AV498" s="1">
        <v>38.0</v>
      </c>
      <c r="AW498" s="1">
        <v>124.0</v>
      </c>
      <c r="AX498" s="1">
        <v>5497.0</v>
      </c>
      <c r="AY498" s="1">
        <v>46.0</v>
      </c>
      <c r="AZ498" s="1" t="s">
        <v>133</v>
      </c>
      <c r="BA498" s="1" t="s">
        <v>121</v>
      </c>
    </row>
    <row r="499">
      <c r="A499" s="1" t="s">
        <v>1474</v>
      </c>
      <c r="B499" s="1" t="s">
        <v>53</v>
      </c>
      <c r="C499" s="1">
        <v>2019.0</v>
      </c>
      <c r="D499" s="1" t="s">
        <v>1475</v>
      </c>
      <c r="E499" s="1" t="s">
        <v>1476</v>
      </c>
      <c r="F499" s="1" t="s">
        <v>1477</v>
      </c>
      <c r="G499" s="1" t="s">
        <v>1478</v>
      </c>
      <c r="H499" s="1" t="s">
        <v>1479</v>
      </c>
      <c r="I499" s="1">
        <v>502.0</v>
      </c>
      <c r="J499" s="1" t="s">
        <v>1480</v>
      </c>
      <c r="K499" s="2" t="s">
        <v>1481</v>
      </c>
      <c r="L499" s="2" t="s">
        <v>60</v>
      </c>
      <c r="M499" s="1" t="s">
        <v>1482</v>
      </c>
      <c r="N499" s="1" t="s">
        <v>62</v>
      </c>
      <c r="O499" s="1" t="s">
        <v>187</v>
      </c>
      <c r="P499" s="1" t="s">
        <v>1483</v>
      </c>
      <c r="Q499" s="1">
        <v>17.841587</v>
      </c>
      <c r="R499" s="1">
        <v>-89.018687</v>
      </c>
      <c r="S499" s="1" t="s">
        <v>1484</v>
      </c>
      <c r="T499" s="2" t="s">
        <v>80</v>
      </c>
      <c r="U499" s="3" t="s">
        <v>81</v>
      </c>
      <c r="V499" s="3" t="s">
        <v>68</v>
      </c>
      <c r="W499" s="2" t="s">
        <v>72</v>
      </c>
      <c r="X499" s="2" t="s">
        <v>72</v>
      </c>
      <c r="Y499" s="6" t="s">
        <v>76</v>
      </c>
      <c r="Z499" s="3" t="s">
        <v>84</v>
      </c>
      <c r="AB499" s="1">
        <v>5.0</v>
      </c>
      <c r="AI499" s="1" t="s">
        <v>399</v>
      </c>
      <c r="AJ499" s="1">
        <v>-1700.0</v>
      </c>
      <c r="AK499" s="1">
        <v>1950.0</v>
      </c>
      <c r="AL499" s="2" t="s">
        <v>100</v>
      </c>
      <c r="AM499" s="2" t="s">
        <v>76</v>
      </c>
      <c r="AN499" s="2" t="s">
        <v>72</v>
      </c>
      <c r="AO499" s="2" t="s">
        <v>72</v>
      </c>
      <c r="AQ499" s="2" t="s">
        <v>75</v>
      </c>
      <c r="AR499" s="2" t="s">
        <v>76</v>
      </c>
      <c r="AS499" s="1">
        <v>1441.0</v>
      </c>
      <c r="AT499" s="1">
        <v>1441.0</v>
      </c>
      <c r="AU499" s="1">
        <v>575.0</v>
      </c>
      <c r="AV499" s="1">
        <v>35.0</v>
      </c>
      <c r="AW499" s="1">
        <v>118.0</v>
      </c>
      <c r="AX499" s="1">
        <v>5597.0</v>
      </c>
      <c r="AY499" s="1">
        <v>150.0</v>
      </c>
      <c r="AZ499" s="1" t="s">
        <v>133</v>
      </c>
      <c r="BA499" s="1" t="s">
        <v>121</v>
      </c>
    </row>
    <row r="500">
      <c r="A500" s="1" t="s">
        <v>1474</v>
      </c>
      <c r="B500" s="1" t="s">
        <v>53</v>
      </c>
      <c r="C500" s="1">
        <v>2019.0</v>
      </c>
      <c r="D500" s="1" t="s">
        <v>1475</v>
      </c>
      <c r="E500" s="1" t="s">
        <v>1476</v>
      </c>
      <c r="F500" s="1" t="s">
        <v>1477</v>
      </c>
      <c r="G500" s="1" t="s">
        <v>1478</v>
      </c>
      <c r="H500" s="1" t="s">
        <v>1479</v>
      </c>
      <c r="I500" s="1">
        <v>502.0</v>
      </c>
      <c r="J500" s="1" t="s">
        <v>1480</v>
      </c>
      <c r="K500" s="2" t="s">
        <v>1481</v>
      </c>
      <c r="L500" s="2" t="s">
        <v>60</v>
      </c>
      <c r="M500" s="1" t="s">
        <v>1485</v>
      </c>
      <c r="N500" s="1" t="s">
        <v>62</v>
      </c>
      <c r="O500" s="1" t="s">
        <v>187</v>
      </c>
      <c r="P500" s="1" t="s">
        <v>1483</v>
      </c>
      <c r="Q500" s="1">
        <v>17.841587</v>
      </c>
      <c r="R500" s="1">
        <v>-89.018687</v>
      </c>
      <c r="S500" s="1" t="s">
        <v>1484</v>
      </c>
      <c r="T500" s="3" t="s">
        <v>1150</v>
      </c>
      <c r="U500" s="3" t="s">
        <v>81</v>
      </c>
      <c r="V500" s="3" t="s">
        <v>68</v>
      </c>
      <c r="W500" s="2" t="s">
        <v>72</v>
      </c>
      <c r="X500" s="2" t="s">
        <v>72</v>
      </c>
      <c r="Y500" s="6" t="s">
        <v>76</v>
      </c>
      <c r="Z500" s="3" t="s">
        <v>84</v>
      </c>
      <c r="AB500" s="1">
        <v>5.0</v>
      </c>
      <c r="AI500" s="1" t="s">
        <v>399</v>
      </c>
      <c r="AJ500" s="1">
        <v>-1700.0</v>
      </c>
      <c r="AK500" s="1">
        <v>1950.0</v>
      </c>
      <c r="AL500" s="2" t="s">
        <v>100</v>
      </c>
      <c r="AM500" s="2" t="s">
        <v>76</v>
      </c>
      <c r="AN500" s="2" t="s">
        <v>72</v>
      </c>
      <c r="AO500" s="2" t="s">
        <v>72</v>
      </c>
      <c r="AQ500" s="2" t="s">
        <v>75</v>
      </c>
      <c r="AR500" s="2" t="s">
        <v>76</v>
      </c>
      <c r="AS500" s="1">
        <v>1441.0</v>
      </c>
      <c r="AT500" s="1">
        <v>1441.0</v>
      </c>
      <c r="AU500" s="1">
        <v>575.0</v>
      </c>
      <c r="AV500" s="1">
        <v>35.0</v>
      </c>
      <c r="AW500" s="1">
        <v>118.0</v>
      </c>
      <c r="AX500" s="1">
        <v>5597.0</v>
      </c>
      <c r="AY500" s="1">
        <v>150.0</v>
      </c>
      <c r="AZ500" s="1" t="s">
        <v>133</v>
      </c>
      <c r="BA500" s="1" t="s">
        <v>121</v>
      </c>
    </row>
    <row r="501">
      <c r="A501" s="1" t="s">
        <v>1474</v>
      </c>
      <c r="B501" s="1" t="s">
        <v>53</v>
      </c>
      <c r="C501" s="1">
        <v>2019.0</v>
      </c>
      <c r="D501" s="1" t="s">
        <v>1475</v>
      </c>
      <c r="E501" s="1" t="s">
        <v>1476</v>
      </c>
      <c r="F501" s="1" t="s">
        <v>1477</v>
      </c>
      <c r="G501" s="1" t="s">
        <v>1478</v>
      </c>
      <c r="H501" s="1" t="s">
        <v>1479</v>
      </c>
      <c r="I501" s="1">
        <v>502.0</v>
      </c>
      <c r="J501" s="1" t="s">
        <v>1480</v>
      </c>
      <c r="K501" s="2" t="s">
        <v>1481</v>
      </c>
      <c r="L501" s="2" t="s">
        <v>60</v>
      </c>
      <c r="M501" s="1" t="s">
        <v>1486</v>
      </c>
      <c r="N501" s="1" t="s">
        <v>62</v>
      </c>
      <c r="O501" s="1" t="s">
        <v>187</v>
      </c>
      <c r="P501" s="1" t="s">
        <v>1483</v>
      </c>
      <c r="Q501" s="1">
        <v>17.841587</v>
      </c>
      <c r="R501" s="1">
        <v>-89.018687</v>
      </c>
      <c r="S501" s="1" t="s">
        <v>1484</v>
      </c>
      <c r="T501" s="3" t="s">
        <v>66</v>
      </c>
      <c r="U501" s="3" t="s">
        <v>67</v>
      </c>
      <c r="V501" s="3" t="s">
        <v>68</v>
      </c>
      <c r="W501" s="1" t="s">
        <v>1487</v>
      </c>
      <c r="X501" s="2" t="s">
        <v>72</v>
      </c>
      <c r="Y501" s="5" t="s">
        <v>60</v>
      </c>
      <c r="Z501" s="3" t="s">
        <v>345</v>
      </c>
      <c r="AB501" s="1">
        <v>5.0</v>
      </c>
      <c r="AI501" s="1" t="s">
        <v>399</v>
      </c>
      <c r="AJ501" s="1">
        <v>-1700.0</v>
      </c>
      <c r="AK501" s="1">
        <v>1950.0</v>
      </c>
      <c r="AL501" s="2" t="s">
        <v>100</v>
      </c>
      <c r="AM501" s="2" t="s">
        <v>76</v>
      </c>
      <c r="AN501" s="2" t="s">
        <v>72</v>
      </c>
      <c r="AO501" s="2" t="s">
        <v>72</v>
      </c>
      <c r="AQ501" s="2" t="s">
        <v>75</v>
      </c>
      <c r="AR501" s="2" t="s">
        <v>76</v>
      </c>
      <c r="AS501" s="1">
        <v>1441.0</v>
      </c>
      <c r="AT501" s="1">
        <v>1441.0</v>
      </c>
      <c r="AU501" s="1">
        <v>575.0</v>
      </c>
      <c r="AV501" s="1">
        <v>35.0</v>
      </c>
      <c r="AW501" s="1">
        <v>118.0</v>
      </c>
      <c r="AX501" s="1">
        <v>5597.0</v>
      </c>
      <c r="AY501" s="1">
        <v>150.0</v>
      </c>
      <c r="AZ501" s="1" t="s">
        <v>133</v>
      </c>
      <c r="BA501" s="1" t="s">
        <v>121</v>
      </c>
    </row>
    <row r="502">
      <c r="A502" s="1" t="s">
        <v>1474</v>
      </c>
      <c r="B502" s="1" t="s">
        <v>53</v>
      </c>
      <c r="C502" s="1">
        <v>2019.0</v>
      </c>
      <c r="D502" s="1" t="s">
        <v>1475</v>
      </c>
      <c r="E502" s="1" t="s">
        <v>1476</v>
      </c>
      <c r="F502" s="1" t="s">
        <v>1477</v>
      </c>
      <c r="G502" s="1" t="s">
        <v>1478</v>
      </c>
      <c r="H502" s="1" t="s">
        <v>1479</v>
      </c>
      <c r="I502" s="1">
        <v>502.0</v>
      </c>
      <c r="J502" s="1" t="s">
        <v>1480</v>
      </c>
      <c r="K502" s="2" t="s">
        <v>1481</v>
      </c>
      <c r="L502" s="2" t="s">
        <v>60</v>
      </c>
      <c r="M502" s="1" t="s">
        <v>1488</v>
      </c>
      <c r="N502" s="1" t="s">
        <v>62</v>
      </c>
      <c r="O502" s="1" t="s">
        <v>187</v>
      </c>
      <c r="P502" s="1" t="s">
        <v>1483</v>
      </c>
      <c r="Q502" s="1">
        <v>17.841587</v>
      </c>
      <c r="R502" s="1">
        <v>-89.018687</v>
      </c>
      <c r="S502" s="1" t="s">
        <v>1484</v>
      </c>
      <c r="T502" s="2" t="s">
        <v>293</v>
      </c>
      <c r="U502" s="3" t="s">
        <v>67</v>
      </c>
      <c r="V502" s="3" t="s">
        <v>68</v>
      </c>
      <c r="W502" s="1" t="s">
        <v>1489</v>
      </c>
      <c r="X502" s="2" t="s">
        <v>72</v>
      </c>
      <c r="Y502" s="5" t="s">
        <v>76</v>
      </c>
      <c r="Z502" s="3" t="s">
        <v>84</v>
      </c>
      <c r="AB502" s="1">
        <v>5.0</v>
      </c>
      <c r="AI502" s="1" t="s">
        <v>399</v>
      </c>
      <c r="AJ502" s="1">
        <v>-1700.0</v>
      </c>
      <c r="AK502" s="1">
        <v>1950.0</v>
      </c>
      <c r="AL502" s="2" t="s">
        <v>100</v>
      </c>
      <c r="AM502" s="2" t="s">
        <v>76</v>
      </c>
      <c r="AN502" s="2" t="s">
        <v>72</v>
      </c>
      <c r="AO502" s="2" t="s">
        <v>72</v>
      </c>
      <c r="AQ502" s="2" t="s">
        <v>75</v>
      </c>
      <c r="AR502" s="2" t="s">
        <v>76</v>
      </c>
      <c r="AS502" s="1">
        <v>1441.0</v>
      </c>
      <c r="AT502" s="1">
        <v>1441.0</v>
      </c>
      <c r="AU502" s="1">
        <v>575.0</v>
      </c>
      <c r="AV502" s="1">
        <v>35.0</v>
      </c>
      <c r="AW502" s="1">
        <v>118.0</v>
      </c>
      <c r="AX502" s="1">
        <v>5597.0</v>
      </c>
      <c r="AY502" s="1">
        <v>150.0</v>
      </c>
      <c r="AZ502" s="1" t="s">
        <v>133</v>
      </c>
      <c r="BA502" s="1" t="s">
        <v>121</v>
      </c>
    </row>
    <row r="503">
      <c r="A503" s="1" t="s">
        <v>1474</v>
      </c>
      <c r="B503" s="1" t="s">
        <v>53</v>
      </c>
      <c r="C503" s="1">
        <v>2019.0</v>
      </c>
      <c r="D503" s="1" t="s">
        <v>1475</v>
      </c>
      <c r="E503" s="1" t="s">
        <v>1476</v>
      </c>
      <c r="F503" s="1" t="s">
        <v>1477</v>
      </c>
      <c r="G503" s="1" t="s">
        <v>1478</v>
      </c>
      <c r="H503" s="1" t="s">
        <v>1479</v>
      </c>
      <c r="I503" s="1">
        <v>502.0</v>
      </c>
      <c r="J503" s="1" t="s">
        <v>1480</v>
      </c>
      <c r="K503" s="2" t="s">
        <v>1481</v>
      </c>
      <c r="L503" s="2" t="s">
        <v>60</v>
      </c>
      <c r="M503" s="1" t="s">
        <v>1490</v>
      </c>
      <c r="N503" s="1" t="s">
        <v>62</v>
      </c>
      <c r="O503" s="1" t="s">
        <v>187</v>
      </c>
      <c r="P503" s="1" t="s">
        <v>1483</v>
      </c>
      <c r="Q503" s="1">
        <v>17.841587</v>
      </c>
      <c r="R503" s="1">
        <v>-89.018687</v>
      </c>
      <c r="S503" s="1" t="s">
        <v>1484</v>
      </c>
      <c r="T503" s="2" t="s">
        <v>382</v>
      </c>
      <c r="U503" s="1" t="s">
        <v>173</v>
      </c>
      <c r="V503" s="3" t="s">
        <v>68</v>
      </c>
      <c r="W503" s="1" t="s">
        <v>1491</v>
      </c>
      <c r="X503" s="1" t="s">
        <v>968</v>
      </c>
      <c r="Y503" s="6" t="s">
        <v>76</v>
      </c>
      <c r="Z503" s="3" t="s">
        <v>173</v>
      </c>
      <c r="AB503" s="1">
        <v>5.0</v>
      </c>
      <c r="AI503" s="1" t="s">
        <v>399</v>
      </c>
      <c r="AJ503" s="1">
        <v>-1700.0</v>
      </c>
      <c r="AK503" s="1">
        <v>1950.0</v>
      </c>
      <c r="AL503" s="2" t="s">
        <v>100</v>
      </c>
      <c r="AM503" s="2" t="s">
        <v>76</v>
      </c>
      <c r="AN503" s="2" t="s">
        <v>72</v>
      </c>
      <c r="AO503" s="2" t="s">
        <v>72</v>
      </c>
      <c r="AQ503" s="2" t="s">
        <v>75</v>
      </c>
      <c r="AR503" s="2" t="s">
        <v>76</v>
      </c>
      <c r="AS503" s="1">
        <v>1441.0</v>
      </c>
      <c r="AT503" s="1">
        <v>1441.0</v>
      </c>
      <c r="AU503" s="1">
        <v>575.0</v>
      </c>
      <c r="AV503" s="1">
        <v>35.0</v>
      </c>
      <c r="AW503" s="1">
        <v>118.0</v>
      </c>
      <c r="AX503" s="1">
        <v>5597.0</v>
      </c>
      <c r="AY503" s="1">
        <v>150.0</v>
      </c>
      <c r="AZ503" s="1" t="s">
        <v>133</v>
      </c>
      <c r="BA503" s="1" t="s">
        <v>121</v>
      </c>
    </row>
    <row r="504">
      <c r="A504" s="1" t="s">
        <v>1474</v>
      </c>
      <c r="B504" s="1" t="s">
        <v>53</v>
      </c>
      <c r="C504" s="1">
        <v>2019.0</v>
      </c>
      <c r="D504" s="1" t="s">
        <v>1475</v>
      </c>
      <c r="E504" s="1" t="s">
        <v>1476</v>
      </c>
      <c r="F504" s="1" t="s">
        <v>1477</v>
      </c>
      <c r="G504" s="1" t="s">
        <v>1478</v>
      </c>
      <c r="H504" s="1" t="s">
        <v>1479</v>
      </c>
      <c r="I504" s="1">
        <v>502.0</v>
      </c>
      <c r="J504" s="1" t="s">
        <v>1480</v>
      </c>
      <c r="K504" s="2" t="s">
        <v>1481</v>
      </c>
      <c r="L504" s="2" t="s">
        <v>60</v>
      </c>
      <c r="M504" s="1" t="s">
        <v>1492</v>
      </c>
      <c r="N504" s="1" t="s">
        <v>62</v>
      </c>
      <c r="O504" s="1" t="s">
        <v>187</v>
      </c>
      <c r="P504" s="1" t="s">
        <v>1483</v>
      </c>
      <c r="Q504" s="1">
        <v>17.841587</v>
      </c>
      <c r="R504" s="1">
        <v>-89.018687</v>
      </c>
      <c r="S504" s="1" t="s">
        <v>1484</v>
      </c>
      <c r="T504" s="2" t="s">
        <v>194</v>
      </c>
      <c r="U504" s="1" t="s">
        <v>173</v>
      </c>
      <c r="V504" s="3" t="s">
        <v>68</v>
      </c>
      <c r="W504" s="1" t="s">
        <v>286</v>
      </c>
      <c r="X504" s="1" t="s">
        <v>70</v>
      </c>
      <c r="Y504" s="6" t="s">
        <v>76</v>
      </c>
      <c r="Z504" s="3" t="s">
        <v>173</v>
      </c>
      <c r="AB504" s="1">
        <v>5.0</v>
      </c>
      <c r="AI504" s="1" t="s">
        <v>399</v>
      </c>
      <c r="AJ504" s="1">
        <v>-1700.0</v>
      </c>
      <c r="AK504" s="1">
        <v>1950.0</v>
      </c>
      <c r="AL504" s="2" t="s">
        <v>100</v>
      </c>
      <c r="AM504" s="2" t="s">
        <v>76</v>
      </c>
      <c r="AN504" s="2" t="s">
        <v>72</v>
      </c>
      <c r="AO504" s="2" t="s">
        <v>72</v>
      </c>
      <c r="AQ504" s="2" t="s">
        <v>75</v>
      </c>
      <c r="AR504" s="2" t="s">
        <v>76</v>
      </c>
      <c r="AS504" s="1">
        <v>1441.0</v>
      </c>
      <c r="AT504" s="1">
        <v>1441.0</v>
      </c>
      <c r="AU504" s="1">
        <v>575.0</v>
      </c>
      <c r="AV504" s="1">
        <v>35.0</v>
      </c>
      <c r="AW504" s="1">
        <v>118.0</v>
      </c>
      <c r="AX504" s="1">
        <v>5597.0</v>
      </c>
      <c r="AY504" s="1">
        <v>150.0</v>
      </c>
      <c r="AZ504" s="1" t="s">
        <v>133</v>
      </c>
      <c r="BA504" s="1" t="s">
        <v>121</v>
      </c>
    </row>
    <row r="505">
      <c r="A505" s="1" t="s">
        <v>1474</v>
      </c>
      <c r="B505" s="1" t="s">
        <v>53</v>
      </c>
      <c r="C505" s="1">
        <v>2019.0</v>
      </c>
      <c r="D505" s="1" t="s">
        <v>1475</v>
      </c>
      <c r="E505" s="1" t="s">
        <v>1476</v>
      </c>
      <c r="F505" s="1" t="s">
        <v>1477</v>
      </c>
      <c r="G505" s="1" t="s">
        <v>1478</v>
      </c>
      <c r="H505" s="1" t="s">
        <v>1479</v>
      </c>
      <c r="I505" s="1">
        <v>502.0</v>
      </c>
      <c r="J505" s="1" t="s">
        <v>1480</v>
      </c>
      <c r="K505" s="2" t="s">
        <v>1481</v>
      </c>
      <c r="L505" s="2" t="s">
        <v>60</v>
      </c>
      <c r="M505" s="1" t="s">
        <v>1501</v>
      </c>
      <c r="N505" s="1" t="s">
        <v>62</v>
      </c>
      <c r="O505" s="1" t="s">
        <v>187</v>
      </c>
      <c r="P505" s="1" t="s">
        <v>1483</v>
      </c>
      <c r="Q505" s="1">
        <v>17.841587</v>
      </c>
      <c r="R505" s="1">
        <v>-89.018687</v>
      </c>
      <c r="S505" s="1" t="s">
        <v>1484</v>
      </c>
      <c r="T505" s="2" t="s">
        <v>189</v>
      </c>
      <c r="U505" s="1" t="s">
        <v>173</v>
      </c>
      <c r="V505" s="3" t="s">
        <v>68</v>
      </c>
      <c r="W505" s="1" t="s">
        <v>284</v>
      </c>
      <c r="X505" s="1" t="s">
        <v>70</v>
      </c>
      <c r="Y505" s="6" t="s">
        <v>76</v>
      </c>
      <c r="Z505" s="3" t="s">
        <v>173</v>
      </c>
      <c r="AB505" s="1">
        <v>5.0</v>
      </c>
      <c r="AI505" s="1" t="s">
        <v>399</v>
      </c>
      <c r="AJ505" s="1">
        <v>-1700.0</v>
      </c>
      <c r="AK505" s="1">
        <v>1950.0</v>
      </c>
      <c r="AL505" s="2" t="s">
        <v>100</v>
      </c>
      <c r="AM505" s="2" t="s">
        <v>76</v>
      </c>
      <c r="AN505" s="2" t="s">
        <v>72</v>
      </c>
      <c r="AO505" s="2" t="s">
        <v>72</v>
      </c>
      <c r="AQ505" s="2" t="s">
        <v>75</v>
      </c>
      <c r="AR505" s="2" t="s">
        <v>76</v>
      </c>
      <c r="AS505" s="1">
        <v>1441.0</v>
      </c>
      <c r="AT505" s="1">
        <v>1441.0</v>
      </c>
      <c r="AU505" s="1">
        <v>575.0</v>
      </c>
      <c r="AV505" s="1">
        <v>35.0</v>
      </c>
      <c r="AW505" s="1">
        <v>118.0</v>
      </c>
      <c r="AX505" s="1">
        <v>5597.0</v>
      </c>
      <c r="AY505" s="1">
        <v>150.0</v>
      </c>
      <c r="AZ505" s="1" t="s">
        <v>133</v>
      </c>
      <c r="BA505" s="1" t="s">
        <v>121</v>
      </c>
    </row>
    <row r="506">
      <c r="A506" s="1" t="s">
        <v>1474</v>
      </c>
      <c r="B506" s="1" t="s">
        <v>53</v>
      </c>
      <c r="C506" s="1">
        <v>2019.0</v>
      </c>
      <c r="D506" s="1" t="s">
        <v>1475</v>
      </c>
      <c r="E506" s="1" t="s">
        <v>1476</v>
      </c>
      <c r="F506" s="1" t="s">
        <v>1477</v>
      </c>
      <c r="G506" s="1" t="s">
        <v>1478</v>
      </c>
      <c r="H506" s="1" t="s">
        <v>1479</v>
      </c>
      <c r="I506" s="1">
        <v>502.0</v>
      </c>
      <c r="J506" s="1" t="s">
        <v>1480</v>
      </c>
      <c r="K506" s="2" t="s">
        <v>1481</v>
      </c>
      <c r="L506" s="2" t="s">
        <v>60</v>
      </c>
      <c r="M506" s="1" t="s">
        <v>1502</v>
      </c>
      <c r="N506" s="1" t="s">
        <v>62</v>
      </c>
      <c r="O506" s="1" t="s">
        <v>187</v>
      </c>
      <c r="P506" s="1" t="s">
        <v>1483</v>
      </c>
      <c r="Q506" s="1">
        <v>17.841587</v>
      </c>
      <c r="R506" s="1">
        <v>-89.018687</v>
      </c>
      <c r="S506" s="1" t="s">
        <v>1484</v>
      </c>
      <c r="T506" s="2" t="s">
        <v>135</v>
      </c>
      <c r="U506" s="3" t="s">
        <v>67</v>
      </c>
      <c r="V506" s="3" t="s">
        <v>68</v>
      </c>
      <c r="W506" s="1" t="s">
        <v>1503</v>
      </c>
      <c r="X506" s="1" t="s">
        <v>256</v>
      </c>
      <c r="Y506" s="6" t="s">
        <v>76</v>
      </c>
      <c r="Z506" s="3" t="s">
        <v>411</v>
      </c>
      <c r="AB506" s="1">
        <v>5.0</v>
      </c>
      <c r="AI506" s="1" t="s">
        <v>399</v>
      </c>
      <c r="AJ506" s="1">
        <v>-1700.0</v>
      </c>
      <c r="AK506" s="1">
        <v>1950.0</v>
      </c>
      <c r="AL506" s="2" t="s">
        <v>100</v>
      </c>
      <c r="AM506" s="2" t="s">
        <v>76</v>
      </c>
      <c r="AN506" s="2" t="s">
        <v>72</v>
      </c>
      <c r="AO506" s="2" t="s">
        <v>72</v>
      </c>
      <c r="AQ506" s="2" t="s">
        <v>75</v>
      </c>
      <c r="AR506" s="2" t="s">
        <v>76</v>
      </c>
      <c r="AS506" s="1">
        <v>1441.0</v>
      </c>
      <c r="AT506" s="1">
        <v>1441.0</v>
      </c>
      <c r="AU506" s="1">
        <v>575.0</v>
      </c>
      <c r="AV506" s="1">
        <v>35.0</v>
      </c>
      <c r="AW506" s="1">
        <v>118.0</v>
      </c>
      <c r="AX506" s="1">
        <v>5597.0</v>
      </c>
      <c r="AY506" s="1">
        <v>150.0</v>
      </c>
      <c r="AZ506" s="1" t="s">
        <v>133</v>
      </c>
      <c r="BA506" s="1" t="s">
        <v>121</v>
      </c>
    </row>
    <row r="507">
      <c r="A507" s="1" t="s">
        <v>1474</v>
      </c>
      <c r="B507" s="1" t="s">
        <v>53</v>
      </c>
      <c r="C507" s="1">
        <v>2019.0</v>
      </c>
      <c r="D507" s="1" t="s">
        <v>1475</v>
      </c>
      <c r="E507" s="1" t="s">
        <v>1476</v>
      </c>
      <c r="F507" s="1" t="s">
        <v>1477</v>
      </c>
      <c r="G507" s="1" t="s">
        <v>1478</v>
      </c>
      <c r="H507" s="1" t="s">
        <v>1479</v>
      </c>
      <c r="I507" s="1">
        <v>502.0</v>
      </c>
      <c r="J507" s="1" t="s">
        <v>1480</v>
      </c>
      <c r="K507" s="2" t="s">
        <v>1481</v>
      </c>
      <c r="L507" s="2" t="s">
        <v>60</v>
      </c>
      <c r="M507" s="1" t="s">
        <v>1504</v>
      </c>
      <c r="N507" s="1" t="s">
        <v>62</v>
      </c>
      <c r="O507" s="1" t="s">
        <v>187</v>
      </c>
      <c r="P507" s="1" t="s">
        <v>1483</v>
      </c>
      <c r="Q507" s="1">
        <v>17.841587</v>
      </c>
      <c r="R507" s="1">
        <v>-89.018687</v>
      </c>
      <c r="S507" s="1" t="s">
        <v>1484</v>
      </c>
      <c r="T507" s="2" t="s">
        <v>169</v>
      </c>
      <c r="U507" s="1" t="s">
        <v>173</v>
      </c>
      <c r="V507" s="3" t="s">
        <v>68</v>
      </c>
      <c r="W507" s="1" t="s">
        <v>1044</v>
      </c>
      <c r="X507" s="1" t="s">
        <v>70</v>
      </c>
      <c r="Y507" s="6" t="s">
        <v>76</v>
      </c>
      <c r="Z507" s="3" t="s">
        <v>173</v>
      </c>
      <c r="AB507" s="1">
        <v>5.0</v>
      </c>
      <c r="AI507" s="1" t="s">
        <v>399</v>
      </c>
      <c r="AJ507" s="1">
        <v>-1700.0</v>
      </c>
      <c r="AK507" s="1">
        <v>1950.0</v>
      </c>
      <c r="AL507" s="2" t="s">
        <v>100</v>
      </c>
      <c r="AM507" s="2" t="s">
        <v>76</v>
      </c>
      <c r="AN507" s="2" t="s">
        <v>72</v>
      </c>
      <c r="AO507" s="2" t="s">
        <v>72</v>
      </c>
      <c r="AQ507" s="2" t="s">
        <v>75</v>
      </c>
      <c r="AR507" s="2" t="s">
        <v>76</v>
      </c>
      <c r="AS507" s="1">
        <v>1441.0</v>
      </c>
      <c r="AT507" s="1">
        <v>1441.0</v>
      </c>
      <c r="AU507" s="1">
        <v>575.0</v>
      </c>
      <c r="AV507" s="1">
        <v>35.0</v>
      </c>
      <c r="AW507" s="1">
        <v>118.0</v>
      </c>
      <c r="AX507" s="1">
        <v>5597.0</v>
      </c>
      <c r="AY507" s="1">
        <v>150.0</v>
      </c>
      <c r="AZ507" s="1" t="s">
        <v>133</v>
      </c>
      <c r="BA507" s="1" t="s">
        <v>121</v>
      </c>
    </row>
    <row r="508">
      <c r="A508" s="1" t="s">
        <v>1474</v>
      </c>
      <c r="B508" s="1" t="s">
        <v>53</v>
      </c>
      <c r="C508" s="1">
        <v>2019.0</v>
      </c>
      <c r="D508" s="1" t="s">
        <v>1475</v>
      </c>
      <c r="E508" s="1" t="s">
        <v>1476</v>
      </c>
      <c r="F508" s="1" t="s">
        <v>1477</v>
      </c>
      <c r="G508" s="1" t="s">
        <v>1478</v>
      </c>
      <c r="H508" s="1" t="s">
        <v>1479</v>
      </c>
      <c r="I508" s="1">
        <v>502.0</v>
      </c>
      <c r="J508" s="1" t="s">
        <v>1480</v>
      </c>
      <c r="K508" s="2" t="s">
        <v>1481</v>
      </c>
      <c r="L508" s="2" t="s">
        <v>60</v>
      </c>
      <c r="M508" s="1" t="s">
        <v>1505</v>
      </c>
      <c r="N508" s="1" t="s">
        <v>62</v>
      </c>
      <c r="O508" s="1" t="s">
        <v>187</v>
      </c>
      <c r="P508" s="1" t="s">
        <v>1506</v>
      </c>
      <c r="Q508" s="1">
        <v>17.886007</v>
      </c>
      <c r="R508" s="1">
        <v>-88.899136</v>
      </c>
      <c r="S508" s="1" t="s">
        <v>1484</v>
      </c>
      <c r="T508" s="2" t="s">
        <v>382</v>
      </c>
      <c r="U508" s="1" t="s">
        <v>173</v>
      </c>
      <c r="V508" s="3" t="s">
        <v>68</v>
      </c>
      <c r="W508" s="1" t="s">
        <v>1491</v>
      </c>
      <c r="X508" s="1" t="s">
        <v>968</v>
      </c>
      <c r="Y508" s="6" t="s">
        <v>76</v>
      </c>
      <c r="Z508" s="3" t="s">
        <v>173</v>
      </c>
      <c r="AB508" s="1">
        <v>3.0</v>
      </c>
      <c r="AI508" s="1" t="s">
        <v>399</v>
      </c>
      <c r="AJ508" s="1">
        <v>270.0</v>
      </c>
      <c r="AK508" s="1">
        <v>1950.0</v>
      </c>
      <c r="AL508" s="2" t="s">
        <v>100</v>
      </c>
      <c r="AM508" s="2" t="s">
        <v>76</v>
      </c>
      <c r="AN508" s="2" t="s">
        <v>72</v>
      </c>
      <c r="AO508" s="2" t="s">
        <v>72</v>
      </c>
      <c r="AQ508" s="2" t="s">
        <v>75</v>
      </c>
      <c r="AR508" s="2" t="s">
        <v>76</v>
      </c>
      <c r="AS508" s="1">
        <v>1475.0</v>
      </c>
      <c r="AT508" s="1">
        <v>1475.0</v>
      </c>
      <c r="AU508" s="1">
        <v>592.0</v>
      </c>
      <c r="AV508" s="1">
        <v>37.0</v>
      </c>
      <c r="AW508" s="1">
        <v>119.0</v>
      </c>
      <c r="AX508" s="1">
        <v>5493.0</v>
      </c>
      <c r="AY508" s="1">
        <v>62.0</v>
      </c>
      <c r="AZ508" s="1" t="s">
        <v>133</v>
      </c>
      <c r="BA508" s="1" t="s">
        <v>121</v>
      </c>
    </row>
    <row r="509">
      <c r="A509" s="1" t="s">
        <v>1474</v>
      </c>
      <c r="B509" s="1" t="s">
        <v>53</v>
      </c>
      <c r="C509" s="1">
        <v>2019.0</v>
      </c>
      <c r="D509" s="1" t="s">
        <v>1475</v>
      </c>
      <c r="E509" s="1" t="s">
        <v>1476</v>
      </c>
      <c r="F509" s="1" t="s">
        <v>1477</v>
      </c>
      <c r="G509" s="1" t="s">
        <v>1478</v>
      </c>
      <c r="H509" s="1" t="s">
        <v>1479</v>
      </c>
      <c r="I509" s="1">
        <v>502.0</v>
      </c>
      <c r="J509" s="1" t="s">
        <v>1480</v>
      </c>
      <c r="K509" s="2" t="s">
        <v>1481</v>
      </c>
      <c r="L509" s="2" t="s">
        <v>60</v>
      </c>
      <c r="M509" s="1" t="s">
        <v>1507</v>
      </c>
      <c r="N509" s="1" t="s">
        <v>62</v>
      </c>
      <c r="O509" s="1" t="s">
        <v>187</v>
      </c>
      <c r="P509" s="1" t="s">
        <v>1506</v>
      </c>
      <c r="Q509" s="1">
        <v>17.886007</v>
      </c>
      <c r="R509" s="1">
        <v>-88.899136</v>
      </c>
      <c r="S509" s="1" t="s">
        <v>1484</v>
      </c>
      <c r="T509" s="2" t="s">
        <v>194</v>
      </c>
      <c r="U509" s="1" t="s">
        <v>173</v>
      </c>
      <c r="V509" s="3" t="s">
        <v>68</v>
      </c>
      <c r="W509" s="1" t="s">
        <v>286</v>
      </c>
      <c r="X509" s="1" t="s">
        <v>70</v>
      </c>
      <c r="Y509" s="6" t="s">
        <v>76</v>
      </c>
      <c r="Z509" s="3" t="s">
        <v>173</v>
      </c>
      <c r="AB509" s="1">
        <v>3.0</v>
      </c>
      <c r="AI509" s="1" t="s">
        <v>399</v>
      </c>
      <c r="AJ509" s="1">
        <v>270.0</v>
      </c>
      <c r="AK509" s="1">
        <v>1950.0</v>
      </c>
      <c r="AL509" s="2" t="s">
        <v>100</v>
      </c>
      <c r="AM509" s="2" t="s">
        <v>76</v>
      </c>
      <c r="AN509" s="2" t="s">
        <v>72</v>
      </c>
      <c r="AO509" s="2" t="s">
        <v>72</v>
      </c>
      <c r="AQ509" s="2" t="s">
        <v>75</v>
      </c>
      <c r="AR509" s="2" t="s">
        <v>76</v>
      </c>
      <c r="AS509" s="1">
        <v>1475.0</v>
      </c>
      <c r="AT509" s="1">
        <v>1475.0</v>
      </c>
      <c r="AU509" s="1">
        <v>592.0</v>
      </c>
      <c r="AV509" s="1">
        <v>37.0</v>
      </c>
      <c r="AW509" s="1">
        <v>119.0</v>
      </c>
      <c r="AX509" s="1">
        <v>5493.0</v>
      </c>
      <c r="AY509" s="1">
        <v>62.0</v>
      </c>
      <c r="AZ509" s="1" t="s">
        <v>133</v>
      </c>
      <c r="BA509" s="1" t="s">
        <v>121</v>
      </c>
    </row>
    <row r="510">
      <c r="A510" s="1" t="s">
        <v>1474</v>
      </c>
      <c r="B510" s="1" t="s">
        <v>53</v>
      </c>
      <c r="C510" s="1">
        <v>2019.0</v>
      </c>
      <c r="D510" s="1" t="s">
        <v>1475</v>
      </c>
      <c r="E510" s="1" t="s">
        <v>1476</v>
      </c>
      <c r="F510" s="1" t="s">
        <v>1477</v>
      </c>
      <c r="G510" s="1" t="s">
        <v>1478</v>
      </c>
      <c r="H510" s="1" t="s">
        <v>1479</v>
      </c>
      <c r="I510" s="1">
        <v>502.0</v>
      </c>
      <c r="J510" s="1" t="s">
        <v>1480</v>
      </c>
      <c r="K510" s="2" t="s">
        <v>1481</v>
      </c>
      <c r="L510" s="2" t="s">
        <v>60</v>
      </c>
      <c r="M510" s="1" t="s">
        <v>1508</v>
      </c>
      <c r="N510" s="1" t="s">
        <v>62</v>
      </c>
      <c r="O510" s="1" t="s">
        <v>187</v>
      </c>
      <c r="P510" s="1" t="s">
        <v>1506</v>
      </c>
      <c r="Q510" s="1">
        <v>17.886007</v>
      </c>
      <c r="R510" s="1">
        <v>-88.899136</v>
      </c>
      <c r="S510" s="1" t="s">
        <v>1484</v>
      </c>
      <c r="T510" s="2" t="s">
        <v>189</v>
      </c>
      <c r="U510" s="1" t="s">
        <v>173</v>
      </c>
      <c r="V510" s="3" t="s">
        <v>68</v>
      </c>
      <c r="W510" s="1" t="s">
        <v>284</v>
      </c>
      <c r="X510" s="1" t="s">
        <v>70</v>
      </c>
      <c r="Y510" s="6" t="s">
        <v>76</v>
      </c>
      <c r="Z510" s="3" t="s">
        <v>173</v>
      </c>
      <c r="AB510" s="1">
        <v>3.0</v>
      </c>
      <c r="AI510" s="1" t="s">
        <v>399</v>
      </c>
      <c r="AJ510" s="1">
        <v>270.0</v>
      </c>
      <c r="AK510" s="1">
        <v>1950.0</v>
      </c>
      <c r="AL510" s="2" t="s">
        <v>100</v>
      </c>
      <c r="AM510" s="2" t="s">
        <v>76</v>
      </c>
      <c r="AN510" s="2" t="s">
        <v>72</v>
      </c>
      <c r="AO510" s="2" t="s">
        <v>72</v>
      </c>
      <c r="AQ510" s="2" t="s">
        <v>75</v>
      </c>
      <c r="AR510" s="2" t="s">
        <v>76</v>
      </c>
      <c r="AS510" s="1">
        <v>1475.0</v>
      </c>
      <c r="AT510" s="1">
        <v>1475.0</v>
      </c>
      <c r="AU510" s="1">
        <v>592.0</v>
      </c>
      <c r="AV510" s="1">
        <v>37.0</v>
      </c>
      <c r="AW510" s="1">
        <v>119.0</v>
      </c>
      <c r="AX510" s="1">
        <v>5493.0</v>
      </c>
      <c r="AY510" s="1">
        <v>62.0</v>
      </c>
      <c r="AZ510" s="1" t="s">
        <v>133</v>
      </c>
      <c r="BA510" s="1" t="s">
        <v>121</v>
      </c>
    </row>
    <row r="511">
      <c r="A511" s="1" t="s">
        <v>1474</v>
      </c>
      <c r="B511" s="1" t="s">
        <v>53</v>
      </c>
      <c r="C511" s="1">
        <v>2019.0</v>
      </c>
      <c r="D511" s="1" t="s">
        <v>1475</v>
      </c>
      <c r="E511" s="1" t="s">
        <v>1476</v>
      </c>
      <c r="F511" s="1" t="s">
        <v>1477</v>
      </c>
      <c r="G511" s="1" t="s">
        <v>1478</v>
      </c>
      <c r="H511" s="1" t="s">
        <v>1479</v>
      </c>
      <c r="I511" s="1">
        <v>502.0</v>
      </c>
      <c r="J511" s="1" t="s">
        <v>1480</v>
      </c>
      <c r="K511" s="2" t="s">
        <v>1481</v>
      </c>
      <c r="L511" s="2" t="s">
        <v>60</v>
      </c>
      <c r="M511" s="1" t="s">
        <v>1509</v>
      </c>
      <c r="N511" s="1" t="s">
        <v>62</v>
      </c>
      <c r="O511" s="1" t="s">
        <v>187</v>
      </c>
      <c r="P511" s="1" t="s">
        <v>1506</v>
      </c>
      <c r="Q511" s="1">
        <v>17.886007</v>
      </c>
      <c r="R511" s="1">
        <v>-88.899136</v>
      </c>
      <c r="S511" s="1" t="s">
        <v>1484</v>
      </c>
      <c r="T511" s="2" t="s">
        <v>135</v>
      </c>
      <c r="U511" s="3" t="s">
        <v>67</v>
      </c>
      <c r="V511" s="3" t="s">
        <v>68</v>
      </c>
      <c r="W511" s="1" t="s">
        <v>1503</v>
      </c>
      <c r="X511" s="1" t="s">
        <v>256</v>
      </c>
      <c r="Y511" s="6" t="s">
        <v>76</v>
      </c>
      <c r="Z511" s="8" t="s">
        <v>411</v>
      </c>
      <c r="AB511" s="1">
        <v>3.0</v>
      </c>
      <c r="AI511" s="1" t="s">
        <v>399</v>
      </c>
      <c r="AJ511" s="1">
        <v>270.0</v>
      </c>
      <c r="AK511" s="1">
        <v>1950.0</v>
      </c>
      <c r="AL511" s="2" t="s">
        <v>100</v>
      </c>
      <c r="AM511" s="2" t="s">
        <v>76</v>
      </c>
      <c r="AN511" s="2" t="s">
        <v>72</v>
      </c>
      <c r="AO511" s="2" t="s">
        <v>72</v>
      </c>
      <c r="AQ511" s="2" t="s">
        <v>75</v>
      </c>
      <c r="AR511" s="2" t="s">
        <v>76</v>
      </c>
      <c r="AS511" s="1">
        <v>1475.0</v>
      </c>
      <c r="AT511" s="1">
        <v>1475.0</v>
      </c>
      <c r="AU511" s="1">
        <v>592.0</v>
      </c>
      <c r="AV511" s="1">
        <v>37.0</v>
      </c>
      <c r="AW511" s="1">
        <v>119.0</v>
      </c>
      <c r="AX511" s="1">
        <v>5493.0</v>
      </c>
      <c r="AY511" s="1">
        <v>62.0</v>
      </c>
      <c r="AZ511" s="1" t="s">
        <v>133</v>
      </c>
      <c r="BA511" s="1" t="s">
        <v>121</v>
      </c>
    </row>
    <row r="512">
      <c r="A512" s="1" t="s">
        <v>1474</v>
      </c>
      <c r="B512" s="1" t="s">
        <v>53</v>
      </c>
      <c r="C512" s="1">
        <v>2019.0</v>
      </c>
      <c r="D512" s="1" t="s">
        <v>1475</v>
      </c>
      <c r="E512" s="1" t="s">
        <v>1476</v>
      </c>
      <c r="F512" s="1" t="s">
        <v>1477</v>
      </c>
      <c r="G512" s="1" t="s">
        <v>1478</v>
      </c>
      <c r="H512" s="1" t="s">
        <v>1479</v>
      </c>
      <c r="I512" s="1">
        <v>502.0</v>
      </c>
      <c r="J512" s="1" t="s">
        <v>1480</v>
      </c>
      <c r="K512" s="2" t="s">
        <v>1481</v>
      </c>
      <c r="L512" s="2" t="s">
        <v>60</v>
      </c>
      <c r="M512" s="1" t="s">
        <v>1510</v>
      </c>
      <c r="N512" s="1" t="s">
        <v>62</v>
      </c>
      <c r="O512" s="1" t="s">
        <v>187</v>
      </c>
      <c r="P512" s="1" t="s">
        <v>1506</v>
      </c>
      <c r="Q512" s="1">
        <v>17.886007</v>
      </c>
      <c r="R512" s="1">
        <v>-88.899136</v>
      </c>
      <c r="S512" s="1" t="s">
        <v>1484</v>
      </c>
      <c r="T512" s="2" t="s">
        <v>169</v>
      </c>
      <c r="U512" s="1" t="s">
        <v>173</v>
      </c>
      <c r="V512" s="3" t="s">
        <v>68</v>
      </c>
      <c r="W512" s="1" t="s">
        <v>1044</v>
      </c>
      <c r="X512" s="1" t="s">
        <v>70</v>
      </c>
      <c r="Y512" s="6" t="s">
        <v>76</v>
      </c>
      <c r="Z512" s="3" t="s">
        <v>173</v>
      </c>
      <c r="AB512" s="1">
        <v>3.0</v>
      </c>
      <c r="AI512" s="1" t="s">
        <v>399</v>
      </c>
      <c r="AJ512" s="1">
        <v>270.0</v>
      </c>
      <c r="AK512" s="1">
        <v>1950.0</v>
      </c>
      <c r="AL512" s="2" t="s">
        <v>100</v>
      </c>
      <c r="AM512" s="2" t="s">
        <v>76</v>
      </c>
      <c r="AN512" s="2" t="s">
        <v>72</v>
      </c>
      <c r="AO512" s="2" t="s">
        <v>72</v>
      </c>
      <c r="AQ512" s="2" t="s">
        <v>75</v>
      </c>
      <c r="AR512" s="2" t="s">
        <v>76</v>
      </c>
      <c r="AS512" s="1">
        <v>1475.0</v>
      </c>
      <c r="AT512" s="1">
        <v>1475.0</v>
      </c>
      <c r="AU512" s="1">
        <v>592.0</v>
      </c>
      <c r="AV512" s="1">
        <v>37.0</v>
      </c>
      <c r="AW512" s="1">
        <v>119.0</v>
      </c>
      <c r="AX512" s="1">
        <v>5493.0</v>
      </c>
      <c r="AY512" s="1">
        <v>62.0</v>
      </c>
      <c r="AZ512" s="1" t="s">
        <v>133</v>
      </c>
      <c r="BA512" s="1" t="s">
        <v>121</v>
      </c>
    </row>
    <row r="513">
      <c r="A513" s="1" t="s">
        <v>1474</v>
      </c>
      <c r="B513" s="1" t="s">
        <v>53</v>
      </c>
      <c r="C513" s="1">
        <v>2019.0</v>
      </c>
      <c r="D513" s="1" t="s">
        <v>1475</v>
      </c>
      <c r="E513" s="1" t="s">
        <v>1476</v>
      </c>
      <c r="F513" s="1" t="s">
        <v>1477</v>
      </c>
      <c r="G513" s="1" t="s">
        <v>1478</v>
      </c>
      <c r="H513" s="1" t="s">
        <v>1479</v>
      </c>
      <c r="I513" s="1">
        <v>502.0</v>
      </c>
      <c r="J513" s="1" t="s">
        <v>1480</v>
      </c>
      <c r="K513" s="2" t="s">
        <v>1481</v>
      </c>
      <c r="L513" s="2" t="s">
        <v>60</v>
      </c>
      <c r="M513" s="1" t="s">
        <v>1511</v>
      </c>
      <c r="N513" s="1" t="s">
        <v>62</v>
      </c>
      <c r="O513" s="1" t="s">
        <v>187</v>
      </c>
      <c r="P513" s="1" t="s">
        <v>1506</v>
      </c>
      <c r="Q513" s="1">
        <v>17.886007</v>
      </c>
      <c r="R513" s="1">
        <v>-88.899136</v>
      </c>
      <c r="S513" s="1" t="s">
        <v>1484</v>
      </c>
      <c r="T513" s="3" t="s">
        <v>66</v>
      </c>
      <c r="U513" s="3" t="s">
        <v>67</v>
      </c>
      <c r="V513" s="3" t="s">
        <v>68</v>
      </c>
      <c r="W513" s="1" t="s">
        <v>1487</v>
      </c>
      <c r="X513" s="2" t="s">
        <v>72</v>
      </c>
      <c r="Y513" s="5" t="s">
        <v>60</v>
      </c>
      <c r="Z513" s="3" t="s">
        <v>345</v>
      </c>
      <c r="AB513" s="1">
        <v>3.0</v>
      </c>
      <c r="AI513" s="1" t="s">
        <v>399</v>
      </c>
      <c r="AJ513" s="1">
        <v>270.0</v>
      </c>
      <c r="AK513" s="1">
        <v>1950.0</v>
      </c>
      <c r="AL513" s="2" t="s">
        <v>100</v>
      </c>
      <c r="AM513" s="2" t="s">
        <v>76</v>
      </c>
      <c r="AN513" s="2" t="s">
        <v>72</v>
      </c>
      <c r="AO513" s="2" t="s">
        <v>72</v>
      </c>
      <c r="AQ513" s="2" t="s">
        <v>75</v>
      </c>
      <c r="AR513" s="2" t="s">
        <v>76</v>
      </c>
      <c r="AS513" s="1">
        <v>1475.0</v>
      </c>
      <c r="AT513" s="1">
        <v>1475.0</v>
      </c>
      <c r="AU513" s="1">
        <v>592.0</v>
      </c>
      <c r="AV513" s="1">
        <v>37.0</v>
      </c>
      <c r="AW513" s="1">
        <v>119.0</v>
      </c>
      <c r="AX513" s="1">
        <v>5493.0</v>
      </c>
      <c r="AY513" s="1">
        <v>62.0</v>
      </c>
      <c r="AZ513" s="1" t="s">
        <v>133</v>
      </c>
      <c r="BA513" s="1" t="s">
        <v>121</v>
      </c>
    </row>
    <row r="514">
      <c r="A514" s="1" t="s">
        <v>1474</v>
      </c>
      <c r="B514" s="1" t="s">
        <v>53</v>
      </c>
      <c r="C514" s="1">
        <v>2019.0</v>
      </c>
      <c r="D514" s="1" t="s">
        <v>1475</v>
      </c>
      <c r="E514" s="1" t="s">
        <v>1476</v>
      </c>
      <c r="F514" s="1" t="s">
        <v>1477</v>
      </c>
      <c r="G514" s="1" t="s">
        <v>1478</v>
      </c>
      <c r="H514" s="1" t="s">
        <v>1479</v>
      </c>
      <c r="I514" s="1">
        <v>502.0</v>
      </c>
      <c r="J514" s="1" t="s">
        <v>1480</v>
      </c>
      <c r="K514" s="2" t="s">
        <v>1481</v>
      </c>
      <c r="L514" s="2" t="s">
        <v>60</v>
      </c>
      <c r="M514" s="1" t="s">
        <v>1512</v>
      </c>
      <c r="N514" s="1" t="s">
        <v>62</v>
      </c>
      <c r="O514" s="1" t="s">
        <v>187</v>
      </c>
      <c r="P514" s="1" t="s">
        <v>1506</v>
      </c>
      <c r="Q514" s="1">
        <v>17.886007</v>
      </c>
      <c r="R514" s="1">
        <v>-88.899136</v>
      </c>
      <c r="S514" s="1" t="s">
        <v>1484</v>
      </c>
      <c r="T514" s="2" t="s">
        <v>293</v>
      </c>
      <c r="U514" s="1" t="s">
        <v>823</v>
      </c>
      <c r="V514" s="3" t="s">
        <v>138</v>
      </c>
      <c r="W514" s="1" t="s">
        <v>1489</v>
      </c>
      <c r="X514" s="2" t="s">
        <v>72</v>
      </c>
      <c r="Y514" s="5" t="s">
        <v>76</v>
      </c>
      <c r="Z514" s="3" t="s">
        <v>76</v>
      </c>
      <c r="AB514" s="1">
        <v>3.0</v>
      </c>
      <c r="AI514" s="1" t="s">
        <v>399</v>
      </c>
      <c r="AJ514" s="1">
        <v>270.0</v>
      </c>
      <c r="AK514" s="1">
        <v>1950.0</v>
      </c>
      <c r="AL514" s="2" t="s">
        <v>100</v>
      </c>
      <c r="AM514" s="2" t="s">
        <v>76</v>
      </c>
      <c r="AN514" s="2" t="s">
        <v>72</v>
      </c>
      <c r="AO514" s="2" t="s">
        <v>72</v>
      </c>
      <c r="AQ514" s="2" t="s">
        <v>75</v>
      </c>
      <c r="AR514" s="2" t="s">
        <v>76</v>
      </c>
      <c r="AS514" s="1">
        <v>1475.0</v>
      </c>
      <c r="AT514" s="1">
        <v>1475.0</v>
      </c>
      <c r="AU514" s="1">
        <v>592.0</v>
      </c>
      <c r="AV514" s="1">
        <v>37.0</v>
      </c>
      <c r="AW514" s="1">
        <v>119.0</v>
      </c>
      <c r="AX514" s="1">
        <v>5493.0</v>
      </c>
      <c r="AY514" s="1">
        <v>62.0</v>
      </c>
      <c r="AZ514" s="1" t="s">
        <v>133</v>
      </c>
      <c r="BA514" s="1" t="s">
        <v>121</v>
      </c>
    </row>
    <row r="515">
      <c r="A515" s="1" t="s">
        <v>1474</v>
      </c>
      <c r="B515" s="1" t="s">
        <v>53</v>
      </c>
      <c r="C515" s="1">
        <v>2019.0</v>
      </c>
      <c r="D515" s="1" t="s">
        <v>1475</v>
      </c>
      <c r="E515" s="1" t="s">
        <v>1476</v>
      </c>
      <c r="F515" s="1" t="s">
        <v>1477</v>
      </c>
      <c r="G515" s="1" t="s">
        <v>1478</v>
      </c>
      <c r="H515" s="1" t="s">
        <v>1479</v>
      </c>
      <c r="I515" s="1">
        <v>502.0</v>
      </c>
      <c r="J515" s="1" t="s">
        <v>1480</v>
      </c>
      <c r="K515" s="2" t="s">
        <v>1481</v>
      </c>
      <c r="L515" s="2" t="s">
        <v>60</v>
      </c>
      <c r="M515" s="1" t="s">
        <v>1513</v>
      </c>
      <c r="N515" s="1" t="s">
        <v>62</v>
      </c>
      <c r="O515" s="1" t="s">
        <v>187</v>
      </c>
      <c r="P515" s="1" t="s">
        <v>1506</v>
      </c>
      <c r="Q515" s="1">
        <v>17.886007</v>
      </c>
      <c r="R515" s="1">
        <v>-88.899136</v>
      </c>
      <c r="S515" s="1" t="s">
        <v>1484</v>
      </c>
      <c r="T515" s="2" t="s">
        <v>293</v>
      </c>
      <c r="U515" s="3" t="s">
        <v>823</v>
      </c>
      <c r="V515" s="3" t="s">
        <v>138</v>
      </c>
      <c r="W515" s="2" t="s">
        <v>72</v>
      </c>
      <c r="X515" s="2" t="s">
        <v>72</v>
      </c>
      <c r="Y515" s="6" t="s">
        <v>76</v>
      </c>
      <c r="Z515" s="3" t="s">
        <v>76</v>
      </c>
      <c r="AB515" s="1">
        <v>3.0</v>
      </c>
      <c r="AI515" s="1" t="s">
        <v>399</v>
      </c>
      <c r="AJ515" s="1">
        <v>270.0</v>
      </c>
      <c r="AK515" s="1">
        <v>1950.0</v>
      </c>
      <c r="AL515" s="2" t="s">
        <v>100</v>
      </c>
      <c r="AM515" s="2" t="s">
        <v>76</v>
      </c>
      <c r="AN515" s="2" t="s">
        <v>72</v>
      </c>
      <c r="AO515" s="2" t="s">
        <v>72</v>
      </c>
      <c r="AQ515" s="2" t="s">
        <v>75</v>
      </c>
      <c r="AR515" s="2" t="s">
        <v>76</v>
      </c>
      <c r="AS515" s="1">
        <v>1475.0</v>
      </c>
      <c r="AT515" s="1">
        <v>1475.0</v>
      </c>
      <c r="AU515" s="1">
        <v>592.0</v>
      </c>
      <c r="AV515" s="1">
        <v>37.0</v>
      </c>
      <c r="AW515" s="1">
        <v>119.0</v>
      </c>
      <c r="AX515" s="1">
        <v>5493.0</v>
      </c>
      <c r="AY515" s="1">
        <v>62.0</v>
      </c>
      <c r="AZ515" s="1" t="s">
        <v>133</v>
      </c>
      <c r="BA515" s="1" t="s">
        <v>121</v>
      </c>
    </row>
    <row r="516">
      <c r="A516" s="1" t="s">
        <v>1474</v>
      </c>
      <c r="B516" s="1" t="s">
        <v>53</v>
      </c>
      <c r="C516" s="1">
        <v>2019.0</v>
      </c>
      <c r="D516" s="1" t="s">
        <v>1475</v>
      </c>
      <c r="E516" s="1" t="s">
        <v>1476</v>
      </c>
      <c r="F516" s="1" t="s">
        <v>1477</v>
      </c>
      <c r="G516" s="1" t="s">
        <v>1478</v>
      </c>
      <c r="H516" s="1" t="s">
        <v>1479</v>
      </c>
      <c r="I516" s="1">
        <v>502.0</v>
      </c>
      <c r="J516" s="1" t="s">
        <v>1480</v>
      </c>
      <c r="K516" s="2" t="s">
        <v>1481</v>
      </c>
      <c r="L516" s="2" t="s">
        <v>60</v>
      </c>
      <c r="M516" s="1" t="s">
        <v>1514</v>
      </c>
      <c r="N516" s="1" t="s">
        <v>62</v>
      </c>
      <c r="O516" s="1" t="s">
        <v>187</v>
      </c>
      <c r="P516" s="1" t="s">
        <v>1506</v>
      </c>
      <c r="Q516" s="1">
        <v>17.886007</v>
      </c>
      <c r="R516" s="1">
        <v>-88.899136</v>
      </c>
      <c r="S516" s="1" t="s">
        <v>1484</v>
      </c>
      <c r="T516" s="2" t="s">
        <v>293</v>
      </c>
      <c r="U516" s="3" t="s">
        <v>823</v>
      </c>
      <c r="V516" s="3" t="s">
        <v>138</v>
      </c>
      <c r="W516" s="2" t="s">
        <v>72</v>
      </c>
      <c r="X516" s="2" t="s">
        <v>72</v>
      </c>
      <c r="Y516" s="6" t="s">
        <v>76</v>
      </c>
      <c r="Z516" s="3" t="s">
        <v>76</v>
      </c>
      <c r="AB516" s="1">
        <v>3.0</v>
      </c>
      <c r="AI516" s="1" t="s">
        <v>399</v>
      </c>
      <c r="AJ516" s="1">
        <v>270.0</v>
      </c>
      <c r="AK516" s="1">
        <v>1950.0</v>
      </c>
      <c r="AL516" s="2" t="s">
        <v>100</v>
      </c>
      <c r="AM516" s="2" t="s">
        <v>76</v>
      </c>
      <c r="AN516" s="2" t="s">
        <v>72</v>
      </c>
      <c r="AO516" s="2" t="s">
        <v>72</v>
      </c>
      <c r="AQ516" s="2" t="s">
        <v>75</v>
      </c>
      <c r="AR516" s="2" t="s">
        <v>76</v>
      </c>
      <c r="AS516" s="1">
        <v>1475.0</v>
      </c>
      <c r="AT516" s="1">
        <v>1475.0</v>
      </c>
      <c r="AU516" s="1">
        <v>592.0</v>
      </c>
      <c r="AV516" s="1">
        <v>37.0</v>
      </c>
      <c r="AW516" s="1">
        <v>119.0</v>
      </c>
      <c r="AX516" s="1">
        <v>5493.0</v>
      </c>
      <c r="AY516" s="1">
        <v>62.0</v>
      </c>
      <c r="AZ516" s="1" t="s">
        <v>133</v>
      </c>
      <c r="BA516" s="1" t="s">
        <v>121</v>
      </c>
    </row>
    <row r="517">
      <c r="A517" s="1" t="s">
        <v>1035</v>
      </c>
      <c r="B517" s="1" t="s">
        <v>53</v>
      </c>
      <c r="C517" s="1">
        <v>2019.0</v>
      </c>
      <c r="D517" s="1" t="s">
        <v>1036</v>
      </c>
      <c r="E517" s="1" t="s">
        <v>1037</v>
      </c>
      <c r="F517" s="1" t="s">
        <v>732</v>
      </c>
      <c r="G517" s="1" t="s">
        <v>1038</v>
      </c>
      <c r="H517" s="1" t="s">
        <v>1039</v>
      </c>
      <c r="I517" s="1">
        <v>62.0</v>
      </c>
      <c r="J517" s="1">
        <v>4.0</v>
      </c>
      <c r="K517" s="2" t="s">
        <v>1040</v>
      </c>
      <c r="L517" s="2" t="s">
        <v>60</v>
      </c>
      <c r="M517" s="1" t="s">
        <v>1041</v>
      </c>
      <c r="N517" s="1" t="s">
        <v>62</v>
      </c>
      <c r="O517" s="1" t="s">
        <v>92</v>
      </c>
      <c r="P517" s="1" t="s">
        <v>1042</v>
      </c>
      <c r="Q517" s="1">
        <v>20.681564</v>
      </c>
      <c r="R517" s="1">
        <v>-87.625762</v>
      </c>
      <c r="S517" s="1" t="s">
        <v>148</v>
      </c>
      <c r="T517" s="2" t="s">
        <v>169</v>
      </c>
      <c r="U517" s="2" t="s">
        <v>1043</v>
      </c>
      <c r="V517" s="3" t="s">
        <v>97</v>
      </c>
      <c r="W517" s="1" t="s">
        <v>1044</v>
      </c>
      <c r="X517" s="2" t="s">
        <v>72</v>
      </c>
      <c r="Y517" s="6" t="s">
        <v>76</v>
      </c>
      <c r="Z517" s="3" t="s">
        <v>76</v>
      </c>
      <c r="AB517" s="1">
        <v>12.0</v>
      </c>
      <c r="AI517" s="1" t="s">
        <v>1045</v>
      </c>
      <c r="AJ517" s="1">
        <v>-2050.0</v>
      </c>
      <c r="AK517" s="1">
        <v>1950.0</v>
      </c>
      <c r="AL517" s="2" t="s">
        <v>73</v>
      </c>
      <c r="AM517" s="2" t="s">
        <v>60</v>
      </c>
      <c r="AN517" s="2" t="s">
        <v>132</v>
      </c>
      <c r="AO517" s="2" t="s">
        <v>72</v>
      </c>
      <c r="AQ517" s="2" t="s">
        <v>102</v>
      </c>
      <c r="AR517" s="2" t="s">
        <v>76</v>
      </c>
      <c r="AS517" s="1">
        <v>1187.0</v>
      </c>
      <c r="AT517" s="1">
        <v>1187.0</v>
      </c>
      <c r="AU517" s="1">
        <v>504.0</v>
      </c>
      <c r="AV517" s="1">
        <v>44.0</v>
      </c>
      <c r="AW517" s="1">
        <v>138.0</v>
      </c>
      <c r="AX517" s="1">
        <v>5374.0</v>
      </c>
      <c r="AY517" s="1">
        <v>24.0</v>
      </c>
      <c r="AZ517" s="1" t="s">
        <v>239</v>
      </c>
      <c r="BA517" s="1" t="s">
        <v>121</v>
      </c>
    </row>
    <row r="518">
      <c r="A518" s="1" t="s">
        <v>1035</v>
      </c>
      <c r="B518" s="1" t="s">
        <v>53</v>
      </c>
      <c r="C518" s="1">
        <v>2019.0</v>
      </c>
      <c r="D518" s="1" t="s">
        <v>1036</v>
      </c>
      <c r="E518" s="1" t="s">
        <v>1037</v>
      </c>
      <c r="F518" s="1" t="s">
        <v>732</v>
      </c>
      <c r="G518" s="1" t="s">
        <v>1038</v>
      </c>
      <c r="H518" s="1" t="s">
        <v>1039</v>
      </c>
      <c r="I518" s="1">
        <v>62.0</v>
      </c>
      <c r="J518" s="1">
        <v>4.0</v>
      </c>
      <c r="K518" s="2" t="s">
        <v>1040</v>
      </c>
      <c r="L518" s="2" t="s">
        <v>60</v>
      </c>
      <c r="M518" s="1" t="s">
        <v>1046</v>
      </c>
      <c r="N518" s="1" t="s">
        <v>62</v>
      </c>
      <c r="O518" s="1" t="s">
        <v>92</v>
      </c>
      <c r="P518" s="1" t="s">
        <v>1042</v>
      </c>
      <c r="Q518" s="1">
        <v>20.681564</v>
      </c>
      <c r="R518" s="1">
        <v>-87.625762</v>
      </c>
      <c r="S518" s="1" t="s">
        <v>148</v>
      </c>
      <c r="T518" s="2" t="s">
        <v>1047</v>
      </c>
      <c r="U518" s="2" t="s">
        <v>1043</v>
      </c>
      <c r="V518" s="3" t="s">
        <v>97</v>
      </c>
      <c r="W518" s="1" t="s">
        <v>1048</v>
      </c>
      <c r="X518" s="2" t="s">
        <v>72</v>
      </c>
      <c r="Y518" s="6" t="s">
        <v>76</v>
      </c>
      <c r="Z518" s="3" t="s">
        <v>76</v>
      </c>
      <c r="AB518" s="1">
        <v>12.0</v>
      </c>
      <c r="AI518" s="1" t="s">
        <v>1045</v>
      </c>
      <c r="AJ518" s="1">
        <v>-2050.0</v>
      </c>
      <c r="AK518" s="1">
        <v>1950.0</v>
      </c>
      <c r="AL518" s="2" t="s">
        <v>73</v>
      </c>
      <c r="AM518" s="2" t="s">
        <v>60</v>
      </c>
      <c r="AN518" s="2" t="s">
        <v>132</v>
      </c>
      <c r="AO518" s="2" t="s">
        <v>72</v>
      </c>
      <c r="AQ518" s="2" t="s">
        <v>72</v>
      </c>
      <c r="AR518" s="2" t="s">
        <v>76</v>
      </c>
      <c r="AS518" s="1">
        <v>1187.0</v>
      </c>
      <c r="AT518" s="1">
        <v>1187.0</v>
      </c>
      <c r="AU518" s="1">
        <v>504.0</v>
      </c>
      <c r="AV518" s="1">
        <v>44.0</v>
      </c>
      <c r="AW518" s="1">
        <v>138.0</v>
      </c>
      <c r="AX518" s="1">
        <v>5374.0</v>
      </c>
      <c r="AY518" s="1">
        <v>24.0</v>
      </c>
      <c r="AZ518" s="1" t="s">
        <v>239</v>
      </c>
      <c r="BA518" s="1" t="s">
        <v>121</v>
      </c>
    </row>
    <row r="519">
      <c r="A519" s="1" t="s">
        <v>1343</v>
      </c>
      <c r="B519" s="1" t="s">
        <v>53</v>
      </c>
      <c r="C519" s="1">
        <v>2019.0</v>
      </c>
      <c r="D519" s="1" t="s">
        <v>1344</v>
      </c>
      <c r="E519" s="1" t="s">
        <v>1345</v>
      </c>
      <c r="F519" s="1" t="s">
        <v>793</v>
      </c>
      <c r="G519" s="1" t="s">
        <v>1346</v>
      </c>
      <c r="H519" s="1" t="s">
        <v>1347</v>
      </c>
      <c r="I519" s="1">
        <v>518.0</v>
      </c>
      <c r="K519" s="2" t="s">
        <v>1348</v>
      </c>
      <c r="L519" s="2" t="s">
        <v>60</v>
      </c>
      <c r="M519" s="1" t="s">
        <v>1349</v>
      </c>
      <c r="N519" s="1" t="s">
        <v>62</v>
      </c>
      <c r="O519" s="1" t="s">
        <v>112</v>
      </c>
      <c r="P519" s="1" t="s">
        <v>1350</v>
      </c>
      <c r="Q519" s="1">
        <v>9.468532</v>
      </c>
      <c r="R519" s="1">
        <v>-83.480059</v>
      </c>
      <c r="S519" s="1" t="s">
        <v>148</v>
      </c>
      <c r="T519" s="3" t="s">
        <v>1150</v>
      </c>
      <c r="U519" s="3" t="s">
        <v>81</v>
      </c>
      <c r="V519" s="3" t="s">
        <v>788</v>
      </c>
      <c r="W519" s="1" t="s">
        <v>1351</v>
      </c>
      <c r="X519" s="2" t="s">
        <v>928</v>
      </c>
      <c r="Y519" s="6" t="s">
        <v>76</v>
      </c>
      <c r="Z519" s="3" t="s">
        <v>84</v>
      </c>
      <c r="AB519" s="1">
        <v>8.0</v>
      </c>
      <c r="AI519" s="2" t="s">
        <v>72</v>
      </c>
      <c r="AJ519" s="1">
        <v>-6150.0</v>
      </c>
      <c r="AK519" s="1">
        <v>2014.0</v>
      </c>
      <c r="AL519" s="2" t="s">
        <v>100</v>
      </c>
      <c r="AM519" s="2" t="s">
        <v>72</v>
      </c>
      <c r="AN519" s="2" t="s">
        <v>132</v>
      </c>
      <c r="AO519" s="2" t="s">
        <v>72</v>
      </c>
      <c r="AQ519" s="2" t="s">
        <v>102</v>
      </c>
      <c r="AR519" s="2" t="s">
        <v>76</v>
      </c>
      <c r="AS519" s="1">
        <v>2510.0</v>
      </c>
      <c r="AT519" s="1">
        <v>2510.0</v>
      </c>
      <c r="AU519" s="1">
        <v>1054.0</v>
      </c>
      <c r="AV519" s="1">
        <v>28.0</v>
      </c>
      <c r="AW519" s="1">
        <v>87.0</v>
      </c>
      <c r="AX519" s="1">
        <v>6856.0</v>
      </c>
      <c r="AY519" s="1">
        <v>3450.0</v>
      </c>
      <c r="AZ519" s="1" t="s">
        <v>154</v>
      </c>
      <c r="BA519" s="1" t="s">
        <v>121</v>
      </c>
    </row>
    <row r="520">
      <c r="A520" s="1" t="s">
        <v>1343</v>
      </c>
      <c r="B520" s="1" t="s">
        <v>53</v>
      </c>
      <c r="C520" s="1">
        <v>2019.0</v>
      </c>
      <c r="D520" s="1" t="s">
        <v>1344</v>
      </c>
      <c r="E520" s="1" t="s">
        <v>1345</v>
      </c>
      <c r="F520" s="1" t="s">
        <v>793</v>
      </c>
      <c r="G520" s="1" t="s">
        <v>1346</v>
      </c>
      <c r="H520" s="1" t="s">
        <v>1347</v>
      </c>
      <c r="I520" s="1">
        <v>518.0</v>
      </c>
      <c r="K520" s="2" t="s">
        <v>1348</v>
      </c>
      <c r="L520" s="2" t="s">
        <v>60</v>
      </c>
      <c r="M520" s="1" t="s">
        <v>1352</v>
      </c>
      <c r="N520" s="1" t="s">
        <v>62</v>
      </c>
      <c r="O520" s="1" t="s">
        <v>112</v>
      </c>
      <c r="P520" s="1" t="s">
        <v>1350</v>
      </c>
      <c r="Q520" s="1">
        <v>9.468532</v>
      </c>
      <c r="R520" s="1">
        <v>-83.480059</v>
      </c>
      <c r="S520" s="1" t="s">
        <v>148</v>
      </c>
      <c r="T520" s="2" t="s">
        <v>135</v>
      </c>
      <c r="U520" s="3" t="s">
        <v>1353</v>
      </c>
      <c r="V520" s="3" t="s">
        <v>97</v>
      </c>
      <c r="W520" s="2" t="s">
        <v>72</v>
      </c>
      <c r="X520" s="1" t="s">
        <v>70</v>
      </c>
      <c r="Y520" s="5" t="s">
        <v>76</v>
      </c>
      <c r="Z520" s="3" t="s">
        <v>76</v>
      </c>
      <c r="AB520" s="1">
        <v>8.0</v>
      </c>
      <c r="AI520" s="2" t="s">
        <v>72</v>
      </c>
      <c r="AJ520" s="1">
        <v>-6150.0</v>
      </c>
      <c r="AK520" s="1">
        <v>2014.0</v>
      </c>
      <c r="AL520" s="2" t="s">
        <v>100</v>
      </c>
      <c r="AM520" s="2" t="s">
        <v>72</v>
      </c>
      <c r="AN520" s="2" t="s">
        <v>132</v>
      </c>
      <c r="AO520" s="2" t="s">
        <v>72</v>
      </c>
      <c r="AQ520" s="2" t="s">
        <v>102</v>
      </c>
      <c r="AR520" s="2" t="s">
        <v>76</v>
      </c>
      <c r="AS520" s="1">
        <v>2510.0</v>
      </c>
      <c r="AT520" s="1">
        <v>2510.0</v>
      </c>
      <c r="AU520" s="1">
        <v>1054.0</v>
      </c>
      <c r="AV520" s="1">
        <v>28.0</v>
      </c>
      <c r="AW520" s="1">
        <v>87.0</v>
      </c>
      <c r="AX520" s="1">
        <v>6856.0</v>
      </c>
      <c r="AY520" s="1">
        <v>3450.0</v>
      </c>
      <c r="AZ520" s="1" t="s">
        <v>154</v>
      </c>
      <c r="BA520" s="1" t="s">
        <v>121</v>
      </c>
    </row>
    <row r="521">
      <c r="A521" s="1" t="s">
        <v>322</v>
      </c>
      <c r="B521" s="1" t="s">
        <v>53</v>
      </c>
      <c r="C521" s="1">
        <v>2020.0</v>
      </c>
      <c r="D521" s="1" t="s">
        <v>323</v>
      </c>
      <c r="E521" s="1" t="s">
        <v>324</v>
      </c>
      <c r="F521" s="1" t="s">
        <v>325</v>
      </c>
      <c r="G521" s="1" t="s">
        <v>326</v>
      </c>
      <c r="H521" s="1" t="s">
        <v>327</v>
      </c>
      <c r="I521" s="1">
        <v>27.0</v>
      </c>
      <c r="J521" s="1">
        <v>14.0</v>
      </c>
      <c r="K521" s="2" t="s">
        <v>328</v>
      </c>
      <c r="L521" s="2" t="s">
        <v>60</v>
      </c>
      <c r="M521" s="1" t="s">
        <v>329</v>
      </c>
      <c r="N521" s="1" t="s">
        <v>62</v>
      </c>
      <c r="O521" s="1" t="s">
        <v>92</v>
      </c>
      <c r="P521" s="1" t="s">
        <v>330</v>
      </c>
      <c r="Q521" s="1">
        <v>16.097067</v>
      </c>
      <c r="R521" s="1">
        <v>-91.682166</v>
      </c>
      <c r="S521" s="1" t="s">
        <v>148</v>
      </c>
      <c r="T521" s="2" t="s">
        <v>169</v>
      </c>
      <c r="U521" s="2" t="s">
        <v>331</v>
      </c>
      <c r="V521" s="3" t="s">
        <v>68</v>
      </c>
      <c r="W521" s="1" t="s">
        <v>332</v>
      </c>
      <c r="X521" s="1" t="s">
        <v>70</v>
      </c>
      <c r="Y521" s="6" t="s">
        <v>76</v>
      </c>
      <c r="Z521" s="3" t="s">
        <v>173</v>
      </c>
      <c r="AD521" s="1">
        <v>7.0</v>
      </c>
      <c r="AJ521" s="1">
        <v>1950.0</v>
      </c>
      <c r="AK521" s="1">
        <v>2013.0</v>
      </c>
      <c r="AL521" s="2" t="s">
        <v>72</v>
      </c>
      <c r="AM521" s="2" t="s">
        <v>72</v>
      </c>
      <c r="AN521" s="2" t="s">
        <v>72</v>
      </c>
      <c r="AO521" s="2" t="s">
        <v>101</v>
      </c>
      <c r="AQ521" s="2" t="s">
        <v>75</v>
      </c>
      <c r="AR521" s="2" t="s">
        <v>76</v>
      </c>
      <c r="AS521" s="1">
        <v>2679.0</v>
      </c>
      <c r="AT521" s="1">
        <v>2679.0</v>
      </c>
      <c r="AU521" s="1">
        <v>1248.0</v>
      </c>
      <c r="AV521" s="1">
        <v>50.0</v>
      </c>
      <c r="AW521" s="1">
        <v>184.0</v>
      </c>
      <c r="AX521" s="1">
        <v>7104.0</v>
      </c>
      <c r="AY521" s="1">
        <v>1582.0</v>
      </c>
      <c r="AZ521" s="1" t="s">
        <v>333</v>
      </c>
      <c r="BA521" s="1" t="s">
        <v>121</v>
      </c>
    </row>
    <row r="522">
      <c r="A522" s="1" t="s">
        <v>322</v>
      </c>
      <c r="B522" s="1" t="s">
        <v>53</v>
      </c>
      <c r="C522" s="1">
        <v>2020.0</v>
      </c>
      <c r="D522" s="1" t="s">
        <v>323</v>
      </c>
      <c r="E522" s="1" t="s">
        <v>324</v>
      </c>
      <c r="F522" s="1" t="s">
        <v>325</v>
      </c>
      <c r="G522" s="1" t="s">
        <v>326</v>
      </c>
      <c r="H522" s="1" t="s">
        <v>327</v>
      </c>
      <c r="I522" s="1">
        <v>27.0</v>
      </c>
      <c r="J522" s="1">
        <v>14.0</v>
      </c>
      <c r="K522" s="2" t="s">
        <v>328</v>
      </c>
      <c r="L522" s="2" t="s">
        <v>60</v>
      </c>
      <c r="M522" s="1" t="s">
        <v>334</v>
      </c>
      <c r="N522" s="1" t="s">
        <v>62</v>
      </c>
      <c r="O522" s="1" t="s">
        <v>92</v>
      </c>
      <c r="P522" s="1" t="s">
        <v>330</v>
      </c>
      <c r="Q522" s="1">
        <v>16.097067</v>
      </c>
      <c r="R522" s="1">
        <v>-91.682166</v>
      </c>
      <c r="S522" s="1" t="s">
        <v>148</v>
      </c>
      <c r="T522" s="2" t="s">
        <v>149</v>
      </c>
      <c r="U522" s="3" t="s">
        <v>335</v>
      </c>
      <c r="V522" s="3" t="s">
        <v>68</v>
      </c>
      <c r="W522" s="1" t="s">
        <v>336</v>
      </c>
      <c r="X522" s="1" t="s">
        <v>70</v>
      </c>
      <c r="Y522" s="6" t="s">
        <v>76</v>
      </c>
      <c r="Z522" s="3" t="s">
        <v>76</v>
      </c>
      <c r="AD522" s="1">
        <v>7.0</v>
      </c>
      <c r="AJ522" s="1">
        <v>1950.0</v>
      </c>
      <c r="AK522" s="1">
        <v>2013.0</v>
      </c>
      <c r="AL522" s="2" t="s">
        <v>72</v>
      </c>
      <c r="AM522" s="2" t="s">
        <v>72</v>
      </c>
      <c r="AN522" s="2" t="s">
        <v>72</v>
      </c>
      <c r="AO522" s="2" t="s">
        <v>101</v>
      </c>
      <c r="AQ522" s="2" t="s">
        <v>75</v>
      </c>
      <c r="AR522" s="2" t="s">
        <v>76</v>
      </c>
      <c r="AS522" s="1">
        <v>2679.0</v>
      </c>
      <c r="AT522" s="1">
        <v>2679.0</v>
      </c>
      <c r="AU522" s="1">
        <v>1248.0</v>
      </c>
      <c r="AV522" s="1">
        <v>50.0</v>
      </c>
      <c r="AW522" s="1">
        <v>184.0</v>
      </c>
      <c r="AX522" s="1">
        <v>7104.0</v>
      </c>
      <c r="AY522" s="1">
        <v>1582.0</v>
      </c>
      <c r="AZ522" s="1" t="s">
        <v>333</v>
      </c>
      <c r="BA522" s="1" t="s">
        <v>121</v>
      </c>
    </row>
    <row r="523">
      <c r="A523" s="1" t="s">
        <v>159</v>
      </c>
      <c r="B523" s="1" t="s">
        <v>53</v>
      </c>
      <c r="C523" s="1">
        <v>2020.0</v>
      </c>
      <c r="D523" s="1" t="s">
        <v>160</v>
      </c>
      <c r="E523" s="1" t="s">
        <v>161</v>
      </c>
      <c r="F523" s="1" t="s">
        <v>162</v>
      </c>
      <c r="G523" s="1" t="s">
        <v>163</v>
      </c>
      <c r="H523" s="1" t="s">
        <v>164</v>
      </c>
      <c r="I523" s="1">
        <v>49.0</v>
      </c>
      <c r="J523" s="1">
        <v>2.0</v>
      </c>
      <c r="K523" s="2" t="s">
        <v>165</v>
      </c>
      <c r="L523" s="2" t="s">
        <v>60</v>
      </c>
      <c r="M523" s="1" t="s">
        <v>166</v>
      </c>
      <c r="N523" s="1" t="s">
        <v>62</v>
      </c>
      <c r="O523" s="1" t="s">
        <v>167</v>
      </c>
      <c r="P523" s="1" t="s">
        <v>168</v>
      </c>
      <c r="Q523" s="1">
        <v>16.147314</v>
      </c>
      <c r="R523" s="1">
        <v>-91.768701</v>
      </c>
      <c r="S523" s="1" t="s">
        <v>148</v>
      </c>
      <c r="T523" s="2" t="s">
        <v>169</v>
      </c>
      <c r="U523" s="2" t="s">
        <v>170</v>
      </c>
      <c r="V523" s="3" t="s">
        <v>171</v>
      </c>
      <c r="W523" s="2" t="s">
        <v>72</v>
      </c>
      <c r="X523" s="2" t="s">
        <v>172</v>
      </c>
      <c r="Y523" s="6" t="s">
        <v>76</v>
      </c>
      <c r="Z523" s="3" t="s">
        <v>173</v>
      </c>
      <c r="AB523" s="1">
        <v>4.0</v>
      </c>
      <c r="AI523" s="1" t="s">
        <v>174</v>
      </c>
      <c r="AJ523" s="1">
        <v>-1450.0</v>
      </c>
      <c r="AK523" s="1">
        <v>2013.0</v>
      </c>
      <c r="AL523" s="3" t="s">
        <v>73</v>
      </c>
      <c r="AM523" s="2" t="s">
        <v>72</v>
      </c>
      <c r="AN523" s="2" t="s">
        <v>132</v>
      </c>
      <c r="AO523" s="2" t="s">
        <v>72</v>
      </c>
      <c r="AQ523" s="2" t="s">
        <v>102</v>
      </c>
      <c r="AR523" s="2" t="s">
        <v>76</v>
      </c>
      <c r="AS523" s="1">
        <v>2150.0</v>
      </c>
      <c r="AT523" s="1">
        <v>2150.0</v>
      </c>
      <c r="AU523" s="1">
        <v>1038.0</v>
      </c>
      <c r="AV523" s="1">
        <v>35.0</v>
      </c>
      <c r="AW523" s="1">
        <v>132.0</v>
      </c>
      <c r="AX523" s="1">
        <v>7746.0</v>
      </c>
      <c r="AY523" s="1">
        <v>1497.0</v>
      </c>
      <c r="AZ523" s="1" t="s">
        <v>77</v>
      </c>
      <c r="BA523" s="1" t="s">
        <v>78</v>
      </c>
    </row>
    <row r="524">
      <c r="A524" s="1" t="s">
        <v>159</v>
      </c>
      <c r="B524" s="1" t="s">
        <v>53</v>
      </c>
      <c r="C524" s="1">
        <v>2020.0</v>
      </c>
      <c r="D524" s="1" t="s">
        <v>160</v>
      </c>
      <c r="E524" s="1" t="s">
        <v>161</v>
      </c>
      <c r="F524" s="1" t="s">
        <v>162</v>
      </c>
      <c r="G524" s="1" t="s">
        <v>163</v>
      </c>
      <c r="H524" s="1" t="s">
        <v>164</v>
      </c>
      <c r="I524" s="1">
        <v>49.0</v>
      </c>
      <c r="J524" s="1">
        <v>2.0</v>
      </c>
      <c r="K524" s="2" t="s">
        <v>165</v>
      </c>
      <c r="L524" s="2" t="s">
        <v>60</v>
      </c>
      <c r="M524" s="1" t="s">
        <v>175</v>
      </c>
      <c r="N524" s="1" t="s">
        <v>62</v>
      </c>
      <c r="O524" s="1" t="s">
        <v>167</v>
      </c>
      <c r="P524" s="1" t="s">
        <v>168</v>
      </c>
      <c r="Q524" s="1">
        <v>16.147314</v>
      </c>
      <c r="R524" s="1">
        <v>-91.768701</v>
      </c>
      <c r="S524" s="1" t="s">
        <v>148</v>
      </c>
      <c r="T524" s="2" t="s">
        <v>176</v>
      </c>
      <c r="U524" s="2" t="s">
        <v>177</v>
      </c>
      <c r="V524" s="3" t="s">
        <v>97</v>
      </c>
      <c r="W524" s="1" t="s">
        <v>178</v>
      </c>
      <c r="X524" s="1" t="s">
        <v>70</v>
      </c>
      <c r="Y524" s="6" t="s">
        <v>76</v>
      </c>
      <c r="Z524" s="3" t="s">
        <v>76</v>
      </c>
      <c r="AB524" s="1">
        <v>4.0</v>
      </c>
      <c r="AI524" s="1" t="s">
        <v>174</v>
      </c>
      <c r="AJ524" s="1">
        <v>-1450.0</v>
      </c>
      <c r="AK524" s="1">
        <v>2013.0</v>
      </c>
      <c r="AL524" s="3" t="s">
        <v>73</v>
      </c>
      <c r="AM524" s="2" t="s">
        <v>72</v>
      </c>
      <c r="AN524" s="2" t="s">
        <v>132</v>
      </c>
      <c r="AO524" s="2" t="s">
        <v>72</v>
      </c>
      <c r="AQ524" s="2" t="s">
        <v>102</v>
      </c>
      <c r="AR524" s="2" t="s">
        <v>76</v>
      </c>
      <c r="AS524" s="1">
        <v>2150.0</v>
      </c>
      <c r="AT524" s="1">
        <v>2150.0</v>
      </c>
      <c r="AU524" s="1">
        <v>1038.0</v>
      </c>
      <c r="AV524" s="1">
        <v>35.0</v>
      </c>
      <c r="AW524" s="1">
        <v>132.0</v>
      </c>
      <c r="AX524" s="1">
        <v>7746.0</v>
      </c>
      <c r="AY524" s="1">
        <v>1497.0</v>
      </c>
      <c r="AZ524" s="1" t="s">
        <v>77</v>
      </c>
      <c r="BA524" s="1" t="s">
        <v>78</v>
      </c>
    </row>
    <row r="525">
      <c r="A525" s="1" t="s">
        <v>1890</v>
      </c>
      <c r="B525" s="1" t="s">
        <v>53</v>
      </c>
      <c r="C525" s="1">
        <v>2020.0</v>
      </c>
      <c r="D525" s="1" t="s">
        <v>1891</v>
      </c>
      <c r="E525" s="1" t="s">
        <v>1892</v>
      </c>
      <c r="F525" s="1" t="s">
        <v>1884</v>
      </c>
      <c r="G525" s="1" t="s">
        <v>1893</v>
      </c>
      <c r="H525" s="1" t="s">
        <v>1894</v>
      </c>
      <c r="L525" s="2" t="s">
        <v>60</v>
      </c>
      <c r="M525" s="1" t="s">
        <v>1895</v>
      </c>
      <c r="N525" s="1" t="s">
        <v>62</v>
      </c>
      <c r="O525" s="1" t="s">
        <v>167</v>
      </c>
      <c r="P525" s="1" t="s">
        <v>263</v>
      </c>
      <c r="Q525" s="1">
        <v>16.000583</v>
      </c>
      <c r="R525" s="1">
        <v>-91.554216</v>
      </c>
      <c r="S525" s="1" t="s">
        <v>148</v>
      </c>
      <c r="T525" s="2" t="s">
        <v>66</v>
      </c>
      <c r="U525" s="3" t="s">
        <v>67</v>
      </c>
      <c r="V525" s="3" t="s">
        <v>68</v>
      </c>
      <c r="W525" s="1" t="s">
        <v>344</v>
      </c>
      <c r="X525" s="1" t="s">
        <v>70</v>
      </c>
      <c r="Y525" s="5" t="s">
        <v>60</v>
      </c>
      <c r="Z525" s="3" t="s">
        <v>71</v>
      </c>
      <c r="AB525" s="1">
        <v>4.0</v>
      </c>
      <c r="AD525" s="1">
        <v>10.0</v>
      </c>
      <c r="AI525" s="1" t="s">
        <v>523</v>
      </c>
      <c r="AJ525" s="1">
        <v>1550.0</v>
      </c>
      <c r="AK525" s="1">
        <v>2015.0</v>
      </c>
      <c r="AL525" s="2" t="s">
        <v>153</v>
      </c>
      <c r="AM525" s="2" t="s">
        <v>60</v>
      </c>
      <c r="AN525" s="2" t="s">
        <v>132</v>
      </c>
      <c r="AO525" s="2" t="s">
        <v>72</v>
      </c>
      <c r="AQ525" s="2" t="s">
        <v>102</v>
      </c>
      <c r="AR525" s="2" t="s">
        <v>60</v>
      </c>
      <c r="AS525" s="1">
        <v>3417.0</v>
      </c>
      <c r="AT525" s="1">
        <v>3417.0</v>
      </c>
      <c r="AU525" s="1">
        <v>1566.0</v>
      </c>
      <c r="AV525" s="1">
        <v>75.0</v>
      </c>
      <c r="AW525" s="1">
        <v>258.0</v>
      </c>
      <c r="AX525" s="1">
        <v>6710.0</v>
      </c>
      <c r="AY525" s="1">
        <v>1520.0</v>
      </c>
      <c r="AZ525" s="1" t="s">
        <v>77</v>
      </c>
      <c r="BA525" s="1" t="s">
        <v>78</v>
      </c>
    </row>
    <row r="526">
      <c r="A526" s="1" t="s">
        <v>1890</v>
      </c>
      <c r="B526" s="1" t="s">
        <v>53</v>
      </c>
      <c r="C526" s="1">
        <v>2020.0</v>
      </c>
      <c r="D526" s="1" t="s">
        <v>1891</v>
      </c>
      <c r="E526" s="1" t="s">
        <v>1892</v>
      </c>
      <c r="F526" s="1" t="s">
        <v>1884</v>
      </c>
      <c r="G526" s="1" t="s">
        <v>1893</v>
      </c>
      <c r="H526" s="1" t="s">
        <v>1894</v>
      </c>
      <c r="L526" s="2" t="s">
        <v>60</v>
      </c>
      <c r="M526" s="1" t="s">
        <v>1896</v>
      </c>
      <c r="N526" s="1" t="s">
        <v>62</v>
      </c>
      <c r="O526" s="1" t="s">
        <v>167</v>
      </c>
      <c r="P526" s="1" t="s">
        <v>263</v>
      </c>
      <c r="Q526" s="1">
        <v>16.000583</v>
      </c>
      <c r="R526" s="1">
        <v>-91.554216</v>
      </c>
      <c r="S526" s="1" t="s">
        <v>148</v>
      </c>
      <c r="T526" s="2" t="s">
        <v>80</v>
      </c>
      <c r="U526" s="1" t="s">
        <v>156</v>
      </c>
      <c r="V526" s="3" t="s">
        <v>68</v>
      </c>
      <c r="W526" s="1" t="s">
        <v>348</v>
      </c>
      <c r="X526" s="1" t="s">
        <v>349</v>
      </c>
      <c r="Y526" s="6" t="s">
        <v>76</v>
      </c>
      <c r="Z526" s="3" t="s">
        <v>76</v>
      </c>
      <c r="AB526" s="1">
        <v>4.0</v>
      </c>
      <c r="AD526" s="1">
        <v>10.0</v>
      </c>
      <c r="AI526" s="1" t="s">
        <v>523</v>
      </c>
      <c r="AJ526" s="1">
        <v>1550.0</v>
      </c>
      <c r="AK526" s="1">
        <v>2015.0</v>
      </c>
      <c r="AL526" s="2" t="s">
        <v>153</v>
      </c>
      <c r="AM526" s="2" t="s">
        <v>60</v>
      </c>
      <c r="AN526" s="2" t="s">
        <v>132</v>
      </c>
      <c r="AO526" s="2" t="s">
        <v>72</v>
      </c>
      <c r="AQ526" s="2" t="s">
        <v>102</v>
      </c>
      <c r="AR526" s="2" t="s">
        <v>60</v>
      </c>
      <c r="AS526" s="1">
        <v>3417.0</v>
      </c>
      <c r="AT526" s="1">
        <v>3417.0</v>
      </c>
      <c r="AU526" s="1">
        <v>1566.0</v>
      </c>
      <c r="AV526" s="1">
        <v>75.0</v>
      </c>
      <c r="AW526" s="1">
        <v>258.0</v>
      </c>
      <c r="AX526" s="1">
        <v>6710.0</v>
      </c>
      <c r="AY526" s="1">
        <v>1520.0</v>
      </c>
      <c r="AZ526" s="1" t="s">
        <v>77</v>
      </c>
      <c r="BA526" s="1" t="s">
        <v>78</v>
      </c>
    </row>
    <row r="527">
      <c r="A527" s="1" t="s">
        <v>1890</v>
      </c>
      <c r="B527" s="1" t="s">
        <v>53</v>
      </c>
      <c r="C527" s="1">
        <v>2020.0</v>
      </c>
      <c r="D527" s="1" t="s">
        <v>1891</v>
      </c>
      <c r="E527" s="1" t="s">
        <v>1892</v>
      </c>
      <c r="F527" s="1" t="s">
        <v>1884</v>
      </c>
      <c r="G527" s="1" t="s">
        <v>1893</v>
      </c>
      <c r="H527" s="1" t="s">
        <v>1894</v>
      </c>
      <c r="L527" s="2" t="s">
        <v>60</v>
      </c>
      <c r="M527" s="1" t="s">
        <v>1897</v>
      </c>
      <c r="N527" s="1" t="s">
        <v>62</v>
      </c>
      <c r="O527" s="1" t="s">
        <v>167</v>
      </c>
      <c r="P527" s="1" t="s">
        <v>263</v>
      </c>
      <c r="Q527" s="1">
        <v>16.000583</v>
      </c>
      <c r="R527" s="1">
        <v>-91.554216</v>
      </c>
      <c r="S527" s="1" t="s">
        <v>148</v>
      </c>
      <c r="T527" s="3" t="s">
        <v>1150</v>
      </c>
      <c r="U527" s="1" t="s">
        <v>156</v>
      </c>
      <c r="V527" s="3" t="s">
        <v>68</v>
      </c>
      <c r="W527" s="1" t="s">
        <v>82</v>
      </c>
      <c r="X527" s="2" t="s">
        <v>158</v>
      </c>
      <c r="Y527" s="6" t="s">
        <v>76</v>
      </c>
      <c r="Z527" s="3" t="s">
        <v>76</v>
      </c>
      <c r="AB527" s="1">
        <v>4.0</v>
      </c>
      <c r="AD527" s="1">
        <v>10.0</v>
      </c>
      <c r="AI527" s="1" t="s">
        <v>523</v>
      </c>
      <c r="AJ527" s="1">
        <v>1550.0</v>
      </c>
      <c r="AK527" s="1">
        <v>2015.0</v>
      </c>
      <c r="AL527" s="2" t="s">
        <v>153</v>
      </c>
      <c r="AM527" s="2" t="s">
        <v>60</v>
      </c>
      <c r="AN527" s="2" t="s">
        <v>132</v>
      </c>
      <c r="AO527" s="2" t="s">
        <v>72</v>
      </c>
      <c r="AQ527" s="2" t="s">
        <v>102</v>
      </c>
      <c r="AR527" s="2" t="s">
        <v>60</v>
      </c>
      <c r="AS527" s="1">
        <v>3417.0</v>
      </c>
      <c r="AT527" s="1">
        <v>3417.0</v>
      </c>
      <c r="AU527" s="1">
        <v>1566.0</v>
      </c>
      <c r="AV527" s="1">
        <v>75.0</v>
      </c>
      <c r="AW527" s="1">
        <v>258.0</v>
      </c>
      <c r="AX527" s="1">
        <v>6710.0</v>
      </c>
      <c r="AY527" s="1">
        <v>1520.0</v>
      </c>
      <c r="AZ527" s="1" t="s">
        <v>77</v>
      </c>
      <c r="BA527" s="1" t="s">
        <v>78</v>
      </c>
    </row>
    <row r="528">
      <c r="A528" s="1" t="s">
        <v>1890</v>
      </c>
      <c r="B528" s="1" t="s">
        <v>53</v>
      </c>
      <c r="C528" s="1">
        <v>2020.0</v>
      </c>
      <c r="D528" s="1" t="s">
        <v>1891</v>
      </c>
      <c r="E528" s="1" t="s">
        <v>1892</v>
      </c>
      <c r="F528" s="1" t="s">
        <v>1884</v>
      </c>
      <c r="G528" s="1" t="s">
        <v>1893</v>
      </c>
      <c r="H528" s="1" t="s">
        <v>1894</v>
      </c>
      <c r="L528" s="2" t="s">
        <v>60</v>
      </c>
      <c r="M528" s="1" t="s">
        <v>1898</v>
      </c>
      <c r="N528" s="1" t="s">
        <v>62</v>
      </c>
      <c r="O528" s="1" t="s">
        <v>167</v>
      </c>
      <c r="P528" s="1" t="s">
        <v>263</v>
      </c>
      <c r="Q528" s="1">
        <v>16.000583</v>
      </c>
      <c r="R528" s="1">
        <v>-91.554216</v>
      </c>
      <c r="S528" s="1" t="s">
        <v>148</v>
      </c>
      <c r="T528" s="2" t="s">
        <v>352</v>
      </c>
      <c r="U528" s="7" t="s">
        <v>353</v>
      </c>
      <c r="V528" s="3" t="s">
        <v>116</v>
      </c>
      <c r="W528" s="1" t="s">
        <v>344</v>
      </c>
      <c r="X528" s="2" t="s">
        <v>355</v>
      </c>
      <c r="Y528" s="6" t="s">
        <v>76</v>
      </c>
      <c r="Z528" s="3" t="s">
        <v>76</v>
      </c>
      <c r="AB528" s="1">
        <v>4.0</v>
      </c>
      <c r="AD528" s="1">
        <v>10.0</v>
      </c>
      <c r="AI528" s="1" t="s">
        <v>523</v>
      </c>
      <c r="AJ528" s="1">
        <v>1550.0</v>
      </c>
      <c r="AK528" s="1">
        <v>2015.0</v>
      </c>
      <c r="AL528" s="2" t="s">
        <v>153</v>
      </c>
      <c r="AM528" s="2" t="s">
        <v>60</v>
      </c>
      <c r="AN528" s="2" t="s">
        <v>132</v>
      </c>
      <c r="AO528" s="2" t="s">
        <v>72</v>
      </c>
      <c r="AQ528" s="2" t="s">
        <v>102</v>
      </c>
      <c r="AR528" s="2" t="s">
        <v>60</v>
      </c>
      <c r="AS528" s="1">
        <v>3417.0</v>
      </c>
      <c r="AT528" s="1">
        <v>3417.0</v>
      </c>
      <c r="AU528" s="1">
        <v>1566.0</v>
      </c>
      <c r="AV528" s="1">
        <v>75.0</v>
      </c>
      <c r="AW528" s="1">
        <v>258.0</v>
      </c>
      <c r="AX528" s="1">
        <v>6710.0</v>
      </c>
      <c r="AY528" s="1">
        <v>1520.0</v>
      </c>
      <c r="AZ528" s="1" t="s">
        <v>77</v>
      </c>
      <c r="BA528" s="1" t="s">
        <v>78</v>
      </c>
    </row>
    <row r="529">
      <c r="A529" s="1" t="s">
        <v>1049</v>
      </c>
      <c r="B529" s="1" t="s">
        <v>53</v>
      </c>
      <c r="C529" s="1">
        <v>2020.0</v>
      </c>
      <c r="D529" s="1" t="s">
        <v>1050</v>
      </c>
      <c r="E529" s="1" t="s">
        <v>1051</v>
      </c>
      <c r="F529" s="1" t="s">
        <v>732</v>
      </c>
      <c r="G529" s="1" t="s">
        <v>1052</v>
      </c>
      <c r="H529" s="1" t="s">
        <v>1053</v>
      </c>
      <c r="I529" s="1">
        <v>64.0</v>
      </c>
      <c r="J529" s="1">
        <v>1.0</v>
      </c>
      <c r="K529" s="2" t="s">
        <v>1054</v>
      </c>
      <c r="L529" s="2" t="s">
        <v>60</v>
      </c>
      <c r="M529" s="1" t="s">
        <v>1055</v>
      </c>
      <c r="N529" s="1" t="s">
        <v>62</v>
      </c>
      <c r="O529" s="1" t="s">
        <v>112</v>
      </c>
      <c r="P529" s="1" t="s">
        <v>1056</v>
      </c>
      <c r="Q529" s="1">
        <v>9.1122</v>
      </c>
      <c r="R529" s="1">
        <v>-83.448</v>
      </c>
      <c r="S529" s="1" t="s">
        <v>148</v>
      </c>
      <c r="T529" s="3" t="s">
        <v>1150</v>
      </c>
      <c r="U529" s="3" t="s">
        <v>81</v>
      </c>
      <c r="V529" s="3" t="s">
        <v>788</v>
      </c>
      <c r="W529" s="1" t="s">
        <v>264</v>
      </c>
      <c r="X529" s="2" t="s">
        <v>355</v>
      </c>
      <c r="Y529" s="6" t="s">
        <v>76</v>
      </c>
      <c r="Z529" s="3" t="s">
        <v>84</v>
      </c>
      <c r="AA529" s="1">
        <v>1.0</v>
      </c>
      <c r="AB529" s="1">
        <v>4.0</v>
      </c>
      <c r="AI529" s="1" t="s">
        <v>1057</v>
      </c>
      <c r="AJ529" s="1">
        <v>1150.0</v>
      </c>
      <c r="AK529" s="1">
        <v>2014.0</v>
      </c>
      <c r="AL529" s="2" t="s">
        <v>100</v>
      </c>
      <c r="AM529" s="2" t="s">
        <v>72</v>
      </c>
      <c r="AN529" s="2" t="s">
        <v>132</v>
      </c>
      <c r="AO529" s="2" t="s">
        <v>72</v>
      </c>
      <c r="AQ529" s="2" t="s">
        <v>102</v>
      </c>
      <c r="AR529" s="2" t="s">
        <v>76</v>
      </c>
      <c r="AS529" s="1">
        <v>3163.0</v>
      </c>
      <c r="AT529" s="1">
        <v>3163.0</v>
      </c>
      <c r="AU529" s="1">
        <v>1321.0</v>
      </c>
      <c r="AV529" s="1">
        <v>40.0</v>
      </c>
      <c r="AW529" s="1">
        <v>143.0</v>
      </c>
      <c r="AX529" s="1">
        <v>6146.0</v>
      </c>
      <c r="AY529" s="1">
        <v>476.0</v>
      </c>
      <c r="AZ529" s="1" t="s">
        <v>281</v>
      </c>
      <c r="BA529" s="1" t="s">
        <v>121</v>
      </c>
    </row>
    <row r="530">
      <c r="A530" s="1" t="s">
        <v>1049</v>
      </c>
      <c r="B530" s="1" t="s">
        <v>53</v>
      </c>
      <c r="C530" s="1">
        <v>2020.0</v>
      </c>
      <c r="D530" s="1" t="s">
        <v>1050</v>
      </c>
      <c r="E530" s="1" t="s">
        <v>1051</v>
      </c>
      <c r="F530" s="1" t="s">
        <v>732</v>
      </c>
      <c r="G530" s="1" t="s">
        <v>1052</v>
      </c>
      <c r="H530" s="1" t="s">
        <v>1053</v>
      </c>
      <c r="I530" s="1">
        <v>64.0</v>
      </c>
      <c r="J530" s="1">
        <v>1.0</v>
      </c>
      <c r="K530" s="2" t="s">
        <v>1054</v>
      </c>
      <c r="L530" s="2" t="s">
        <v>60</v>
      </c>
      <c r="M530" s="1" t="s">
        <v>1058</v>
      </c>
      <c r="N530" s="1" t="s">
        <v>62</v>
      </c>
      <c r="O530" s="1" t="s">
        <v>112</v>
      </c>
      <c r="P530" s="1" t="s">
        <v>1056</v>
      </c>
      <c r="Q530" s="1">
        <v>9.1122</v>
      </c>
      <c r="R530" s="1">
        <v>-83.448</v>
      </c>
      <c r="S530" s="1" t="s">
        <v>148</v>
      </c>
      <c r="T530" s="2" t="s">
        <v>388</v>
      </c>
      <c r="U530" s="3" t="s">
        <v>1059</v>
      </c>
      <c r="V530" s="3" t="s">
        <v>68</v>
      </c>
      <c r="W530" s="1" t="s">
        <v>547</v>
      </c>
      <c r="X530" s="1" t="s">
        <v>70</v>
      </c>
      <c r="Y530" s="6" t="s">
        <v>76</v>
      </c>
      <c r="Z530" s="3" t="s">
        <v>411</v>
      </c>
      <c r="AA530" s="1">
        <v>1.0</v>
      </c>
      <c r="AB530" s="1">
        <v>4.0</v>
      </c>
      <c r="AI530" s="1" t="s">
        <v>1057</v>
      </c>
      <c r="AJ530" s="1">
        <v>1150.0</v>
      </c>
      <c r="AK530" s="1">
        <v>2014.0</v>
      </c>
      <c r="AL530" s="2" t="s">
        <v>100</v>
      </c>
      <c r="AM530" s="2" t="s">
        <v>72</v>
      </c>
      <c r="AN530" s="2" t="s">
        <v>132</v>
      </c>
      <c r="AO530" s="2" t="s">
        <v>72</v>
      </c>
      <c r="AQ530" s="2" t="s">
        <v>102</v>
      </c>
      <c r="AR530" s="2" t="s">
        <v>76</v>
      </c>
      <c r="AS530" s="1">
        <v>3163.0</v>
      </c>
      <c r="AT530" s="1">
        <v>3163.0</v>
      </c>
      <c r="AU530" s="1">
        <v>1321.0</v>
      </c>
      <c r="AV530" s="1">
        <v>40.0</v>
      </c>
      <c r="AW530" s="1">
        <v>143.0</v>
      </c>
      <c r="AX530" s="1">
        <v>6146.0</v>
      </c>
      <c r="AY530" s="1">
        <v>476.0</v>
      </c>
      <c r="AZ530" s="1" t="s">
        <v>281</v>
      </c>
      <c r="BA530" s="1" t="s">
        <v>121</v>
      </c>
    </row>
    <row r="531">
      <c r="A531" s="1" t="s">
        <v>1049</v>
      </c>
      <c r="B531" s="1" t="s">
        <v>53</v>
      </c>
      <c r="C531" s="1">
        <v>2020.0</v>
      </c>
      <c r="D531" s="1" t="s">
        <v>1050</v>
      </c>
      <c r="E531" s="1" t="s">
        <v>1051</v>
      </c>
      <c r="F531" s="1" t="s">
        <v>732</v>
      </c>
      <c r="G531" s="1" t="s">
        <v>1052</v>
      </c>
      <c r="H531" s="1" t="s">
        <v>1053</v>
      </c>
      <c r="I531" s="1">
        <v>64.0</v>
      </c>
      <c r="J531" s="1">
        <v>1.0</v>
      </c>
      <c r="K531" s="2" t="s">
        <v>1054</v>
      </c>
      <c r="L531" s="2" t="s">
        <v>60</v>
      </c>
      <c r="M531" s="1" t="s">
        <v>1061</v>
      </c>
      <c r="N531" s="1" t="s">
        <v>62</v>
      </c>
      <c r="O531" s="1" t="s">
        <v>112</v>
      </c>
      <c r="P531" s="1" t="s">
        <v>1056</v>
      </c>
      <c r="Q531" s="1">
        <v>9.1122</v>
      </c>
      <c r="R531" s="1">
        <v>-83.448</v>
      </c>
      <c r="S531" s="1" t="s">
        <v>148</v>
      </c>
      <c r="T531" s="2" t="s">
        <v>135</v>
      </c>
      <c r="U531" s="3" t="s">
        <v>1059</v>
      </c>
      <c r="V531" s="3" t="s">
        <v>68</v>
      </c>
      <c r="W531" s="1" t="s">
        <v>547</v>
      </c>
      <c r="X531" s="1" t="s">
        <v>70</v>
      </c>
      <c r="Y531" s="6" t="s">
        <v>76</v>
      </c>
      <c r="Z531" s="3" t="s">
        <v>173</v>
      </c>
      <c r="AA531" s="1">
        <v>1.0</v>
      </c>
      <c r="AB531" s="1">
        <v>4.0</v>
      </c>
      <c r="AI531" s="1" t="s">
        <v>1057</v>
      </c>
      <c r="AJ531" s="1">
        <v>1150.0</v>
      </c>
      <c r="AK531" s="1">
        <v>2014.0</v>
      </c>
      <c r="AL531" s="2" t="s">
        <v>100</v>
      </c>
      <c r="AM531" s="2" t="s">
        <v>72</v>
      </c>
      <c r="AN531" s="2" t="s">
        <v>132</v>
      </c>
      <c r="AO531" s="2" t="s">
        <v>72</v>
      </c>
      <c r="AQ531" s="2" t="s">
        <v>102</v>
      </c>
      <c r="AR531" s="2" t="s">
        <v>76</v>
      </c>
      <c r="AS531" s="1">
        <v>3163.0</v>
      </c>
      <c r="AT531" s="1">
        <v>3163.0</v>
      </c>
      <c r="AU531" s="1">
        <v>1321.0</v>
      </c>
      <c r="AV531" s="1">
        <v>40.0</v>
      </c>
      <c r="AW531" s="1">
        <v>143.0</v>
      </c>
      <c r="AX531" s="1">
        <v>6146.0</v>
      </c>
      <c r="AY531" s="1">
        <v>476.0</v>
      </c>
      <c r="AZ531" s="1" t="s">
        <v>281</v>
      </c>
      <c r="BA531" s="1" t="s">
        <v>121</v>
      </c>
    </row>
    <row r="532">
      <c r="A532" s="1" t="s">
        <v>1049</v>
      </c>
      <c r="B532" s="1" t="s">
        <v>53</v>
      </c>
      <c r="C532" s="1">
        <v>2020.0</v>
      </c>
      <c r="D532" s="1" t="s">
        <v>1050</v>
      </c>
      <c r="E532" s="1" t="s">
        <v>1051</v>
      </c>
      <c r="F532" s="1" t="s">
        <v>732</v>
      </c>
      <c r="G532" s="1" t="s">
        <v>1052</v>
      </c>
      <c r="H532" s="1" t="s">
        <v>1053</v>
      </c>
      <c r="I532" s="1">
        <v>64.0</v>
      </c>
      <c r="J532" s="1">
        <v>1.0</v>
      </c>
      <c r="K532" s="2" t="s">
        <v>1054</v>
      </c>
      <c r="L532" s="2" t="s">
        <v>60</v>
      </c>
      <c r="M532" s="1" t="s">
        <v>1062</v>
      </c>
      <c r="N532" s="1" t="s">
        <v>62</v>
      </c>
      <c r="O532" s="1" t="s">
        <v>112</v>
      </c>
      <c r="P532" s="1" t="s">
        <v>1063</v>
      </c>
      <c r="Q532" s="1">
        <v>9.0669</v>
      </c>
      <c r="R532" s="1">
        <v>-83.3472</v>
      </c>
      <c r="S532" s="1" t="s">
        <v>148</v>
      </c>
      <c r="T532" s="3" t="s">
        <v>1150</v>
      </c>
      <c r="U532" s="3" t="s">
        <v>81</v>
      </c>
      <c r="V532" s="3" t="s">
        <v>788</v>
      </c>
      <c r="W532" s="1" t="s">
        <v>264</v>
      </c>
      <c r="X532" s="2" t="s">
        <v>355</v>
      </c>
      <c r="Y532" s="6" t="s">
        <v>76</v>
      </c>
      <c r="Z532" s="3" t="s">
        <v>84</v>
      </c>
      <c r="AA532" s="1">
        <v>1.0</v>
      </c>
      <c r="AB532" s="1">
        <v>5.0</v>
      </c>
      <c r="AI532" s="1" t="s">
        <v>1064</v>
      </c>
      <c r="AJ532" s="1">
        <v>1600.0</v>
      </c>
      <c r="AK532" s="1">
        <v>2014.0</v>
      </c>
      <c r="AL532" s="2" t="s">
        <v>73</v>
      </c>
      <c r="AM532" s="2" t="s">
        <v>72</v>
      </c>
      <c r="AN532" s="2" t="s">
        <v>132</v>
      </c>
      <c r="AO532" s="2" t="s">
        <v>72</v>
      </c>
      <c r="AQ532" s="2" t="s">
        <v>102</v>
      </c>
      <c r="AR532" s="2" t="s">
        <v>76</v>
      </c>
      <c r="AS532" s="1">
        <v>2845.0</v>
      </c>
      <c r="AT532" s="1">
        <v>2845.0</v>
      </c>
      <c r="AU532" s="1">
        <v>1222.0</v>
      </c>
      <c r="AV532" s="1">
        <v>15.0</v>
      </c>
      <c r="AW532" s="1">
        <v>108.0</v>
      </c>
      <c r="AX532" s="1">
        <v>6850.0</v>
      </c>
      <c r="AY532" s="1">
        <v>356.0</v>
      </c>
      <c r="AZ532" s="1" t="s">
        <v>281</v>
      </c>
      <c r="BA532" s="1" t="s">
        <v>121</v>
      </c>
    </row>
    <row r="533">
      <c r="A533" s="1" t="s">
        <v>1049</v>
      </c>
      <c r="B533" s="1" t="s">
        <v>53</v>
      </c>
      <c r="C533" s="1">
        <v>2020.0</v>
      </c>
      <c r="D533" s="1" t="s">
        <v>1050</v>
      </c>
      <c r="E533" s="1" t="s">
        <v>1051</v>
      </c>
      <c r="F533" s="1" t="s">
        <v>732</v>
      </c>
      <c r="G533" s="1" t="s">
        <v>1052</v>
      </c>
      <c r="H533" s="1" t="s">
        <v>1053</v>
      </c>
      <c r="I533" s="1">
        <v>64.0</v>
      </c>
      <c r="J533" s="1">
        <v>1.0</v>
      </c>
      <c r="K533" s="2" t="s">
        <v>1054</v>
      </c>
      <c r="L533" s="2" t="s">
        <v>60</v>
      </c>
      <c r="M533" s="1" t="s">
        <v>1065</v>
      </c>
      <c r="N533" s="1" t="s">
        <v>62</v>
      </c>
      <c r="O533" s="1" t="s">
        <v>112</v>
      </c>
      <c r="P533" s="1" t="s">
        <v>1063</v>
      </c>
      <c r="Q533" s="1">
        <v>9.0669</v>
      </c>
      <c r="R533" s="1">
        <v>-83.3472</v>
      </c>
      <c r="S533" s="1" t="s">
        <v>148</v>
      </c>
      <c r="T533" s="2" t="s">
        <v>388</v>
      </c>
      <c r="U533" s="3" t="s">
        <v>1059</v>
      </c>
      <c r="V533" s="3" t="s">
        <v>68</v>
      </c>
      <c r="W533" s="1" t="s">
        <v>547</v>
      </c>
      <c r="X533" s="1" t="s">
        <v>70</v>
      </c>
      <c r="Y533" s="6" t="s">
        <v>76</v>
      </c>
      <c r="Z533" s="3" t="s">
        <v>411</v>
      </c>
      <c r="AA533" s="1">
        <v>1.0</v>
      </c>
      <c r="AB533" s="1">
        <v>5.0</v>
      </c>
      <c r="AI533" s="1" t="s">
        <v>1064</v>
      </c>
      <c r="AJ533" s="1">
        <v>1600.0</v>
      </c>
      <c r="AK533" s="1">
        <v>2014.0</v>
      </c>
      <c r="AL533" s="2" t="s">
        <v>73</v>
      </c>
      <c r="AM533" s="2" t="s">
        <v>72</v>
      </c>
      <c r="AN533" s="2" t="s">
        <v>132</v>
      </c>
      <c r="AO533" s="2" t="s">
        <v>72</v>
      </c>
      <c r="AQ533" s="2" t="s">
        <v>102</v>
      </c>
      <c r="AR533" s="2" t="s">
        <v>76</v>
      </c>
      <c r="AS533" s="1">
        <v>2845.0</v>
      </c>
      <c r="AT533" s="1">
        <v>2845.0</v>
      </c>
      <c r="AU533" s="1">
        <v>1222.0</v>
      </c>
      <c r="AV533" s="1">
        <v>15.0</v>
      </c>
      <c r="AW533" s="1">
        <v>108.0</v>
      </c>
      <c r="AX533" s="1">
        <v>6850.0</v>
      </c>
      <c r="AY533" s="1">
        <v>356.0</v>
      </c>
      <c r="AZ533" s="1" t="s">
        <v>281</v>
      </c>
      <c r="BA533" s="1" t="s">
        <v>121</v>
      </c>
    </row>
    <row r="534">
      <c r="A534" s="1" t="s">
        <v>1049</v>
      </c>
      <c r="B534" s="1" t="s">
        <v>53</v>
      </c>
      <c r="C534" s="1">
        <v>2020.0</v>
      </c>
      <c r="D534" s="1" t="s">
        <v>1050</v>
      </c>
      <c r="E534" s="1" t="s">
        <v>1051</v>
      </c>
      <c r="F534" s="1" t="s">
        <v>732</v>
      </c>
      <c r="G534" s="1" t="s">
        <v>1052</v>
      </c>
      <c r="H534" s="1" t="s">
        <v>1053</v>
      </c>
      <c r="I534" s="1">
        <v>64.0</v>
      </c>
      <c r="J534" s="1">
        <v>1.0</v>
      </c>
      <c r="K534" s="2" t="s">
        <v>1054</v>
      </c>
      <c r="L534" s="2" t="s">
        <v>60</v>
      </c>
      <c r="M534" s="1" t="s">
        <v>1066</v>
      </c>
      <c r="N534" s="1" t="s">
        <v>62</v>
      </c>
      <c r="O534" s="1" t="s">
        <v>112</v>
      </c>
      <c r="P534" s="1" t="s">
        <v>1063</v>
      </c>
      <c r="Q534" s="1">
        <v>9.0669</v>
      </c>
      <c r="R534" s="1">
        <v>-83.3472</v>
      </c>
      <c r="S534" s="1" t="s">
        <v>148</v>
      </c>
      <c r="T534" s="2" t="s">
        <v>135</v>
      </c>
      <c r="U534" s="3" t="s">
        <v>1059</v>
      </c>
      <c r="V534" s="3" t="s">
        <v>68</v>
      </c>
      <c r="W534" s="1" t="s">
        <v>547</v>
      </c>
      <c r="X534" s="1" t="s">
        <v>70</v>
      </c>
      <c r="Y534" s="6" t="s">
        <v>76</v>
      </c>
      <c r="Z534" s="3" t="s">
        <v>173</v>
      </c>
      <c r="AA534" s="1">
        <v>1.0</v>
      </c>
      <c r="AB534" s="1">
        <v>5.0</v>
      </c>
      <c r="AI534" s="1" t="s">
        <v>1064</v>
      </c>
      <c r="AJ534" s="1">
        <v>1600.0</v>
      </c>
      <c r="AK534" s="1">
        <v>2014.0</v>
      </c>
      <c r="AL534" s="2" t="s">
        <v>73</v>
      </c>
      <c r="AM534" s="2" t="s">
        <v>72</v>
      </c>
      <c r="AN534" s="2" t="s">
        <v>132</v>
      </c>
      <c r="AO534" s="2" t="s">
        <v>72</v>
      </c>
      <c r="AQ534" s="2" t="s">
        <v>102</v>
      </c>
      <c r="AR534" s="2" t="s">
        <v>76</v>
      </c>
      <c r="AS534" s="1">
        <v>2845.0</v>
      </c>
      <c r="AT534" s="1">
        <v>2845.0</v>
      </c>
      <c r="AU534" s="1">
        <v>1222.0</v>
      </c>
      <c r="AV534" s="1">
        <v>15.0</v>
      </c>
      <c r="AW534" s="1">
        <v>108.0</v>
      </c>
      <c r="AX534" s="1">
        <v>6850.0</v>
      </c>
      <c r="AY534" s="1">
        <v>356.0</v>
      </c>
      <c r="AZ534" s="1" t="s">
        <v>281</v>
      </c>
      <c r="BA534" s="1" t="s">
        <v>121</v>
      </c>
    </row>
    <row r="535">
      <c r="A535" s="1" t="s">
        <v>1899</v>
      </c>
      <c r="B535" s="1" t="s">
        <v>53</v>
      </c>
      <c r="C535" s="1">
        <v>2020.0</v>
      </c>
      <c r="D535" s="1" t="s">
        <v>1900</v>
      </c>
      <c r="E535" s="1" t="s">
        <v>1901</v>
      </c>
      <c r="F535" s="1" t="s">
        <v>1884</v>
      </c>
      <c r="G535" s="1" t="s">
        <v>1902</v>
      </c>
      <c r="H535" s="1" t="s">
        <v>1903</v>
      </c>
      <c r="I535" s="1">
        <v>29.0</v>
      </c>
      <c r="J535" s="1">
        <v>4.0</v>
      </c>
      <c r="K535" s="2" t="s">
        <v>1904</v>
      </c>
      <c r="L535" s="2" t="s">
        <v>60</v>
      </c>
      <c r="M535" s="1" t="s">
        <v>1905</v>
      </c>
      <c r="N535" s="1" t="s">
        <v>62</v>
      </c>
      <c r="O535" s="1" t="s">
        <v>112</v>
      </c>
      <c r="P535" s="1" t="s">
        <v>798</v>
      </c>
      <c r="Q535" s="1">
        <v>8.929</v>
      </c>
      <c r="R535" s="1">
        <v>-82.9257</v>
      </c>
      <c r="S535" s="1" t="s">
        <v>148</v>
      </c>
      <c r="T535" s="2" t="s">
        <v>189</v>
      </c>
      <c r="U535" s="1" t="s">
        <v>116</v>
      </c>
      <c r="V535" s="3" t="s">
        <v>68</v>
      </c>
      <c r="W535" s="1" t="s">
        <v>284</v>
      </c>
      <c r="X535" s="1" t="s">
        <v>70</v>
      </c>
      <c r="Y535" s="6" t="s">
        <v>76</v>
      </c>
      <c r="Z535" s="3" t="s">
        <v>173</v>
      </c>
      <c r="AB535" s="1">
        <v>6.0</v>
      </c>
      <c r="AI535" s="1" t="s">
        <v>1906</v>
      </c>
      <c r="AJ535" s="1">
        <v>382.0</v>
      </c>
      <c r="AK535" s="1">
        <v>2000.0</v>
      </c>
      <c r="AL535" s="3" t="s">
        <v>153</v>
      </c>
      <c r="AM535" s="3" t="s">
        <v>72</v>
      </c>
      <c r="AN535" s="2" t="s">
        <v>132</v>
      </c>
      <c r="AO535" s="2" t="s">
        <v>72</v>
      </c>
      <c r="AQ535" s="2" t="s">
        <v>102</v>
      </c>
      <c r="AR535" s="2" t="s">
        <v>60</v>
      </c>
      <c r="AS535" s="1">
        <v>2756.0</v>
      </c>
      <c r="AT535" s="1">
        <v>2756.0</v>
      </c>
      <c r="AU535" s="1">
        <v>1197.0</v>
      </c>
      <c r="AV535" s="1">
        <v>40.0</v>
      </c>
      <c r="AW535" s="1">
        <v>160.0</v>
      </c>
      <c r="AX535" s="1">
        <v>6258.0</v>
      </c>
      <c r="AY535" s="1">
        <v>1017.0</v>
      </c>
      <c r="AZ535" s="1" t="s">
        <v>281</v>
      </c>
      <c r="BA535" s="1" t="s">
        <v>121</v>
      </c>
    </row>
    <row r="536">
      <c r="A536" s="1" t="s">
        <v>1899</v>
      </c>
      <c r="B536" s="1" t="s">
        <v>53</v>
      </c>
      <c r="C536" s="1">
        <v>2020.0</v>
      </c>
      <c r="D536" s="1" t="s">
        <v>1900</v>
      </c>
      <c r="E536" s="1" t="s">
        <v>1901</v>
      </c>
      <c r="F536" s="1" t="s">
        <v>1884</v>
      </c>
      <c r="G536" s="1" t="s">
        <v>1902</v>
      </c>
      <c r="H536" s="1" t="s">
        <v>1903</v>
      </c>
      <c r="I536" s="1">
        <v>29.0</v>
      </c>
      <c r="J536" s="1">
        <v>4.0</v>
      </c>
      <c r="K536" s="2" t="s">
        <v>1904</v>
      </c>
      <c r="L536" s="2" t="s">
        <v>60</v>
      </c>
      <c r="M536" s="1" t="s">
        <v>1907</v>
      </c>
      <c r="N536" s="1" t="s">
        <v>62</v>
      </c>
      <c r="O536" s="1" t="s">
        <v>112</v>
      </c>
      <c r="P536" s="1" t="s">
        <v>798</v>
      </c>
      <c r="Q536" s="1">
        <v>8.929</v>
      </c>
      <c r="R536" s="1">
        <v>-82.9257</v>
      </c>
      <c r="S536" s="1" t="s">
        <v>148</v>
      </c>
      <c r="T536" s="2" t="s">
        <v>194</v>
      </c>
      <c r="U536" s="1" t="s">
        <v>116</v>
      </c>
      <c r="V536" s="3" t="s">
        <v>68</v>
      </c>
      <c r="W536" s="1" t="s">
        <v>286</v>
      </c>
      <c r="X536" s="1" t="s">
        <v>70</v>
      </c>
      <c r="Y536" s="6" t="s">
        <v>76</v>
      </c>
      <c r="Z536" s="3" t="s">
        <v>173</v>
      </c>
      <c r="AB536" s="1">
        <v>6.0</v>
      </c>
      <c r="AI536" s="1" t="s">
        <v>1906</v>
      </c>
      <c r="AJ536" s="1">
        <v>382.0</v>
      </c>
      <c r="AK536" s="1">
        <v>2000.0</v>
      </c>
      <c r="AL536" s="3" t="s">
        <v>153</v>
      </c>
      <c r="AM536" s="3" t="s">
        <v>72</v>
      </c>
      <c r="AN536" s="2" t="s">
        <v>132</v>
      </c>
      <c r="AO536" s="2" t="s">
        <v>72</v>
      </c>
      <c r="AQ536" s="2" t="s">
        <v>102</v>
      </c>
      <c r="AR536" s="2" t="s">
        <v>60</v>
      </c>
      <c r="AS536" s="1">
        <v>2756.0</v>
      </c>
      <c r="AT536" s="1">
        <v>2756.0</v>
      </c>
      <c r="AU536" s="1">
        <v>1197.0</v>
      </c>
      <c r="AV536" s="1">
        <v>40.0</v>
      </c>
      <c r="AW536" s="1">
        <v>160.0</v>
      </c>
      <c r="AX536" s="1">
        <v>6258.0</v>
      </c>
      <c r="AY536" s="1">
        <v>1017.0</v>
      </c>
      <c r="AZ536" s="1" t="s">
        <v>281</v>
      </c>
      <c r="BA536" s="1" t="s">
        <v>121</v>
      </c>
    </row>
    <row r="537">
      <c r="A537" s="1" t="s">
        <v>1899</v>
      </c>
      <c r="B537" s="1" t="s">
        <v>53</v>
      </c>
      <c r="C537" s="1">
        <v>2020.0</v>
      </c>
      <c r="D537" s="1" t="s">
        <v>1900</v>
      </c>
      <c r="E537" s="1" t="s">
        <v>1901</v>
      </c>
      <c r="F537" s="1" t="s">
        <v>1884</v>
      </c>
      <c r="G537" s="1" t="s">
        <v>1902</v>
      </c>
      <c r="H537" s="1" t="s">
        <v>1903</v>
      </c>
      <c r="I537" s="1">
        <v>29.0</v>
      </c>
      <c r="J537" s="1">
        <v>4.0</v>
      </c>
      <c r="K537" s="2" t="s">
        <v>1904</v>
      </c>
      <c r="L537" s="2" t="s">
        <v>60</v>
      </c>
      <c r="M537" s="1" t="s">
        <v>1908</v>
      </c>
      <c r="N537" s="1" t="s">
        <v>62</v>
      </c>
      <c r="O537" s="1" t="s">
        <v>112</v>
      </c>
      <c r="P537" s="1" t="s">
        <v>798</v>
      </c>
      <c r="Q537" s="1">
        <v>8.929</v>
      </c>
      <c r="R537" s="1">
        <v>-82.9257</v>
      </c>
      <c r="S537" s="1" t="s">
        <v>148</v>
      </c>
      <c r="T537" s="2" t="s">
        <v>388</v>
      </c>
      <c r="U537" s="2" t="s">
        <v>1909</v>
      </c>
      <c r="V537" s="3" t="s">
        <v>68</v>
      </c>
      <c r="W537" s="1" t="s">
        <v>1910</v>
      </c>
      <c r="X537" s="1" t="s">
        <v>483</v>
      </c>
      <c r="Y537" s="6" t="s">
        <v>76</v>
      </c>
      <c r="Z537" s="3" t="s">
        <v>411</v>
      </c>
      <c r="AB537" s="1">
        <v>6.0</v>
      </c>
      <c r="AI537" s="1" t="s">
        <v>1906</v>
      </c>
      <c r="AJ537" s="1">
        <v>382.0</v>
      </c>
      <c r="AK537" s="1">
        <v>2000.0</v>
      </c>
      <c r="AL537" s="3" t="s">
        <v>153</v>
      </c>
      <c r="AM537" s="3" t="s">
        <v>72</v>
      </c>
      <c r="AN537" s="2" t="s">
        <v>132</v>
      </c>
      <c r="AO537" s="2" t="s">
        <v>72</v>
      </c>
      <c r="AQ537" s="2" t="s">
        <v>102</v>
      </c>
      <c r="AR537" s="2" t="s">
        <v>60</v>
      </c>
      <c r="AS537" s="1">
        <v>2756.0</v>
      </c>
      <c r="AT537" s="1">
        <v>2756.0</v>
      </c>
      <c r="AU537" s="1">
        <v>1197.0</v>
      </c>
      <c r="AV537" s="1">
        <v>40.0</v>
      </c>
      <c r="AW537" s="1">
        <v>160.0</v>
      </c>
      <c r="AX537" s="1">
        <v>6258.0</v>
      </c>
      <c r="AY537" s="1">
        <v>1017.0</v>
      </c>
      <c r="AZ537" s="1" t="s">
        <v>281</v>
      </c>
      <c r="BA537" s="1" t="s">
        <v>121</v>
      </c>
    </row>
    <row r="538">
      <c r="A538" s="1" t="s">
        <v>1899</v>
      </c>
      <c r="B538" s="1" t="s">
        <v>53</v>
      </c>
      <c r="C538" s="1">
        <v>2020.0</v>
      </c>
      <c r="D538" s="1" t="s">
        <v>1900</v>
      </c>
      <c r="E538" s="1" t="s">
        <v>1901</v>
      </c>
      <c r="F538" s="1" t="s">
        <v>1884</v>
      </c>
      <c r="G538" s="1" t="s">
        <v>1902</v>
      </c>
      <c r="H538" s="1" t="s">
        <v>1903</v>
      </c>
      <c r="I538" s="1">
        <v>29.0</v>
      </c>
      <c r="J538" s="1">
        <v>4.0</v>
      </c>
      <c r="K538" s="2" t="s">
        <v>1904</v>
      </c>
      <c r="L538" s="2" t="s">
        <v>60</v>
      </c>
      <c r="M538" s="1" t="s">
        <v>1911</v>
      </c>
      <c r="N538" s="1" t="s">
        <v>62</v>
      </c>
      <c r="O538" s="1" t="s">
        <v>112</v>
      </c>
      <c r="P538" s="1" t="s">
        <v>798</v>
      </c>
      <c r="Q538" s="1">
        <v>8.929</v>
      </c>
      <c r="R538" s="1">
        <v>-82.9257</v>
      </c>
      <c r="S538" s="1" t="s">
        <v>148</v>
      </c>
      <c r="T538" s="2" t="s">
        <v>135</v>
      </c>
      <c r="U538" s="2" t="s">
        <v>1909</v>
      </c>
      <c r="V538" s="3" t="s">
        <v>68</v>
      </c>
      <c r="W538" s="1" t="s">
        <v>1910</v>
      </c>
      <c r="X538" s="1" t="s">
        <v>483</v>
      </c>
      <c r="Y538" s="6" t="s">
        <v>76</v>
      </c>
      <c r="Z538" s="3" t="s">
        <v>411</v>
      </c>
      <c r="AB538" s="1">
        <v>6.0</v>
      </c>
      <c r="AI538" s="1" t="s">
        <v>1906</v>
      </c>
      <c r="AJ538" s="1">
        <v>382.0</v>
      </c>
      <c r="AK538" s="1">
        <v>2000.0</v>
      </c>
      <c r="AL538" s="3" t="s">
        <v>153</v>
      </c>
      <c r="AM538" s="3" t="s">
        <v>72</v>
      </c>
      <c r="AN538" s="2" t="s">
        <v>132</v>
      </c>
      <c r="AO538" s="2" t="s">
        <v>72</v>
      </c>
      <c r="AQ538" s="2" t="s">
        <v>102</v>
      </c>
      <c r="AR538" s="2" t="s">
        <v>60</v>
      </c>
      <c r="AS538" s="1">
        <v>2756.0</v>
      </c>
      <c r="AT538" s="1">
        <v>2756.0</v>
      </c>
      <c r="AU538" s="1">
        <v>1197.0</v>
      </c>
      <c r="AV538" s="1">
        <v>40.0</v>
      </c>
      <c r="AW538" s="1">
        <v>160.0</v>
      </c>
      <c r="AX538" s="1">
        <v>6258.0</v>
      </c>
      <c r="AY538" s="1">
        <v>1017.0</v>
      </c>
      <c r="AZ538" s="1" t="s">
        <v>281</v>
      </c>
      <c r="BA538" s="1" t="s">
        <v>121</v>
      </c>
    </row>
    <row r="539">
      <c r="A539" s="1" t="s">
        <v>475</v>
      </c>
      <c r="B539" s="1" t="s">
        <v>53</v>
      </c>
      <c r="C539" s="1">
        <v>2020.0</v>
      </c>
      <c r="D539" s="1" t="s">
        <v>476</v>
      </c>
      <c r="E539" s="1" t="s">
        <v>477</v>
      </c>
      <c r="F539" s="1" t="s">
        <v>462</v>
      </c>
      <c r="G539" s="1" t="s">
        <v>478</v>
      </c>
      <c r="H539" s="1" t="s">
        <v>479</v>
      </c>
      <c r="I539" s="1">
        <v>285.0</v>
      </c>
      <c r="K539" s="2" t="s">
        <v>480</v>
      </c>
      <c r="L539" s="2" t="s">
        <v>76</v>
      </c>
      <c r="M539" s="1" t="s">
        <v>475</v>
      </c>
      <c r="N539" s="1" t="s">
        <v>62</v>
      </c>
      <c r="O539" s="1" t="s">
        <v>92</v>
      </c>
      <c r="P539" s="1" t="s">
        <v>481</v>
      </c>
      <c r="Q539" s="1">
        <v>20.35244</v>
      </c>
      <c r="R539" s="1">
        <v>-87.8042</v>
      </c>
      <c r="S539" s="1" t="s">
        <v>94</v>
      </c>
      <c r="T539" s="2" t="s">
        <v>95</v>
      </c>
      <c r="U539" s="2" t="s">
        <v>96</v>
      </c>
      <c r="V539" s="3" t="s">
        <v>97</v>
      </c>
      <c r="W539" s="1" t="s">
        <v>482</v>
      </c>
      <c r="X539" s="1" t="s">
        <v>483</v>
      </c>
      <c r="Y539" s="6" t="s">
        <v>76</v>
      </c>
      <c r="Z539" s="3" t="s">
        <v>76</v>
      </c>
      <c r="AJ539" s="1">
        <v>2014.0</v>
      </c>
      <c r="AK539" s="1">
        <v>2019.0</v>
      </c>
      <c r="AL539" s="2" t="s">
        <v>153</v>
      </c>
      <c r="AM539" s="2" t="s">
        <v>60</v>
      </c>
      <c r="AN539" s="2" t="s">
        <v>101</v>
      </c>
      <c r="AO539" s="2" t="s">
        <v>72</v>
      </c>
      <c r="AP539" s="1" t="s">
        <v>484</v>
      </c>
      <c r="AQ539" s="2" t="s">
        <v>102</v>
      </c>
      <c r="AR539" s="2" t="s">
        <v>60</v>
      </c>
      <c r="AS539" s="1">
        <v>1155.0</v>
      </c>
      <c r="AT539" s="1">
        <v>1155.0</v>
      </c>
      <c r="AU539" s="1">
        <v>497.0</v>
      </c>
      <c r="AV539" s="1">
        <v>41.0</v>
      </c>
      <c r="AW539" s="1">
        <v>128.0</v>
      </c>
      <c r="AX539" s="1">
        <v>5543.0</v>
      </c>
      <c r="AY539" s="1">
        <v>16.0</v>
      </c>
      <c r="AZ539" s="1" t="s">
        <v>239</v>
      </c>
      <c r="BA539" s="1" t="s">
        <v>121</v>
      </c>
    </row>
    <row r="540">
      <c r="A540" s="1" t="s">
        <v>257</v>
      </c>
      <c r="B540" s="1" t="s">
        <v>53</v>
      </c>
      <c r="C540" s="1">
        <v>2020.0</v>
      </c>
      <c r="D540" s="1" t="s">
        <v>258</v>
      </c>
      <c r="E540" s="1" t="s">
        <v>259</v>
      </c>
      <c r="F540" s="1" t="s">
        <v>251</v>
      </c>
      <c r="G540" s="1" t="s">
        <v>260</v>
      </c>
      <c r="H540" s="1" t="s">
        <v>261</v>
      </c>
      <c r="I540" s="1">
        <v>542.0</v>
      </c>
      <c r="L540" s="2" t="s">
        <v>60</v>
      </c>
      <c r="M540" s="1" t="s">
        <v>262</v>
      </c>
      <c r="N540" s="1" t="s">
        <v>62</v>
      </c>
      <c r="O540" s="1" t="s">
        <v>167</v>
      </c>
      <c r="P540" s="1" t="s">
        <v>263</v>
      </c>
      <c r="Q540" s="1">
        <v>16.000583</v>
      </c>
      <c r="R540" s="1">
        <v>-91.554216</v>
      </c>
      <c r="S540" s="1" t="s">
        <v>148</v>
      </c>
      <c r="T540" s="2" t="s">
        <v>95</v>
      </c>
      <c r="U540" s="2" t="s">
        <v>96</v>
      </c>
      <c r="V540" s="3" t="s">
        <v>97</v>
      </c>
      <c r="W540" s="1" t="s">
        <v>264</v>
      </c>
      <c r="X540" s="1" t="s">
        <v>265</v>
      </c>
      <c r="Y540" s="6" t="s">
        <v>76</v>
      </c>
      <c r="Z540" s="3" t="s">
        <v>76</v>
      </c>
      <c r="AB540" s="1">
        <v>41.0</v>
      </c>
      <c r="AD540" s="1">
        <v>10.0</v>
      </c>
      <c r="AI540" s="1" t="s">
        <v>266</v>
      </c>
      <c r="AJ540" s="1">
        <v>-4000.0</v>
      </c>
      <c r="AK540" s="1">
        <v>2015.0</v>
      </c>
      <c r="AL540" s="2" t="s">
        <v>153</v>
      </c>
      <c r="AM540" s="2" t="s">
        <v>60</v>
      </c>
      <c r="AN540" s="2" t="s">
        <v>132</v>
      </c>
      <c r="AO540" s="2" t="s">
        <v>72</v>
      </c>
      <c r="AQ540" s="2" t="s">
        <v>102</v>
      </c>
      <c r="AR540" s="2" t="s">
        <v>76</v>
      </c>
      <c r="AS540" s="1">
        <v>3417.0</v>
      </c>
      <c r="AT540" s="1">
        <v>3417.0</v>
      </c>
      <c r="AU540" s="1">
        <v>1566.0</v>
      </c>
      <c r="AV540" s="1">
        <v>75.0</v>
      </c>
      <c r="AW540" s="1">
        <v>258.0</v>
      </c>
      <c r="AX540" s="1">
        <v>6710.0</v>
      </c>
      <c r="AY540" s="1">
        <v>1520.0</v>
      </c>
      <c r="AZ540" s="1" t="s">
        <v>77</v>
      </c>
      <c r="BA540" s="1" t="s">
        <v>78</v>
      </c>
    </row>
    <row r="541">
      <c r="A541" s="1" t="s">
        <v>257</v>
      </c>
      <c r="B541" s="1" t="s">
        <v>53</v>
      </c>
      <c r="C541" s="1">
        <v>2020.0</v>
      </c>
      <c r="D541" s="1" t="s">
        <v>258</v>
      </c>
      <c r="E541" s="1" t="s">
        <v>259</v>
      </c>
      <c r="F541" s="1" t="s">
        <v>251</v>
      </c>
      <c r="G541" s="1" t="s">
        <v>260</v>
      </c>
      <c r="H541" s="1" t="s">
        <v>261</v>
      </c>
      <c r="I541" s="1">
        <v>542.0</v>
      </c>
      <c r="L541" s="2" t="s">
        <v>60</v>
      </c>
      <c r="M541" s="1" t="s">
        <v>282</v>
      </c>
      <c r="N541" s="1" t="s">
        <v>62</v>
      </c>
      <c r="O541" s="1" t="s">
        <v>167</v>
      </c>
      <c r="P541" s="1" t="s">
        <v>263</v>
      </c>
      <c r="Q541" s="1">
        <v>16.000583</v>
      </c>
      <c r="R541" s="1">
        <v>-91.554216</v>
      </c>
      <c r="S541" s="1" t="s">
        <v>148</v>
      </c>
      <c r="T541" s="2" t="s">
        <v>135</v>
      </c>
      <c r="U541" s="2" t="s">
        <v>96</v>
      </c>
      <c r="V541" s="3" t="s">
        <v>138</v>
      </c>
      <c r="W541" s="1" t="s">
        <v>264</v>
      </c>
      <c r="X541" s="1" t="s">
        <v>265</v>
      </c>
      <c r="Y541" s="6" t="s">
        <v>76</v>
      </c>
      <c r="Z541" s="3" t="s">
        <v>76</v>
      </c>
      <c r="AB541" s="1">
        <v>41.0</v>
      </c>
      <c r="AD541" s="1">
        <v>10.0</v>
      </c>
      <c r="AI541" s="1" t="s">
        <v>266</v>
      </c>
      <c r="AJ541" s="1">
        <v>-4000.0</v>
      </c>
      <c r="AK541" s="1">
        <v>2015.0</v>
      </c>
      <c r="AL541" s="2" t="s">
        <v>153</v>
      </c>
      <c r="AM541" s="2" t="s">
        <v>60</v>
      </c>
      <c r="AN541" s="2" t="s">
        <v>132</v>
      </c>
      <c r="AO541" s="2" t="s">
        <v>72</v>
      </c>
      <c r="AQ541" s="2" t="s">
        <v>102</v>
      </c>
      <c r="AR541" s="2" t="s">
        <v>76</v>
      </c>
      <c r="AS541" s="1">
        <v>3417.0</v>
      </c>
      <c r="AT541" s="1">
        <v>3417.0</v>
      </c>
      <c r="AU541" s="1">
        <v>1566.0</v>
      </c>
      <c r="AV541" s="1">
        <v>75.0</v>
      </c>
      <c r="AW541" s="1">
        <v>258.0</v>
      </c>
      <c r="AX541" s="1">
        <v>6710.0</v>
      </c>
      <c r="AY541" s="1">
        <v>1520.0</v>
      </c>
      <c r="AZ541" s="1" t="s">
        <v>77</v>
      </c>
      <c r="BA541" s="1" t="s">
        <v>78</v>
      </c>
    </row>
    <row r="542">
      <c r="A542" s="1" t="s">
        <v>257</v>
      </c>
      <c r="B542" s="1" t="s">
        <v>53</v>
      </c>
      <c r="C542" s="1">
        <v>2020.0</v>
      </c>
      <c r="D542" s="1" t="s">
        <v>258</v>
      </c>
      <c r="E542" s="1" t="s">
        <v>259</v>
      </c>
      <c r="F542" s="1" t="s">
        <v>251</v>
      </c>
      <c r="G542" s="1" t="s">
        <v>260</v>
      </c>
      <c r="H542" s="1" t="s">
        <v>261</v>
      </c>
      <c r="I542" s="1">
        <v>542.0</v>
      </c>
      <c r="L542" s="2" t="s">
        <v>60</v>
      </c>
      <c r="M542" s="1" t="s">
        <v>283</v>
      </c>
      <c r="N542" s="1" t="s">
        <v>62</v>
      </c>
      <c r="O542" s="1" t="s">
        <v>167</v>
      </c>
      <c r="P542" s="1" t="s">
        <v>263</v>
      </c>
      <c r="Q542" s="1">
        <v>16.000583</v>
      </c>
      <c r="R542" s="1">
        <v>-91.554216</v>
      </c>
      <c r="S542" s="1" t="s">
        <v>148</v>
      </c>
      <c r="T542" s="2" t="s">
        <v>189</v>
      </c>
      <c r="U542" s="1" t="s">
        <v>116</v>
      </c>
      <c r="V542" s="3" t="s">
        <v>68</v>
      </c>
      <c r="W542" s="1" t="s">
        <v>284</v>
      </c>
      <c r="X542" s="1" t="s">
        <v>70</v>
      </c>
      <c r="Y542" s="6" t="s">
        <v>76</v>
      </c>
      <c r="Z542" s="3" t="s">
        <v>76</v>
      </c>
      <c r="AB542" s="1">
        <v>41.0</v>
      </c>
      <c r="AD542" s="1">
        <v>10.0</v>
      </c>
      <c r="AI542" s="1" t="s">
        <v>266</v>
      </c>
      <c r="AJ542" s="1">
        <v>-4000.0</v>
      </c>
      <c r="AK542" s="1">
        <v>2015.0</v>
      </c>
      <c r="AL542" s="2" t="s">
        <v>153</v>
      </c>
      <c r="AM542" s="2" t="s">
        <v>60</v>
      </c>
      <c r="AN542" s="2" t="s">
        <v>132</v>
      </c>
      <c r="AO542" s="2" t="s">
        <v>72</v>
      </c>
      <c r="AQ542" s="2" t="s">
        <v>102</v>
      </c>
      <c r="AR542" s="2" t="s">
        <v>76</v>
      </c>
      <c r="AS542" s="1">
        <v>3417.0</v>
      </c>
      <c r="AT542" s="1">
        <v>3417.0</v>
      </c>
      <c r="AU542" s="1">
        <v>1566.0</v>
      </c>
      <c r="AV542" s="1">
        <v>75.0</v>
      </c>
      <c r="AW542" s="1">
        <v>258.0</v>
      </c>
      <c r="AX542" s="1">
        <v>6710.0</v>
      </c>
      <c r="AY542" s="1">
        <v>1520.0</v>
      </c>
      <c r="AZ542" s="1" t="s">
        <v>77</v>
      </c>
      <c r="BA542" s="1" t="s">
        <v>78</v>
      </c>
    </row>
    <row r="543">
      <c r="A543" s="1" t="s">
        <v>257</v>
      </c>
      <c r="B543" s="1" t="s">
        <v>53</v>
      </c>
      <c r="C543" s="1">
        <v>2020.0</v>
      </c>
      <c r="D543" s="1" t="s">
        <v>258</v>
      </c>
      <c r="E543" s="1" t="s">
        <v>259</v>
      </c>
      <c r="F543" s="1" t="s">
        <v>251</v>
      </c>
      <c r="G543" s="1" t="s">
        <v>260</v>
      </c>
      <c r="H543" s="1" t="s">
        <v>261</v>
      </c>
      <c r="I543" s="1">
        <v>542.0</v>
      </c>
      <c r="L543" s="2" t="s">
        <v>60</v>
      </c>
      <c r="M543" s="1" t="s">
        <v>285</v>
      </c>
      <c r="N543" s="1" t="s">
        <v>62</v>
      </c>
      <c r="O543" s="1" t="s">
        <v>167</v>
      </c>
      <c r="P543" s="1" t="s">
        <v>263</v>
      </c>
      <c r="Q543" s="1">
        <v>16.000583</v>
      </c>
      <c r="R543" s="1">
        <v>-91.554216</v>
      </c>
      <c r="S543" s="1" t="s">
        <v>148</v>
      </c>
      <c r="T543" s="2" t="s">
        <v>194</v>
      </c>
      <c r="U543" s="1" t="s">
        <v>116</v>
      </c>
      <c r="V543" s="3" t="s">
        <v>68</v>
      </c>
      <c r="W543" s="1" t="s">
        <v>286</v>
      </c>
      <c r="X543" s="1" t="s">
        <v>70</v>
      </c>
      <c r="Y543" s="6" t="s">
        <v>76</v>
      </c>
      <c r="Z543" s="3" t="s">
        <v>76</v>
      </c>
      <c r="AB543" s="1">
        <v>41.0</v>
      </c>
      <c r="AD543" s="1">
        <v>10.0</v>
      </c>
      <c r="AI543" s="1" t="s">
        <v>266</v>
      </c>
      <c r="AJ543" s="1">
        <v>-4000.0</v>
      </c>
      <c r="AK543" s="1">
        <v>2015.0</v>
      </c>
      <c r="AL543" s="2" t="s">
        <v>153</v>
      </c>
      <c r="AM543" s="2" t="s">
        <v>60</v>
      </c>
      <c r="AN543" s="2" t="s">
        <v>132</v>
      </c>
      <c r="AO543" s="2" t="s">
        <v>72</v>
      </c>
      <c r="AQ543" s="2" t="s">
        <v>102</v>
      </c>
      <c r="AR543" s="2" t="s">
        <v>76</v>
      </c>
      <c r="AS543" s="1">
        <v>3417.0</v>
      </c>
      <c r="AT543" s="1">
        <v>3417.0</v>
      </c>
      <c r="AU543" s="1">
        <v>1566.0</v>
      </c>
      <c r="AV543" s="1">
        <v>75.0</v>
      </c>
      <c r="AW543" s="1">
        <v>258.0</v>
      </c>
      <c r="AX543" s="1">
        <v>6710.0</v>
      </c>
      <c r="AY543" s="1">
        <v>1520.0</v>
      </c>
      <c r="AZ543" s="1" t="s">
        <v>77</v>
      </c>
      <c r="BA543" s="1" t="s">
        <v>78</v>
      </c>
    </row>
  </sheetData>
  <autoFilter ref="$A$1:$BA$543">
    <sortState ref="A1:BA543">
      <sortCondition ref="C1:C543"/>
    </sortState>
  </autoFilter>
  <conditionalFormatting sqref="V2:V543">
    <cfRule type="notContainsBlanks" dxfId="0" priority="1">
      <formula>LEN(TRIM(V2))&gt;0</formula>
    </cfRule>
  </conditionalFormatting>
  <dataValidations>
    <dataValidation type="list" allowBlank="1" sqref="V2:V543">
      <formula1>"Forests,Water,Land Use Change"</formula1>
    </dataValidation>
    <dataValidation type="list" allowBlank="1" sqref="Z31 Z49:Z173 Z175 Z177:Z195 Z197:Z211 U221 Z213:Z251 Z253 Z255:Z265 Z269:Z285 Z289:Z319 Z323:Z342 Z344 Z346:Z362 Z364:Z404 Z406:Z432 Z434:Z435 Z441:Z448 Z454 Z458:Z466 Z470:Z493 Z498:Z520 Z522 Z524:Z543">
      <formula1>"Agricultural Taxa,Weedy/Disturbance Taxa,Burning,Decrease in Arboreal Taxa,No"</formula1>
    </dataValidation>
    <dataValidation type="list" allowBlank="1" sqref="Z2:Z30 Z32:Z48 Z212 Z252 Z254 Z266:Z268 Z343 Z345 Z363 Z433">
      <formula1>"Agricultural Taxa,Weedy/Disturbance Taxa,Burning,No"</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tr">
        <f>IFERROR(__xludf.DUMMYFUNCTION("UNIQUe('Full Proxy Map 2021'!C:C)"),"Publication Year")</f>
        <v>Publication Year</v>
      </c>
      <c r="B1" s="3" t="s">
        <v>2234</v>
      </c>
      <c r="C1" s="3" t="s">
        <v>2235</v>
      </c>
      <c r="D1" s="3" t="s">
        <v>2236</v>
      </c>
      <c r="E1" s="3" t="s">
        <v>2237</v>
      </c>
      <c r="G1" s="1" t="str">
        <f>IFERROR(__xludf.DUMMYFUNCTION("UNIQUE('Full Proxy Map 2021'!N:N)"),"Language")</f>
        <v>Language</v>
      </c>
      <c r="J1" s="16" t="str">
        <f>IFERROR(__xludf.DUMMYFUNCTION("UNIQUE('FLUCW Proxy Map 2021'!F:F)"),"Journal / Secondary Title")</f>
        <v>Journal / Secondary Title</v>
      </c>
      <c r="K1" s="3" t="s">
        <v>2234</v>
      </c>
      <c r="M1" s="1" t="s">
        <v>5</v>
      </c>
      <c r="N1" s="2" t="s">
        <v>2234</v>
      </c>
      <c r="P1" s="1" t="str">
        <f>IFERROR(__xludf.DUMMYFUNCTION("UNIQUE('FLUCW Proxy Map 2021'!O:O)"),"Country")</f>
        <v>Country</v>
      </c>
    </row>
    <row r="2">
      <c r="A2" s="1">
        <f>IFERROR(__xludf.DUMMYFUNCTION("""COMPUTED_VALUE"""),2002.0)</f>
        <v>2002</v>
      </c>
      <c r="B2" s="1">
        <f>COUNTIF('FLUCW Proxy Map 2021'!C:C,A2)</f>
        <v>20</v>
      </c>
      <c r="G2" s="1" t="str">
        <f>IFERROR(__xludf.DUMMYFUNCTION("""COMPUTED_VALUE"""),"English")</f>
        <v>English</v>
      </c>
      <c r="H2" s="1">
        <f>COUNTIF('FLUCW Proxy Map 2021'!N:N,G2)</f>
        <v>538</v>
      </c>
      <c r="J2" s="1" t="str">
        <f>IFERROR(__xludf.DUMMYFUNCTION("""COMPUTED_VALUE"""),"Science")</f>
        <v>Science</v>
      </c>
      <c r="K2" s="1">
        <f>COUNTIF('FLUCW Proxy Map 2021'!F:F,J2)</f>
        <v>11</v>
      </c>
      <c r="M2" s="1" t="s">
        <v>732</v>
      </c>
      <c r="N2" s="1">
        <v>78.0</v>
      </c>
      <c r="P2" s="1" t="str">
        <f>IFERROR(__xludf.DUMMYFUNCTION("""COMPUTED_VALUE"""),"Mexico")</f>
        <v>Mexico</v>
      </c>
      <c r="Q2" s="1">
        <f>COUNTIF('FLUCW Proxy Map 2021'!O:O,P2)</f>
        <v>103</v>
      </c>
      <c r="R2" s="1">
        <f t="shared" ref="R2:R9" si="1">(Q2/$Q$10)*100</f>
        <v>19.00369004</v>
      </c>
    </row>
    <row r="3">
      <c r="A3" s="1">
        <f>IFERROR(__xludf.DUMMYFUNCTION("""COMPUTED_VALUE"""),2017.0)</f>
        <v>2017</v>
      </c>
      <c r="B3" s="1">
        <f>COUNTIF('FLUCW Proxy Map 2021'!C:C,A3)</f>
        <v>55</v>
      </c>
      <c r="G3" s="1" t="str">
        <f>IFERROR(__xludf.DUMMYFUNCTION("""COMPUTED_VALUE"""),"Spanish")</f>
        <v>Spanish</v>
      </c>
      <c r="H3" s="1">
        <f>COUNTIF('FLUCW Proxy Map 2021'!N:N,G3)</f>
        <v>4</v>
      </c>
      <c r="J3" s="1" t="str">
        <f>IFERROR(__xludf.DUMMYFUNCTION("""COMPUTED_VALUE"""),"Quaternary Research")</f>
        <v>Quaternary Research</v>
      </c>
      <c r="K3" s="1">
        <f>COUNTIF('FLUCW Proxy Map 2021'!F:F,J3)</f>
        <v>34</v>
      </c>
      <c r="M3" s="1" t="s">
        <v>1386</v>
      </c>
      <c r="N3" s="1">
        <v>38.0</v>
      </c>
      <c r="P3" s="1" t="str">
        <f>IFERROR(__xludf.DUMMYFUNCTION("""COMPUTED_VALUE"""),"Guatemala")</f>
        <v>Guatemala</v>
      </c>
      <c r="Q3" s="1">
        <f>COUNTIF('FLUCW Proxy Map 2021'!O:O,P3)</f>
        <v>167</v>
      </c>
      <c r="R3" s="1">
        <f t="shared" si="1"/>
        <v>30.81180812</v>
      </c>
    </row>
    <row r="4">
      <c r="A4" s="1">
        <f>IFERROR(__xludf.DUMMYFUNCTION("""COMPUTED_VALUE"""),2001.0)</f>
        <v>2001</v>
      </c>
      <c r="B4" s="1">
        <f>COUNTIF('FLUCW Proxy Map 2021'!C:C,A4)</f>
        <v>12</v>
      </c>
      <c r="G4" s="3" t="s">
        <v>2238</v>
      </c>
      <c r="H4" s="1">
        <f>SUM(H2:H3)</f>
        <v>542</v>
      </c>
      <c r="J4" s="1" t="str">
        <f>IFERROR(__xludf.DUMMYFUNCTION("""COMPUTED_VALUE"""),"Nature")</f>
        <v>Nature</v>
      </c>
      <c r="K4" s="1">
        <f>COUNTIF('FLUCW Proxy Map 2021'!F:F,J4)</f>
        <v>5</v>
      </c>
      <c r="M4" s="1" t="s">
        <v>303</v>
      </c>
      <c r="N4" s="1">
        <v>34.0</v>
      </c>
      <c r="P4" s="1" t="str">
        <f>IFERROR(__xludf.DUMMYFUNCTION("""COMPUTED_VALUE"""),"Honduras")</f>
        <v>Honduras</v>
      </c>
      <c r="Q4" s="1">
        <f>COUNTIF('FLUCW Proxy Map 2021'!O:O,P4)</f>
        <v>5</v>
      </c>
      <c r="R4" s="1">
        <f t="shared" si="1"/>
        <v>0.9225092251</v>
      </c>
    </row>
    <row r="5">
      <c r="A5" s="1">
        <f>IFERROR(__xludf.DUMMYFUNCTION("""COMPUTED_VALUE"""),2018.0)</f>
        <v>2018</v>
      </c>
      <c r="B5" s="1">
        <f>COUNTIF('FLUCW Proxy Map 2021'!C:C,A5)</f>
        <v>18</v>
      </c>
      <c r="J5" s="1" t="str">
        <f>IFERROR(__xludf.DUMMYFUNCTION("""COMPUTED_VALUE"""),"Journal of Paleolimnology")</f>
        <v>Journal of Paleolimnology</v>
      </c>
      <c r="K5" s="1">
        <f>COUNTIF('FLUCW Proxy Map 2021'!F:F,J5)</f>
        <v>78</v>
      </c>
      <c r="M5" s="1" t="s">
        <v>631</v>
      </c>
      <c r="N5" s="1">
        <v>29.0</v>
      </c>
      <c r="P5" s="1" t="str">
        <f>IFERROR(__xludf.DUMMYFUNCTION("""COMPUTED_VALUE"""),"Panama")</f>
        <v>Panama</v>
      </c>
      <c r="Q5" s="1">
        <f>COUNTIF('FLUCW Proxy Map 2021'!O:O,P5)</f>
        <v>31</v>
      </c>
      <c r="R5" s="1">
        <f t="shared" si="1"/>
        <v>5.719557196</v>
      </c>
    </row>
    <row r="6">
      <c r="A6" s="1">
        <f>IFERROR(__xludf.DUMMYFUNCTION("""COMPUTED_VALUE"""),2020.0)</f>
        <v>2020</v>
      </c>
      <c r="B6" s="1">
        <f>COUNTIF('FLUCW Proxy Map 2021'!C:C,A6)</f>
        <v>23</v>
      </c>
      <c r="J6" s="1"/>
      <c r="K6" s="1">
        <f>COUNTIF('FLUCW Proxy Map 2021'!F:F,J6)</f>
        <v>0</v>
      </c>
      <c r="M6" s="1" t="s">
        <v>359</v>
      </c>
      <c r="N6" s="1">
        <v>27.0</v>
      </c>
      <c r="P6" s="1" t="str">
        <f>IFERROR(__xludf.DUMMYFUNCTION("""COMPUTED_VALUE"""),"Costa Rica")</f>
        <v>Costa Rica</v>
      </c>
      <c r="Q6" s="1">
        <f>COUNTIF('FLUCW Proxy Map 2021'!O:O,P6)</f>
        <v>85</v>
      </c>
      <c r="R6" s="1">
        <f t="shared" si="1"/>
        <v>15.68265683</v>
      </c>
    </row>
    <row r="7">
      <c r="A7" s="1">
        <f>IFERROR(__xludf.DUMMYFUNCTION("""COMPUTED_VALUE"""),1996.0)</f>
        <v>1996</v>
      </c>
      <c r="B7" s="1">
        <f>COUNTIF('FLUCW Proxy Map 2021'!C:C,A7)</f>
        <v>23</v>
      </c>
      <c r="J7" s="1" t="str">
        <f>IFERROR(__xludf.DUMMYFUNCTION("""COMPUTED_VALUE"""),"Geoarchaeology")</f>
        <v>Geoarchaeology</v>
      </c>
      <c r="K7" s="1">
        <f>COUNTIF('FLUCW Proxy Map 2021'!F:F,J7)</f>
        <v>27</v>
      </c>
      <c r="M7" s="1" t="s">
        <v>1186</v>
      </c>
      <c r="N7" s="1">
        <v>26.0</v>
      </c>
      <c r="P7" s="1" t="str">
        <f>IFERROR(__xludf.DUMMYFUNCTION("""COMPUTED_VALUE"""),"Belize")</f>
        <v>Belize</v>
      </c>
      <c r="Q7" s="1">
        <f>COUNTIF('FLUCW Proxy Map 2021'!O:O,P7)</f>
        <v>112</v>
      </c>
      <c r="R7" s="1">
        <f t="shared" si="1"/>
        <v>20.66420664</v>
      </c>
    </row>
    <row r="8">
      <c r="A8" s="1">
        <f>IFERROR(__xludf.DUMMYFUNCTION("""COMPUTED_VALUE"""),2015.0)</f>
        <v>2015</v>
      </c>
      <c r="B8" s="1">
        <f>COUNTIF('FLUCW Proxy Map 2021'!C:C,A8)</f>
        <v>34</v>
      </c>
      <c r="J8" s="1" t="str">
        <f>IFERROR(__xludf.DUMMYFUNCTION("""COMPUTED_VALUE"""),"Ecological Monographs")</f>
        <v>Ecological Monographs</v>
      </c>
      <c r="K8" s="1">
        <f>COUNTIF('FLUCW Proxy Map 2021'!F:F,J8)</f>
        <v>6</v>
      </c>
      <c r="M8" s="1" t="s">
        <v>650</v>
      </c>
      <c r="N8" s="1">
        <v>26.0</v>
      </c>
      <c r="P8" s="1" t="str">
        <f>IFERROR(__xludf.DUMMYFUNCTION("""COMPUTED_VALUE"""),"El Salvador")</f>
        <v>El Salvador</v>
      </c>
      <c r="Q8" s="1">
        <f>COUNTIF('FLUCW Proxy Map 2021'!O:O,P8)</f>
        <v>11</v>
      </c>
      <c r="R8" s="1">
        <f t="shared" si="1"/>
        <v>2.029520295</v>
      </c>
    </row>
    <row r="9">
      <c r="A9" s="1">
        <f>IFERROR(__xludf.DUMMYFUNCTION("""COMPUTED_VALUE"""),2007.0)</f>
        <v>2007</v>
      </c>
      <c r="B9" s="1">
        <f>COUNTIF('FLUCW Proxy Map 2021'!C:C,A9)</f>
        <v>24</v>
      </c>
      <c r="J9" s="1" t="str">
        <f>IFERROR(__xludf.DUMMYFUNCTION("""COMPUTED_VALUE"""),"Journal of Quaternary Science")</f>
        <v>Journal of Quaternary Science</v>
      </c>
      <c r="K9" s="1">
        <f>COUNTIF('FLUCW Proxy Map 2021'!F:F,J9)</f>
        <v>10</v>
      </c>
      <c r="M9" s="1" t="s">
        <v>1477</v>
      </c>
      <c r="N9" s="1">
        <v>26.0</v>
      </c>
      <c r="P9" s="1" t="str">
        <f>IFERROR(__xludf.DUMMYFUNCTION("""COMPUTED_VALUE"""),"Nicaragua")</f>
        <v>Nicaragua</v>
      </c>
      <c r="Q9" s="1">
        <f>COUNTIF('FLUCW Proxy Map 2021'!O:O,P9)</f>
        <v>28</v>
      </c>
      <c r="R9" s="1">
        <f t="shared" si="1"/>
        <v>5.166051661</v>
      </c>
    </row>
    <row r="10">
      <c r="A10" s="1">
        <f>IFERROR(__xludf.DUMMYFUNCTION("""COMPUTED_VALUE"""),2010.0)</f>
        <v>2010</v>
      </c>
      <c r="B10" s="1">
        <f>COUNTIF('FLUCW Proxy Map 2021'!C:C,A10)</f>
        <v>26</v>
      </c>
      <c r="J10" s="1" t="str">
        <f>IFERROR(__xludf.DUMMYFUNCTION("""COMPUTED_VALUE"""),"Palynology")</f>
        <v>Palynology</v>
      </c>
      <c r="K10" s="1">
        <f>COUNTIF('FLUCW Proxy Map 2021'!F:F,J10)</f>
        <v>4</v>
      </c>
      <c r="M10" s="1" t="s">
        <v>793</v>
      </c>
      <c r="N10" s="1">
        <v>16.0</v>
      </c>
      <c r="P10" s="3" t="s">
        <v>2238</v>
      </c>
      <c r="Q10" s="1">
        <f>SUM(Q2:Q9)</f>
        <v>542</v>
      </c>
    </row>
    <row r="11">
      <c r="A11" s="1">
        <f>IFERROR(__xludf.DUMMYFUNCTION("""COMPUTED_VALUE"""),1992.0)</f>
        <v>1992</v>
      </c>
      <c r="B11" s="1">
        <f>COUNTIF('FLUCW Proxy Map 2021'!C:C,A11)</f>
        <v>7</v>
      </c>
      <c r="J11" s="1" t="str">
        <f>IFERROR(__xludf.DUMMYFUNCTION("""COMPUTED_VALUE"""),"Palaeogeography, Palaeoclimatology, Palaeoecology")</f>
        <v>Palaeogeography, Palaeoclimatology, Palaeoecology</v>
      </c>
      <c r="K11" s="1">
        <f>COUNTIF('FLUCW Proxy Map 2021'!F:F,J11)</f>
        <v>16</v>
      </c>
      <c r="M11" s="1" t="s">
        <v>1818</v>
      </c>
      <c r="N11" s="1">
        <v>11.0</v>
      </c>
    </row>
    <row r="12">
      <c r="A12" s="1">
        <f>IFERROR(__xludf.DUMMYFUNCTION("""COMPUTED_VALUE"""),1993.0)</f>
        <v>1993</v>
      </c>
      <c r="B12" s="1">
        <f>COUNTIF('FLUCW Proxy Map 2021'!C:C,A12)</f>
        <v>2</v>
      </c>
      <c r="J12" s="1" t="str">
        <f>IFERROR(__xludf.DUMMYFUNCTION("""COMPUTED_VALUE"""),"Journal of Field Archaeology")</f>
        <v>Journal of Field Archaeology</v>
      </c>
      <c r="K12" s="1">
        <f>COUNTIF('FLUCW Proxy Map 2021'!F:F,J12)</f>
        <v>1</v>
      </c>
      <c r="M12" s="1" t="s">
        <v>827</v>
      </c>
      <c r="N12" s="1">
        <v>10.0</v>
      </c>
    </row>
    <row r="13">
      <c r="A13" s="1">
        <f>IFERROR(__xludf.DUMMYFUNCTION("""COMPUTED_VALUE"""),2019.0)</f>
        <v>2019</v>
      </c>
      <c r="B13" s="1">
        <f>COUNTIF('FLUCW Proxy Map 2021'!C:C,A13)</f>
        <v>41</v>
      </c>
      <c r="J13" s="1" t="str">
        <f>IFERROR(__xludf.DUMMYFUNCTION("""COMPUTED_VALUE"""),"Vegetatio")</f>
        <v>Vegetatio</v>
      </c>
      <c r="K13" s="1">
        <f>COUNTIF('FLUCW Proxy Map 2021'!F:F,J13)</f>
        <v>2</v>
      </c>
      <c r="M13" s="1" t="s">
        <v>583</v>
      </c>
      <c r="N13" s="1">
        <v>9.0</v>
      </c>
    </row>
    <row r="14">
      <c r="A14" s="1">
        <f>IFERROR(__xludf.DUMMYFUNCTION("""COMPUTED_VALUE"""),1991.0)</f>
        <v>1991</v>
      </c>
      <c r="B14" s="1">
        <f>COUNTIF('FLUCW Proxy Map 2021'!C:C,A14)</f>
        <v>4</v>
      </c>
      <c r="J14" s="1" t="str">
        <f>IFERROR(__xludf.DUMMYFUNCTION("""COMPUTED_VALUE"""),"Bulletin of the Geological Society of America")</f>
        <v>Bulletin of the Geological Society of America</v>
      </c>
      <c r="K14" s="1">
        <f>COUNTIF('FLUCW Proxy Map 2021'!F:F,J14)</f>
        <v>2</v>
      </c>
      <c r="M14" s="1" t="s">
        <v>1884</v>
      </c>
      <c r="N14" s="1">
        <v>9.0</v>
      </c>
    </row>
    <row r="15">
      <c r="A15" s="1">
        <f>IFERROR(__xludf.DUMMYFUNCTION("""COMPUTED_VALUE"""),2011.0)</f>
        <v>2011</v>
      </c>
      <c r="B15" s="1">
        <f>COUNTIF('FLUCW Proxy Map 2021'!C:C,A15)</f>
        <v>17</v>
      </c>
      <c r="J15" s="1" t="str">
        <f>IFERROR(__xludf.DUMMYFUNCTION("""COMPUTED_VALUE"""),"Latin American Antiquity")</f>
        <v>Latin American Antiquity</v>
      </c>
      <c r="K15" s="1">
        <f>COUNTIF('FLUCW Proxy Map 2021'!F:F,J15)</f>
        <v>29</v>
      </c>
      <c r="M15" s="1" t="s">
        <v>1206</v>
      </c>
      <c r="N15" s="1">
        <v>9.0</v>
      </c>
    </row>
    <row r="16">
      <c r="A16" s="1">
        <f>IFERROR(__xludf.DUMMYFUNCTION("""COMPUTED_VALUE"""),2013.0)</f>
        <v>2013</v>
      </c>
      <c r="B16" s="1">
        <f>COUNTIF('FLUCW Proxy Map 2021'!C:C,A16)</f>
        <v>26</v>
      </c>
      <c r="J16" s="1" t="str">
        <f>IFERROR(__xludf.DUMMYFUNCTION("""COMPUTED_VALUE"""),"Quaternary Science Reviews")</f>
        <v>Quaternary Science Reviews</v>
      </c>
      <c r="K16" s="1">
        <f>COUNTIF('FLUCW Proxy Map 2021'!F:F,J16)</f>
        <v>38</v>
      </c>
      <c r="M16" s="1" t="s">
        <v>1804</v>
      </c>
      <c r="N16" s="1">
        <v>9.0</v>
      </c>
    </row>
    <row r="17">
      <c r="A17" s="1">
        <f>IFERROR(__xludf.DUMMYFUNCTION("""COMPUTED_VALUE"""),2014.0)</f>
        <v>2014</v>
      </c>
      <c r="B17" s="1">
        <f>COUNTIF('FLUCW Proxy Map 2021'!C:C,A17)</f>
        <v>12</v>
      </c>
      <c r="J17" s="1" t="str">
        <f>IFERROR(__xludf.DUMMYFUNCTION("""COMPUTED_VALUE"""),"Journal of Tropical Ecology")</f>
        <v>Journal of Tropical Ecology</v>
      </c>
      <c r="K17" s="1">
        <f>COUNTIF('FLUCW Proxy Map 2021'!F:F,J17)</f>
        <v>2</v>
      </c>
      <c r="M17" s="1" t="s">
        <v>230</v>
      </c>
      <c r="N17" s="1">
        <v>8.0</v>
      </c>
    </row>
    <row r="18">
      <c r="A18" s="1">
        <f>IFERROR(__xludf.DUMMYFUNCTION("""COMPUTED_VALUE"""),2005.0)</f>
        <v>2005</v>
      </c>
      <c r="B18" s="1">
        <f>COUNTIF('FLUCW Proxy Map 2021'!C:C,A18)</f>
        <v>15</v>
      </c>
      <c r="J18" s="1" t="str">
        <f>IFERROR(__xludf.DUMMYFUNCTION("""COMPUTED_VALUE"""),"Biotropica")</f>
        <v>Biotropica</v>
      </c>
      <c r="K18" s="1">
        <f>COUNTIF('FLUCW Proxy Map 2021'!F:F,J18)</f>
        <v>1</v>
      </c>
      <c r="M18" s="1" t="s">
        <v>529</v>
      </c>
      <c r="N18" s="1">
        <v>7.0</v>
      </c>
    </row>
    <row r="19">
      <c r="A19" s="1">
        <f>IFERROR(__xludf.DUMMYFUNCTION("""COMPUTED_VALUE"""),2016.0)</f>
        <v>2016</v>
      </c>
      <c r="B19" s="1">
        <f>COUNTIF('FLUCW Proxy Map 2021'!C:C,A19)</f>
        <v>20</v>
      </c>
      <c r="J19" s="1" t="str">
        <f>IFERROR(__xludf.DUMMYFUNCTION("""COMPUTED_VALUE"""),"Plant Ecology")</f>
        <v>Plant Ecology</v>
      </c>
      <c r="K19" s="1">
        <f>COUNTIF('FLUCW Proxy Map 2021'!F:F,J19)</f>
        <v>1</v>
      </c>
      <c r="M19" s="1" t="s">
        <v>287</v>
      </c>
      <c r="N19" s="1">
        <v>6.0</v>
      </c>
    </row>
    <row r="20">
      <c r="A20" s="1">
        <f>IFERROR(__xludf.DUMMYFUNCTION("""COMPUTED_VALUE"""),1998.0)</f>
        <v>1998</v>
      </c>
      <c r="B20" s="1">
        <f>COUNTIF('FLUCW Proxy Map 2021'!C:C,A20)</f>
        <v>12</v>
      </c>
      <c r="J20" s="1" t="str">
        <f>IFERROR(__xludf.DUMMYFUNCTION("""COMPUTED_VALUE"""),"Catena")</f>
        <v>Catena</v>
      </c>
      <c r="K20" s="1">
        <f>COUNTIF('FLUCW Proxy Map 2021'!F:F,J20)</f>
        <v>6</v>
      </c>
      <c r="M20" s="1" t="s">
        <v>198</v>
      </c>
      <c r="N20" s="1">
        <v>6.0</v>
      </c>
    </row>
    <row r="21">
      <c r="A21" s="1">
        <f>IFERROR(__xludf.DUMMYFUNCTION("""COMPUTED_VALUE"""),2004.0)</f>
        <v>2004</v>
      </c>
      <c r="B21" s="1">
        <f>COUNTIF('FLUCW Proxy Map 2021'!C:C,A21)</f>
        <v>8</v>
      </c>
      <c r="J21" s="1" t="str">
        <f>IFERROR(__xludf.DUMMYFUNCTION("""COMPUTED_VALUE"""),"Ancient Mesoamerica")</f>
        <v>Ancient Mesoamerica</v>
      </c>
      <c r="K21" s="1">
        <f>COUNTIF('FLUCW Proxy Map 2021'!F:F,J21)</f>
        <v>2</v>
      </c>
      <c r="M21" s="1" t="s">
        <v>488</v>
      </c>
      <c r="N21" s="1">
        <v>6.0</v>
      </c>
    </row>
    <row r="22">
      <c r="A22" s="1">
        <f>IFERROR(__xludf.DUMMYFUNCTION("""COMPUTED_VALUE"""),1995.0)</f>
        <v>1995</v>
      </c>
      <c r="B22" s="1">
        <f>COUNTIF('FLUCW Proxy Map 2021'!C:C,A22)</f>
        <v>5</v>
      </c>
      <c r="J22" s="1" t="str">
        <f>IFERROR(__xludf.DUMMYFUNCTION("""COMPUTED_VALUE"""),"JOURNAL OF GEOPHYSICAL RESEARCH-ATMOSPHERES")</f>
        <v>JOURNAL OF GEOPHYSICAL RESEARCH-ATMOSPHERES</v>
      </c>
      <c r="K22" s="1">
        <f>COUNTIF('FLUCW Proxy Map 2021'!F:F,J22)</f>
        <v>2</v>
      </c>
      <c r="M22" s="1" t="s">
        <v>1395</v>
      </c>
      <c r="N22" s="1">
        <v>6.0</v>
      </c>
    </row>
    <row r="23">
      <c r="A23" s="1">
        <f>IFERROR(__xludf.DUMMYFUNCTION("""COMPUTED_VALUE"""),2008.0)</f>
        <v>2008</v>
      </c>
      <c r="B23" s="1">
        <f>COUNTIF('FLUCW Proxy Map 2021'!C:C,A23)</f>
        <v>8</v>
      </c>
      <c r="J23" s="1" t="str">
        <f>IFERROR(__xludf.DUMMYFUNCTION("""COMPUTED_VALUE"""),"Geology")</f>
        <v>Geology</v>
      </c>
      <c r="K23" s="1">
        <f>COUNTIF('FLUCW Proxy Map 2021'!F:F,J23)</f>
        <v>6</v>
      </c>
      <c r="M23" s="1" t="s">
        <v>1256</v>
      </c>
      <c r="N23" s="1">
        <v>6.0</v>
      </c>
    </row>
    <row r="24">
      <c r="A24" s="1">
        <f>IFERROR(__xludf.DUMMYFUNCTION("""COMPUTED_VALUE"""),1990.0)</f>
        <v>1990</v>
      </c>
      <c r="B24" s="1">
        <f>COUNTIF('FLUCW Proxy Map 2021'!C:C,A24)</f>
        <v>15</v>
      </c>
      <c r="J24" s="1" t="str">
        <f>IFERROR(__xludf.DUMMYFUNCTION("""COMPUTED_VALUE"""),"Climatic Change")</f>
        <v>Climatic Change</v>
      </c>
      <c r="K24" s="1">
        <f>COUNTIF('FLUCW Proxy Map 2021'!F:F,J24)</f>
        <v>8</v>
      </c>
      <c r="M24" s="1" t="s">
        <v>1224</v>
      </c>
      <c r="N24" s="1">
        <v>5.0</v>
      </c>
    </row>
    <row r="25">
      <c r="A25" s="1">
        <f>IFERROR(__xludf.DUMMYFUNCTION("""COMPUTED_VALUE"""),2009.0)</f>
        <v>2009</v>
      </c>
      <c r="B25" s="1">
        <f>COUNTIF('FLUCW Proxy Map 2021'!C:C,A25)</f>
        <v>39</v>
      </c>
      <c r="J25" s="1" t="str">
        <f>IFERROR(__xludf.DUMMYFUNCTION("""COMPUTED_VALUE"""),"Proceedings of the National Academy of Sciences of the United States of America")</f>
        <v>Proceedings of the National Academy of Sciences of the United States of America</v>
      </c>
      <c r="K25" s="1">
        <f>COUNTIF('FLUCW Proxy Map 2021'!F:F,J25)</f>
        <v>6</v>
      </c>
      <c r="M25" s="1" t="s">
        <v>251</v>
      </c>
      <c r="N25" s="1">
        <v>5.0</v>
      </c>
    </row>
    <row r="26">
      <c r="A26" s="1">
        <f>IFERROR(__xludf.DUMMYFUNCTION("""COMPUTED_VALUE"""),2006.0)</f>
        <v>2006</v>
      </c>
      <c r="B26" s="1">
        <f>COUNTIF('FLUCW Proxy Map 2021'!C:C,A26)</f>
        <v>22</v>
      </c>
      <c r="J26" s="1" t="str">
        <f>IFERROR(__xludf.DUMMYFUNCTION("""COMPUTED_VALUE"""),"Holocene")</f>
        <v>Holocene</v>
      </c>
      <c r="K26" s="1">
        <f>COUNTIF('FLUCW Proxy Map 2021'!F:F,J26)</f>
        <v>9</v>
      </c>
      <c r="M26" s="1" t="s">
        <v>125</v>
      </c>
      <c r="N26" s="1">
        <v>5.0</v>
      </c>
    </row>
    <row r="27">
      <c r="A27" s="1">
        <f>IFERROR(__xludf.DUMMYFUNCTION("""COMPUTED_VALUE"""),2000.0)</f>
        <v>2000</v>
      </c>
      <c r="B27" s="1">
        <f>COUNTIF('FLUCW Proxy Map 2021'!C:C,A27)</f>
        <v>1</v>
      </c>
      <c r="J27" s="1" t="str">
        <f>IFERROR(__xludf.DUMMYFUNCTION("""COMPUTED_VALUE"""),"Journal of Geophysical Research: Biogeosciences")</f>
        <v>Journal of Geophysical Research: Biogeosciences</v>
      </c>
      <c r="K27" s="1">
        <f>COUNTIF('FLUCW Proxy Map 2021'!F:F,J27)</f>
        <v>1</v>
      </c>
      <c r="M27" s="1" t="s">
        <v>1357</v>
      </c>
      <c r="N27" s="1">
        <v>4.0</v>
      </c>
    </row>
    <row r="28">
      <c r="A28" s="1">
        <f>IFERROR(__xludf.DUMMYFUNCTION("""COMPUTED_VALUE"""),1987.0)</f>
        <v>1987</v>
      </c>
      <c r="B28" s="1">
        <f>COUNTIF('FLUCW Proxy Map 2021'!C:C,A28)</f>
        <v>3</v>
      </c>
      <c r="J28" s="1" t="str">
        <f>IFERROR(__xludf.DUMMYFUNCTION("""COMPUTED_VALUE"""),"Vegetation History and Archaeobotany")</f>
        <v>Vegetation History and Archaeobotany</v>
      </c>
      <c r="K28" s="1">
        <f>COUNTIF('FLUCW Proxy Map 2021'!F:F,J28)</f>
        <v>9</v>
      </c>
      <c r="M28" s="1" t="s">
        <v>715</v>
      </c>
      <c r="N28" s="1">
        <v>4.0</v>
      </c>
    </row>
    <row r="29">
      <c r="A29" s="1">
        <f>IFERROR(__xludf.DUMMYFUNCTION("""COMPUTED_VALUE"""),1997.0)</f>
        <v>1997</v>
      </c>
      <c r="B29" s="1">
        <f>COUNTIF('FLUCW Proxy Map 2021'!C:C,A29)</f>
        <v>4</v>
      </c>
      <c r="J29" s="1" t="str">
        <f>IFERROR(__xludf.DUMMYFUNCTION("""COMPUTED_VALUE"""),"Quaternary International")</f>
        <v>Quaternary International</v>
      </c>
      <c r="K29" s="1">
        <f>COUNTIF('FLUCW Proxy Map 2021'!F:F,J29)</f>
        <v>26</v>
      </c>
      <c r="M29" s="1" t="s">
        <v>1858</v>
      </c>
      <c r="N29" s="1">
        <v>4.0</v>
      </c>
    </row>
    <row r="30">
      <c r="A30" s="1">
        <f>IFERROR(__xludf.DUMMYFUNCTION("""COMPUTED_VALUE"""),1994.0)</f>
        <v>1994</v>
      </c>
      <c r="B30" s="1">
        <f>COUNTIF('FLUCW Proxy Map 2021'!C:C,A30)</f>
        <v>11</v>
      </c>
      <c r="J30" s="1" t="str">
        <f>IFERROR(__xludf.DUMMYFUNCTION("""COMPUTED_VALUE"""),"Earth and Planetary Science Letters")</f>
        <v>Earth and Planetary Science Letters</v>
      </c>
      <c r="K30" s="1">
        <f>COUNTIF('FLUCW Proxy Map 2021'!F:F,J30)</f>
        <v>5</v>
      </c>
      <c r="M30" s="1" t="s">
        <v>340</v>
      </c>
      <c r="N30" s="1">
        <v>4.0</v>
      </c>
    </row>
    <row r="31">
      <c r="A31" s="1">
        <f>IFERROR(__xludf.DUMMYFUNCTION("""COMPUTED_VALUE"""),2012.0)</f>
        <v>2012</v>
      </c>
      <c r="B31" s="1">
        <f>COUNTIF('FLUCW Proxy Map 2021'!C:C,A31)</f>
        <v>26</v>
      </c>
      <c r="J31" s="1" t="str">
        <f>IFERROR(__xludf.DUMMYFUNCTION("""COMPUTED_VALUE"""),"Revista Mexicana De Ciencias Geologicas")</f>
        <v>Revista Mexicana De Ciencias Geologicas</v>
      </c>
      <c r="K31" s="1">
        <f>COUNTIF('FLUCW Proxy Map 2021'!F:F,J31)</f>
        <v>9</v>
      </c>
      <c r="M31" s="1" t="s">
        <v>1431</v>
      </c>
      <c r="N31" s="1">
        <v>4.0</v>
      </c>
    </row>
    <row r="32">
      <c r="A32" s="1">
        <f>IFERROR(__xludf.DUMMYFUNCTION("""COMPUTED_VALUE"""),2003.0)</f>
        <v>2003</v>
      </c>
      <c r="B32" s="1">
        <f>COUNTIF('FLUCW Proxy Map 2021'!C:C,A32)</f>
        <v>3</v>
      </c>
      <c r="J32" s="1" t="str">
        <f>IFERROR(__xludf.DUMMYFUNCTION("""COMPUTED_VALUE"""),"Journal of Latin American Geography")</f>
        <v>Journal of Latin American Geography</v>
      </c>
      <c r="K32" s="1">
        <f>COUNTIF('FLUCW Proxy Map 2021'!F:F,J32)</f>
        <v>2</v>
      </c>
      <c r="M32" s="1" t="s">
        <v>1772</v>
      </c>
      <c r="N32" s="1">
        <v>3.0</v>
      </c>
    </row>
    <row r="33">
      <c r="A33" s="1">
        <f>IFERROR(__xludf.DUMMYFUNCTION("""COMPUTED_VALUE"""),1979.0)</f>
        <v>1979</v>
      </c>
      <c r="B33" s="1">
        <f>COUNTIF('FLUCW Proxy Map 2021'!C:C,A33)</f>
        <v>6</v>
      </c>
      <c r="J33" s="1" t="str">
        <f>IFERROR(__xludf.DUMMYFUNCTION("""COMPUTED_VALUE"""),"Review of Palaeobotany and Palynology")</f>
        <v>Review of Palaeobotany and Palynology</v>
      </c>
      <c r="K33" s="1">
        <f>COUNTIF('FLUCW Proxy Map 2021'!F:F,J33)</f>
        <v>3</v>
      </c>
      <c r="M33" s="1" t="s">
        <v>462</v>
      </c>
      <c r="N33" s="1">
        <v>3.0</v>
      </c>
    </row>
    <row r="34">
      <c r="A34" s="3" t="s">
        <v>2238</v>
      </c>
      <c r="B34" s="1">
        <f>SUM(B2:B33)</f>
        <v>542</v>
      </c>
      <c r="J34" s="1" t="str">
        <f>IFERROR(__xludf.DUMMYFUNCTION("""COMPUTED_VALUE"""),"Revista Mexicana de Ciencias Geologicas")</f>
        <v>Revista Mexicana de Ciencias Geologicas</v>
      </c>
      <c r="K34" s="1">
        <f>COUNTIF('FLUCW Proxy Map 2021'!F:F,J34)</f>
        <v>9</v>
      </c>
      <c r="M34" s="1" t="s">
        <v>1874</v>
      </c>
      <c r="N34" s="1">
        <v>2.0</v>
      </c>
    </row>
    <row r="35">
      <c r="J35" s="1" t="str">
        <f>IFERROR(__xludf.DUMMYFUNCTION("""COMPUTED_VALUE"""),"Geochemistry, Geophysics, Geosystems")</f>
        <v>Geochemistry, Geophysics, Geosystems</v>
      </c>
      <c r="K35" s="1">
        <f>COUNTIF('FLUCW Proxy Map 2021'!F:F,J35)</f>
        <v>2</v>
      </c>
      <c r="M35" s="1" t="s">
        <v>182</v>
      </c>
      <c r="N35" s="1">
        <v>2.0</v>
      </c>
    </row>
    <row r="36">
      <c r="J36" s="1" t="str">
        <f>IFERROR(__xludf.DUMMYFUNCTION("""COMPUTED_VALUE"""),"Palaeogeography Palaeoclimatology Palaeoecology")</f>
        <v>Palaeogeography Palaeoclimatology Palaeoecology</v>
      </c>
      <c r="K36" s="1">
        <f>COUNTIF('FLUCW Proxy Map 2021'!F:F,J36)</f>
        <v>6</v>
      </c>
      <c r="M36" s="1" t="s">
        <v>1121</v>
      </c>
      <c r="N36" s="1">
        <v>2.0</v>
      </c>
    </row>
    <row r="37">
      <c r="J37" s="1" t="str">
        <f>IFERROR(__xludf.DUMMYFUNCTION("""COMPUTED_VALUE"""),"Geochimica et Cosmochimica Acta")</f>
        <v>Geochimica et Cosmochimica Acta</v>
      </c>
      <c r="K37" s="1">
        <f>COUNTIF('FLUCW Proxy Map 2021'!F:F,J37)</f>
        <v>3</v>
      </c>
      <c r="M37" s="1" t="s">
        <v>56</v>
      </c>
      <c r="N37" s="1">
        <v>2.0</v>
      </c>
    </row>
    <row r="38">
      <c r="J38" s="1" t="str">
        <f>IFERROR(__xludf.DUMMYFUNCTION("""COMPUTED_VALUE"""),"Journal of Archaeological Science")</f>
        <v>Journal of Archaeological Science</v>
      </c>
      <c r="K38" s="1">
        <f>COUNTIF('FLUCW Proxy Map 2021'!F:F,J38)</f>
        <v>4</v>
      </c>
      <c r="M38" s="1" t="s">
        <v>763</v>
      </c>
      <c r="N38" s="1">
        <v>2.0</v>
      </c>
    </row>
    <row r="39">
      <c r="J39" s="1" t="str">
        <f>IFERROR(__xludf.DUMMYFUNCTION("""COMPUTED_VALUE"""),"Geophysical Research Letters")</f>
        <v>Geophysical Research Letters</v>
      </c>
      <c r="K39" s="1">
        <f>COUNTIF('FLUCW Proxy Map 2021'!F:F,J39)</f>
        <v>1</v>
      </c>
      <c r="M39" s="1" t="s">
        <v>782</v>
      </c>
      <c r="N39" s="1">
        <v>2.0</v>
      </c>
    </row>
    <row r="40">
      <c r="J40" s="1" t="str">
        <f>IFERROR(__xludf.DUMMYFUNCTION("""COMPUTED_VALUE"""),"Climate Dynamics")</f>
        <v>Climate Dynamics</v>
      </c>
      <c r="K40" s="1">
        <f>COUNTIF('FLUCW Proxy Map 2021'!F:F,J40)</f>
        <v>1</v>
      </c>
      <c r="M40" s="1" t="s">
        <v>438</v>
      </c>
      <c r="N40" s="1">
        <v>2.0</v>
      </c>
    </row>
    <row r="41">
      <c r="J41" s="1" t="str">
        <f>IFERROR(__xludf.DUMMYFUNCTION("""COMPUTED_VALUE"""),"Nature Geoscience")</f>
        <v>Nature Geoscience</v>
      </c>
      <c r="K41" s="1">
        <f>COUNTIF('FLUCW Proxy Map 2021'!F:F,J41)</f>
        <v>1</v>
      </c>
      <c r="M41" s="1" t="s">
        <v>325</v>
      </c>
      <c r="N41" s="1">
        <v>2.0</v>
      </c>
    </row>
    <row r="42">
      <c r="J42" s="1" t="str">
        <f>IFERROR(__xludf.DUMMYFUNCTION("""COMPUTED_VALUE"""),"Global and Planetary Change")</f>
        <v>Global and Planetary Change</v>
      </c>
      <c r="K42" s="1">
        <f>COUNTIF('FLUCW Proxy Map 2021'!F:F,J42)</f>
        <v>1</v>
      </c>
      <c r="M42" s="1" t="s">
        <v>162</v>
      </c>
      <c r="N42" s="1">
        <v>2.0</v>
      </c>
    </row>
    <row r="43">
      <c r="J43" s="1" t="str">
        <f>IFERROR(__xludf.DUMMYFUNCTION("""COMPUTED_VALUE"""),"International Journal of Earth Sciences")</f>
        <v>International Journal of Earth Sciences</v>
      </c>
      <c r="K43" s="1">
        <f>COUNTIF('FLUCW Proxy Map 2021'!F:F,J43)</f>
        <v>26</v>
      </c>
      <c r="M43" s="1" t="s">
        <v>746</v>
      </c>
      <c r="N43" s="1">
        <v>1.0</v>
      </c>
    </row>
    <row r="44">
      <c r="J44" s="1" t="str">
        <f>IFERROR(__xludf.DUMMYFUNCTION("""COMPUTED_VALUE"""),"Antiquity")</f>
        <v>Antiquity</v>
      </c>
      <c r="K44" s="1">
        <f>COUNTIF('FLUCW Proxy Map 2021'!F:F,J44)</f>
        <v>1</v>
      </c>
      <c r="M44" s="1" t="s">
        <v>108</v>
      </c>
      <c r="N44" s="1">
        <v>1.0</v>
      </c>
    </row>
    <row r="45">
      <c r="J45" s="1" t="str">
        <f>IFERROR(__xludf.DUMMYFUNCTION("""COMPUTED_VALUE"""),"Boletin de la Sociedad Geologica Mexicana")</f>
        <v>Boletin de la Sociedad Geologica Mexicana</v>
      </c>
      <c r="K45" s="1">
        <f>COUNTIF('FLUCW Proxy Map 2021'!F:F,J45)</f>
        <v>5</v>
      </c>
      <c r="M45" s="1" t="s">
        <v>1377</v>
      </c>
      <c r="N45" s="1">
        <v>1.0</v>
      </c>
    </row>
    <row r="46">
      <c r="J46" s="1" t="str">
        <f>IFERROR(__xludf.DUMMYFUNCTION("""COMPUTED_VALUE"""),"Science of the Total Environment")</f>
        <v>Science of the Total Environment</v>
      </c>
      <c r="K46" s="1">
        <f>COUNTIF('FLUCW Proxy Map 2021'!F:F,J46)</f>
        <v>4</v>
      </c>
      <c r="M46" s="1" t="s">
        <v>775</v>
      </c>
      <c r="N46" s="1">
        <v>1.0</v>
      </c>
    </row>
    <row r="47">
      <c r="J47" s="1" t="str">
        <f>IFERROR(__xludf.DUMMYFUNCTION("""COMPUTED_VALUE"""),"FRONTIERS IN FORESTS AND GLOBAL CHANGE")</f>
        <v>FRONTIERS IN FORESTS AND GLOBAL CHANGE</v>
      </c>
      <c r="K47" s="1">
        <f>COUNTIF('FLUCW Proxy Map 2021'!F:F,J47)</f>
        <v>4</v>
      </c>
      <c r="M47" s="1" t="s">
        <v>551</v>
      </c>
      <c r="N47" s="1">
        <v>1.0</v>
      </c>
    </row>
    <row r="48">
      <c r="J48" s="1" t="str">
        <f>IFERROR(__xludf.DUMMYFUNCTION("""COMPUTED_VALUE"""),"QUATERNARY")</f>
        <v>QUATERNARY</v>
      </c>
      <c r="K48" s="1">
        <f>COUNTIF('FLUCW Proxy Map 2021'!F:F,J48)</f>
        <v>4</v>
      </c>
      <c r="M48" s="1" t="s">
        <v>220</v>
      </c>
      <c r="N48" s="1">
        <v>1.0</v>
      </c>
    </row>
    <row r="49">
      <c r="J49" s="1" t="str">
        <f>IFERROR(__xludf.DUMMYFUNCTION("""COMPUTED_VALUE"""),"Geomorphology")</f>
        <v>Geomorphology</v>
      </c>
      <c r="K49" s="1">
        <f>COUNTIF('FLUCW Proxy Map 2021'!F:F,J49)</f>
        <v>7</v>
      </c>
      <c r="M49" s="1" t="s">
        <v>1247</v>
      </c>
      <c r="N49" s="1">
        <v>1.0</v>
      </c>
    </row>
    <row r="50">
      <c r="J50" s="1" t="str">
        <f>IFERROR(__xludf.DUMMYFUNCTION("""COMPUTED_VALUE"""),"QUATERNARY INTERNATIONAL")</f>
        <v>QUATERNARY INTERNATIONAL</v>
      </c>
      <c r="K50" s="1">
        <f>COUNTIF('FLUCW Proxy Map 2021'!F:F,J50)</f>
        <v>26</v>
      </c>
      <c r="M50" s="1" t="s">
        <v>560</v>
      </c>
      <c r="N50" s="1">
        <v>1.0</v>
      </c>
    </row>
    <row r="51">
      <c r="J51" s="1" t="str">
        <f>IFERROR(__xludf.DUMMYFUNCTION("""COMPUTED_VALUE"""),"Environmental Science and Pollution Research")</f>
        <v>Environmental Science and Pollution Research</v>
      </c>
      <c r="K51" s="1">
        <f>COUNTIF('FLUCW Proxy Map 2021'!F:F,J51)</f>
        <v>2</v>
      </c>
      <c r="M51" s="1" t="s">
        <v>88</v>
      </c>
      <c r="N51" s="1">
        <v>1.0</v>
      </c>
    </row>
    <row r="52">
      <c r="J52" s="1" t="str">
        <f>IFERROR(__xludf.DUMMYFUNCTION("""COMPUTED_VALUE"""),"Boreas")</f>
        <v>Boreas</v>
      </c>
      <c r="K52" s="1">
        <f>COUNTIF('FLUCW Proxy Map 2021'!F:F,J52)</f>
        <v>2</v>
      </c>
    </row>
    <row r="53">
      <c r="K53" s="1">
        <f>COUNTIF('FLUCW Proxy Map 2021'!F:F,J53)</f>
        <v>0</v>
      </c>
    </row>
  </sheetData>
  <autoFilter ref="$A$1:$E$34">
    <sortState ref="A1:E34">
      <sortCondition ref="A1:A34"/>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0"/>
  </cols>
  <sheetData>
    <row r="1">
      <c r="A1" s="1" t="str">
        <f>IFERROR(__xludf.DUMMYFUNCTION("UNIQUE('FLUCW Proxy Map 2021'!S:S)"),"Type_of_Ar")</f>
        <v>Type_of_Ar</v>
      </c>
      <c r="B1" s="3" t="s">
        <v>2239</v>
      </c>
      <c r="C1" s="3" t="s">
        <v>2235</v>
      </c>
      <c r="D1" s="3" t="s">
        <v>2236</v>
      </c>
      <c r="E1" s="3" t="s">
        <v>2237</v>
      </c>
    </row>
    <row r="2">
      <c r="A2" s="1" t="str">
        <f>IFERROR(__xludf.DUMMYFUNCTION("""COMPUTED_VALUE"""),"Lake Sediment Core")</f>
        <v>Lake Sediment Core</v>
      </c>
      <c r="B2" s="1">
        <f>countif('FLUCW Proxy Map 2021'!S:S,A2)</f>
        <v>360</v>
      </c>
    </row>
    <row r="3">
      <c r="A3" s="1" t="str">
        <f>IFERROR(__xludf.DUMMYFUNCTION("""COMPUTED_VALUE"""),"Swamp Sediment Core")</f>
        <v>Swamp Sediment Core</v>
      </c>
      <c r="B3" s="1">
        <f>countif('FLUCW Proxy Map 2021'!S:S,A3)</f>
        <v>28</v>
      </c>
    </row>
    <row r="4">
      <c r="A4" s="1" t="str">
        <f>IFERROR(__xludf.DUMMYFUNCTION("""COMPUTED_VALUE"""),"Peat Sediment Core")</f>
        <v>Peat Sediment Core</v>
      </c>
      <c r="B4" s="1">
        <f>countif('FLUCW Proxy Map 2021'!S:S,A4)</f>
        <v>16</v>
      </c>
    </row>
    <row r="5">
      <c r="A5" s="1" t="str">
        <f>IFERROR(__xludf.DUMMYFUNCTION("""COMPUTED_VALUE"""),"Soil Sediment Core")</f>
        <v>Soil Sediment Core</v>
      </c>
      <c r="B5" s="1">
        <f>countif('FLUCW Proxy Map 2021'!S:S,A5)</f>
        <v>21</v>
      </c>
    </row>
    <row r="6">
      <c r="A6" s="1" t="str">
        <f>IFERROR(__xludf.DUMMYFUNCTION("""COMPUTED_VALUE"""),"Dendro")</f>
        <v>Dendro</v>
      </c>
      <c r="B6" s="1">
        <f>countif('FLUCW Proxy Map 2021'!S:S,A6)</f>
        <v>3</v>
      </c>
    </row>
    <row r="7">
      <c r="A7" s="1" t="str">
        <f>IFERROR(__xludf.DUMMYFUNCTION("""COMPUTED_VALUE"""),"Speleothem")</f>
        <v>Speleothem</v>
      </c>
      <c r="B7" s="1">
        <f>countif('FLUCW Proxy Map 2021'!S:S,A7)</f>
        <v>23</v>
      </c>
    </row>
    <row r="8">
      <c r="A8" s="1" t="str">
        <f>IFERROR(__xludf.DUMMYFUNCTION("""COMPUTED_VALUE"""),"Salt Playa")</f>
        <v>Salt Playa</v>
      </c>
      <c r="B8" s="1">
        <f>countif('FLUCW Proxy Map 2021'!S:S,A8)</f>
        <v>18</v>
      </c>
    </row>
    <row r="9">
      <c r="A9" s="1" t="str">
        <f>IFERROR(__xludf.DUMMYFUNCTION("""COMPUTED_VALUE"""),"Cave Sediment")</f>
        <v>Cave Sediment</v>
      </c>
      <c r="B9" s="1">
        <f>countif('FLUCW Proxy Map 2021'!S:S,A9)</f>
        <v>16</v>
      </c>
    </row>
    <row r="10">
      <c r="A10" s="1" t="str">
        <f>IFERROR(__xludf.DUMMYFUNCTION("""COMPUTED_VALUE"""),"River Sediment Core")</f>
        <v>River Sediment Core</v>
      </c>
      <c r="B10" s="1">
        <f>countif('FLUCW Proxy Map 2021'!S:S,A10)</f>
        <v>14</v>
      </c>
    </row>
    <row r="11">
      <c r="A11" s="1" t="str">
        <f>IFERROR(__xludf.DUMMYFUNCTION("""COMPUTED_VALUE"""),"Palaeosol")</f>
        <v>Palaeosol</v>
      </c>
      <c r="B11" s="1">
        <f>countif('FLUCW Proxy Map 2021'!S:S,A11)</f>
        <v>5</v>
      </c>
    </row>
    <row r="12">
      <c r="A12" s="1" t="str">
        <f>IFERROR(__xludf.DUMMYFUNCTION("""COMPUTED_VALUE"""),"Beach Sediment Core")</f>
        <v>Beach Sediment Core</v>
      </c>
      <c r="B12" s="1">
        <f>countif('FLUCW Proxy Map 2021'!S:S,A12)</f>
        <v>4</v>
      </c>
    </row>
    <row r="13">
      <c r="A13" s="1" t="str">
        <f>IFERROR(__xludf.DUMMYFUNCTION("""COMPUTED_VALUE"""),"Cave Sediments")</f>
        <v>Cave Sediments</v>
      </c>
      <c r="B13" s="1">
        <f>countif('FLUCW Proxy Map 2021'!S:S,A13)</f>
        <v>3</v>
      </c>
    </row>
    <row r="14">
      <c r="A14" s="1" t="str">
        <f>IFERROR(__xludf.DUMMYFUNCTION("""COMPUTED_VALUE"""),"River Sediments")</f>
        <v>River Sediments</v>
      </c>
      <c r="B14" s="1">
        <f>countif('FLUCW Proxy Map 2021'!S:S,A14)</f>
        <v>2</v>
      </c>
    </row>
    <row r="15">
      <c r="A15" s="1" t="str">
        <f>IFERROR(__xludf.DUMMYFUNCTION("""COMPUTED_VALUE"""),"Saltmarsh Sediment Core")</f>
        <v>Saltmarsh Sediment Core</v>
      </c>
      <c r="B15" s="1">
        <f>countif('FLUCW Proxy Map 2021'!S:S,A15)</f>
        <v>4</v>
      </c>
    </row>
    <row r="16">
      <c r="A16" s="1" t="str">
        <f>IFERROR(__xludf.DUMMYFUNCTION("""COMPUTED_VALUE"""),"Swamp Sediments")</f>
        <v>Swamp Sediments</v>
      </c>
      <c r="B16" s="1">
        <f>countif('FLUCW Proxy Map 2021'!S:S,A16)</f>
        <v>7</v>
      </c>
    </row>
    <row r="17">
      <c r="A17" s="1" t="str">
        <f>IFERROR(__xludf.DUMMYFUNCTION("""COMPUTED_VALUE"""),"Dig Pit")</f>
        <v>Dig Pit</v>
      </c>
      <c r="B17" s="1">
        <f>countif('FLUCW Proxy Map 2021'!S:S,A17)</f>
        <v>18</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3" t="s">
        <v>2240</v>
      </c>
      <c r="B1" s="3" t="s">
        <v>2241</v>
      </c>
      <c r="C1" s="3" t="s">
        <v>2235</v>
      </c>
      <c r="D1" s="3" t="s">
        <v>2236</v>
      </c>
      <c r="E1" s="3" t="s">
        <v>2237</v>
      </c>
      <c r="I1" s="3" t="s">
        <v>2241</v>
      </c>
    </row>
    <row r="2">
      <c r="A2" s="3">
        <v>2020.0</v>
      </c>
      <c r="H2" s="17" t="s">
        <v>2242</v>
      </c>
      <c r="I2" s="18">
        <v>212.0</v>
      </c>
      <c r="J2" s="18"/>
    </row>
    <row r="3">
      <c r="A3" s="3">
        <v>2000.0</v>
      </c>
      <c r="H3" s="17" t="s">
        <v>2243</v>
      </c>
      <c r="I3" s="18">
        <v>208.0</v>
      </c>
      <c r="J3" s="18"/>
    </row>
    <row r="4">
      <c r="A4" s="3">
        <v>1980.0</v>
      </c>
      <c r="H4" s="17" t="s">
        <v>2244</v>
      </c>
      <c r="I4" s="18">
        <v>20.0</v>
      </c>
      <c r="J4" s="18"/>
    </row>
    <row r="5">
      <c r="A5" s="3">
        <v>1960.0</v>
      </c>
      <c r="H5" s="17" t="s">
        <v>2245</v>
      </c>
      <c r="I5" s="3">
        <v>102.0</v>
      </c>
      <c r="J5" s="18"/>
    </row>
    <row r="6">
      <c r="A6" s="3">
        <v>1940.0</v>
      </c>
      <c r="G6" s="3" t="s">
        <v>2246</v>
      </c>
    </row>
    <row r="7">
      <c r="A7" s="3">
        <v>1920.0</v>
      </c>
      <c r="B7" s="18"/>
      <c r="C7" s="18"/>
    </row>
    <row r="8">
      <c r="A8" s="3">
        <v>1900.0</v>
      </c>
    </row>
    <row r="9">
      <c r="A9" s="3">
        <v>1880.0</v>
      </c>
    </row>
    <row r="10">
      <c r="A10" s="3">
        <v>1860.0</v>
      </c>
    </row>
    <row r="11">
      <c r="A11" s="3">
        <v>1840.0</v>
      </c>
    </row>
    <row r="12">
      <c r="A12" s="3">
        <v>1820.0</v>
      </c>
    </row>
    <row r="13">
      <c r="A13" s="3">
        <v>1800.0</v>
      </c>
    </row>
    <row r="14">
      <c r="A14" s="3">
        <v>1780.0</v>
      </c>
    </row>
    <row r="15">
      <c r="A15" s="3">
        <v>1760.0</v>
      </c>
    </row>
    <row r="16">
      <c r="A16" s="3">
        <v>1740.0</v>
      </c>
    </row>
    <row r="17">
      <c r="A17" s="3">
        <v>1720.0</v>
      </c>
    </row>
    <row r="18">
      <c r="A18" s="3">
        <v>1700.0</v>
      </c>
    </row>
    <row r="19">
      <c r="A19" s="3">
        <v>1680.0</v>
      </c>
    </row>
    <row r="20">
      <c r="A20" s="3">
        <v>1660.0</v>
      </c>
    </row>
    <row r="21">
      <c r="A21" s="3">
        <v>1640.0</v>
      </c>
    </row>
    <row r="22">
      <c r="A22" s="3">
        <v>1620.0</v>
      </c>
    </row>
    <row r="23">
      <c r="A23" s="3">
        <v>1600.0</v>
      </c>
    </row>
    <row r="24">
      <c r="A24" s="3">
        <v>1580.0</v>
      </c>
    </row>
    <row r="25">
      <c r="A25" s="3">
        <v>1560.0</v>
      </c>
    </row>
    <row r="26">
      <c r="A26" s="3">
        <v>1540.0</v>
      </c>
    </row>
    <row r="27">
      <c r="A27" s="3">
        <v>1520.0</v>
      </c>
    </row>
    <row r="28">
      <c r="A28" s="3">
        <v>1500.0</v>
      </c>
    </row>
    <row r="29">
      <c r="A29" s="3">
        <v>1480.0</v>
      </c>
    </row>
    <row r="30">
      <c r="A30" s="3">
        <v>1460.0</v>
      </c>
    </row>
    <row r="31">
      <c r="A31" s="3">
        <v>1440.0</v>
      </c>
    </row>
    <row r="32">
      <c r="A32" s="3">
        <v>1420.0</v>
      </c>
    </row>
    <row r="33">
      <c r="A33" s="3">
        <v>1400.0</v>
      </c>
    </row>
    <row r="34">
      <c r="A34" s="3">
        <v>1380.0</v>
      </c>
    </row>
    <row r="35">
      <c r="A35" s="3">
        <v>1360.0</v>
      </c>
    </row>
    <row r="36">
      <c r="A36" s="3">
        <v>1340.0</v>
      </c>
    </row>
    <row r="37">
      <c r="A37" s="3">
        <v>1320.0</v>
      </c>
    </row>
    <row r="38">
      <c r="A38" s="3">
        <v>1300.0</v>
      </c>
    </row>
    <row r="39">
      <c r="A39" s="3">
        <v>1280.0</v>
      </c>
    </row>
    <row r="40">
      <c r="A40" s="3">
        <v>1260.0</v>
      </c>
    </row>
    <row r="41">
      <c r="A41" s="3">
        <v>1240.0</v>
      </c>
    </row>
    <row r="42">
      <c r="A42" s="3">
        <v>1220.0</v>
      </c>
    </row>
    <row r="43">
      <c r="A43" s="3">
        <v>1200.0</v>
      </c>
    </row>
    <row r="44">
      <c r="A44" s="3">
        <v>1180.0</v>
      </c>
    </row>
    <row r="45">
      <c r="A45" s="3">
        <v>1160.0</v>
      </c>
    </row>
    <row r="46">
      <c r="A46" s="3">
        <v>1140.0</v>
      </c>
    </row>
    <row r="47">
      <c r="A47" s="3">
        <v>1120.0</v>
      </c>
    </row>
    <row r="48">
      <c r="A48" s="3">
        <v>1100.0</v>
      </c>
    </row>
    <row r="49">
      <c r="A49" s="3">
        <v>1080.0</v>
      </c>
    </row>
    <row r="50">
      <c r="A50" s="3">
        <v>1060.0</v>
      </c>
    </row>
    <row r="51">
      <c r="A51" s="3">
        <v>1040.0</v>
      </c>
    </row>
    <row r="52">
      <c r="A52" s="3">
        <v>1020.0</v>
      </c>
    </row>
    <row r="53">
      <c r="A53" s="3">
        <v>1000.0</v>
      </c>
    </row>
    <row r="54">
      <c r="A54" s="3">
        <v>980.0</v>
      </c>
    </row>
    <row r="55">
      <c r="A55" s="3">
        <v>960.0</v>
      </c>
    </row>
    <row r="56">
      <c r="A56" s="3">
        <v>940.0</v>
      </c>
    </row>
    <row r="57">
      <c r="A57" s="3">
        <v>920.0</v>
      </c>
    </row>
    <row r="58">
      <c r="A58" s="3">
        <v>900.0</v>
      </c>
    </row>
    <row r="59">
      <c r="A59" s="3">
        <v>880.0</v>
      </c>
    </row>
    <row r="60">
      <c r="A60" s="3">
        <v>860.0</v>
      </c>
    </row>
    <row r="61">
      <c r="A61" s="3">
        <v>840.0</v>
      </c>
    </row>
    <row r="62">
      <c r="A62" s="3">
        <v>820.0</v>
      </c>
    </row>
    <row r="63">
      <c r="A63" s="3">
        <v>800.0</v>
      </c>
    </row>
    <row r="64">
      <c r="A64" s="3">
        <v>780.0</v>
      </c>
    </row>
    <row r="65">
      <c r="A65" s="3">
        <v>760.0</v>
      </c>
    </row>
    <row r="66">
      <c r="A66" s="3">
        <v>740.0</v>
      </c>
    </row>
    <row r="67">
      <c r="A67" s="3">
        <v>720.0</v>
      </c>
    </row>
    <row r="68">
      <c r="A68" s="3">
        <v>700.0</v>
      </c>
    </row>
    <row r="69">
      <c r="A69" s="3">
        <v>680.0</v>
      </c>
    </row>
    <row r="70">
      <c r="A70" s="3">
        <v>660.0</v>
      </c>
    </row>
    <row r="71">
      <c r="A71" s="3">
        <v>640.0</v>
      </c>
    </row>
    <row r="72">
      <c r="A72" s="3">
        <v>620.0</v>
      </c>
    </row>
    <row r="73">
      <c r="A73" s="3">
        <v>600.0</v>
      </c>
    </row>
    <row r="74">
      <c r="A74" s="3">
        <v>580.0</v>
      </c>
    </row>
    <row r="75">
      <c r="A75" s="3">
        <v>560.0</v>
      </c>
    </row>
    <row r="76">
      <c r="A76" s="3">
        <v>540.0</v>
      </c>
    </row>
    <row r="77">
      <c r="A77" s="3">
        <v>520.0</v>
      </c>
    </row>
    <row r="78">
      <c r="A78" s="3">
        <v>500.0</v>
      </c>
    </row>
    <row r="79">
      <c r="A79" s="3">
        <v>480.0</v>
      </c>
    </row>
    <row r="80">
      <c r="A80" s="3">
        <v>460.0</v>
      </c>
    </row>
    <row r="81">
      <c r="A81" s="3">
        <v>440.0</v>
      </c>
    </row>
    <row r="82">
      <c r="A82" s="3">
        <v>420.0</v>
      </c>
    </row>
    <row r="83">
      <c r="A83" s="3">
        <v>400.0</v>
      </c>
    </row>
    <row r="84">
      <c r="A84" s="3">
        <v>380.0</v>
      </c>
    </row>
    <row r="85">
      <c r="A85" s="3">
        <v>360.0</v>
      </c>
    </row>
    <row r="86">
      <c r="A86" s="3">
        <v>340.0</v>
      </c>
    </row>
    <row r="87">
      <c r="A87" s="3">
        <v>320.0</v>
      </c>
    </row>
    <row r="88">
      <c r="A88" s="3">
        <v>300.0</v>
      </c>
    </row>
    <row r="89">
      <c r="A89" s="3">
        <v>280.0</v>
      </c>
    </row>
    <row r="90">
      <c r="A90" s="3">
        <v>260.0</v>
      </c>
    </row>
    <row r="91">
      <c r="A91" s="3">
        <v>240.0</v>
      </c>
    </row>
    <row r="92">
      <c r="A92" s="3">
        <v>220.0</v>
      </c>
    </row>
    <row r="93">
      <c r="A93" s="3">
        <v>200.0</v>
      </c>
    </row>
    <row r="94">
      <c r="A94" s="3">
        <v>180.0</v>
      </c>
    </row>
    <row r="95">
      <c r="A95" s="3">
        <v>160.0</v>
      </c>
    </row>
    <row r="96">
      <c r="A96" s="3">
        <v>140.0</v>
      </c>
    </row>
    <row r="97">
      <c r="A97" s="3">
        <v>120.0</v>
      </c>
    </row>
    <row r="98">
      <c r="A98" s="3">
        <v>100.0</v>
      </c>
    </row>
    <row r="99">
      <c r="A99" s="3">
        <v>80.0</v>
      </c>
    </row>
    <row r="100">
      <c r="A100" s="3">
        <v>60.0</v>
      </c>
    </row>
    <row r="101">
      <c r="A101" s="3">
        <v>40.0</v>
      </c>
    </row>
    <row r="102">
      <c r="A102" s="3">
        <v>20.0</v>
      </c>
    </row>
    <row r="103">
      <c r="A103" s="3">
        <v>0.0</v>
      </c>
    </row>
    <row r="104">
      <c r="A104" s="3">
        <v>-20.0</v>
      </c>
    </row>
    <row r="105">
      <c r="A105" s="3">
        <v>-40.0</v>
      </c>
    </row>
    <row r="106">
      <c r="A106" s="3">
        <v>-60.0</v>
      </c>
    </row>
    <row r="107">
      <c r="A107" s="3">
        <v>-80.0</v>
      </c>
    </row>
    <row r="108">
      <c r="A108" s="3">
        <v>-100.0</v>
      </c>
    </row>
    <row r="109">
      <c r="A109" s="3">
        <v>-120.0</v>
      </c>
    </row>
    <row r="110">
      <c r="A110" s="3">
        <v>-140.0</v>
      </c>
    </row>
    <row r="111">
      <c r="A111" s="3">
        <v>-160.0</v>
      </c>
    </row>
    <row r="112">
      <c r="A112" s="3">
        <v>-180.0</v>
      </c>
    </row>
    <row r="113">
      <c r="A113" s="3">
        <v>-200.0</v>
      </c>
    </row>
    <row r="114">
      <c r="A114" s="3">
        <v>-220.0</v>
      </c>
    </row>
    <row r="115">
      <c r="A115" s="3">
        <v>-240.0</v>
      </c>
    </row>
    <row r="116">
      <c r="A116" s="3">
        <v>-260.0</v>
      </c>
    </row>
    <row r="117">
      <c r="A117" s="3">
        <v>-280.0</v>
      </c>
    </row>
    <row r="118">
      <c r="A118" s="3">
        <v>-300.0</v>
      </c>
    </row>
    <row r="119">
      <c r="A119" s="3">
        <v>-320.0</v>
      </c>
    </row>
    <row r="120">
      <c r="A120" s="3">
        <v>-340.0</v>
      </c>
    </row>
    <row r="121">
      <c r="A121" s="3">
        <v>-360.0</v>
      </c>
    </row>
    <row r="122">
      <c r="A122" s="3">
        <v>-380.0</v>
      </c>
    </row>
    <row r="123">
      <c r="A123" s="3">
        <v>-400.0</v>
      </c>
    </row>
    <row r="124">
      <c r="A124" s="3">
        <v>-420.0</v>
      </c>
    </row>
    <row r="125">
      <c r="A125" s="3">
        <v>-440.0</v>
      </c>
    </row>
    <row r="126">
      <c r="A126" s="3">
        <v>-460.0</v>
      </c>
    </row>
    <row r="127">
      <c r="A127" s="3">
        <v>-480.0</v>
      </c>
    </row>
    <row r="128">
      <c r="A128" s="3">
        <v>-500.0</v>
      </c>
    </row>
    <row r="129">
      <c r="A129" s="3">
        <v>-520.0</v>
      </c>
    </row>
    <row r="130">
      <c r="A130" s="3">
        <v>-540.0</v>
      </c>
    </row>
    <row r="131">
      <c r="A131" s="3">
        <v>-560.0</v>
      </c>
    </row>
    <row r="132">
      <c r="A132" s="3">
        <v>-580.0</v>
      </c>
    </row>
    <row r="133">
      <c r="A133" s="3">
        <v>-600.0</v>
      </c>
    </row>
    <row r="134">
      <c r="A134" s="3">
        <v>-620.0</v>
      </c>
    </row>
    <row r="135">
      <c r="A135" s="3">
        <v>-640.0</v>
      </c>
    </row>
    <row r="136">
      <c r="A136" s="3">
        <v>-660.0</v>
      </c>
    </row>
    <row r="137">
      <c r="A137" s="3">
        <v>-680.0</v>
      </c>
    </row>
    <row r="138">
      <c r="A138" s="3">
        <v>-700.0</v>
      </c>
    </row>
    <row r="139">
      <c r="A139" s="3">
        <v>-720.0</v>
      </c>
    </row>
    <row r="140">
      <c r="A140" s="3">
        <v>-740.0</v>
      </c>
    </row>
    <row r="141">
      <c r="A141" s="3">
        <v>-760.0</v>
      </c>
    </row>
    <row r="142">
      <c r="A142" s="3">
        <v>-780.0</v>
      </c>
    </row>
    <row r="143">
      <c r="A143" s="3">
        <v>-800.0</v>
      </c>
    </row>
    <row r="144">
      <c r="A144" s="3">
        <v>-820.0</v>
      </c>
    </row>
    <row r="145">
      <c r="A145" s="3">
        <v>-840.0</v>
      </c>
    </row>
    <row r="146">
      <c r="A146" s="3">
        <v>-860.0</v>
      </c>
    </row>
    <row r="147">
      <c r="A147" s="3">
        <v>-880.0</v>
      </c>
    </row>
    <row r="148">
      <c r="A148" s="3">
        <v>-900.0</v>
      </c>
    </row>
    <row r="149">
      <c r="A149" s="3">
        <v>-920.0</v>
      </c>
    </row>
    <row r="150">
      <c r="A150" s="3">
        <v>-940.0</v>
      </c>
    </row>
    <row r="151">
      <c r="A151" s="3">
        <v>-960.0</v>
      </c>
    </row>
    <row r="152">
      <c r="A152" s="3">
        <v>-980.0</v>
      </c>
    </row>
    <row r="153">
      <c r="A153" s="3">
        <v>-1000.0</v>
      </c>
    </row>
    <row r="154">
      <c r="A154" s="3">
        <v>-1020.0</v>
      </c>
    </row>
    <row r="155">
      <c r="A155" s="3">
        <v>-1040.0</v>
      </c>
    </row>
    <row r="156">
      <c r="A156" s="3">
        <v>-1060.0</v>
      </c>
    </row>
    <row r="157">
      <c r="A157" s="3">
        <v>-1080.0</v>
      </c>
    </row>
    <row r="158">
      <c r="A158" s="3">
        <v>-1100.0</v>
      </c>
    </row>
    <row r="159">
      <c r="A159" s="3">
        <v>-1120.0</v>
      </c>
    </row>
    <row r="160">
      <c r="A160" s="3">
        <v>-1140.0</v>
      </c>
    </row>
    <row r="161">
      <c r="A161" s="3">
        <v>-1160.0</v>
      </c>
    </row>
    <row r="162">
      <c r="A162" s="3">
        <v>-1180.0</v>
      </c>
    </row>
    <row r="163">
      <c r="A163" s="3">
        <v>-1200.0</v>
      </c>
    </row>
    <row r="164">
      <c r="A164" s="3">
        <v>-1220.0</v>
      </c>
    </row>
    <row r="165">
      <c r="A165" s="3">
        <v>-1240.0</v>
      </c>
    </row>
    <row r="166">
      <c r="A166" s="3">
        <v>-1260.0</v>
      </c>
    </row>
    <row r="167">
      <c r="A167" s="3">
        <v>-1280.0</v>
      </c>
    </row>
    <row r="168">
      <c r="A168" s="3">
        <v>-1300.0</v>
      </c>
    </row>
    <row r="169">
      <c r="A169" s="3">
        <v>-1320.0</v>
      </c>
    </row>
    <row r="170">
      <c r="A170" s="3">
        <v>-1340.0</v>
      </c>
    </row>
    <row r="171">
      <c r="A171" s="3">
        <v>-1360.0</v>
      </c>
    </row>
    <row r="172">
      <c r="A172" s="3">
        <v>-1380.0</v>
      </c>
    </row>
    <row r="173">
      <c r="A173" s="3">
        <v>-1400.0</v>
      </c>
    </row>
    <row r="174">
      <c r="A174" s="3">
        <v>-1420.0</v>
      </c>
    </row>
    <row r="175">
      <c r="A175" s="3">
        <v>-1440.0</v>
      </c>
    </row>
    <row r="176">
      <c r="A176" s="3">
        <v>-1460.0</v>
      </c>
    </row>
    <row r="177">
      <c r="A177" s="3">
        <v>-1480.0</v>
      </c>
    </row>
    <row r="178">
      <c r="A178" s="3">
        <v>-1500.0</v>
      </c>
    </row>
    <row r="179">
      <c r="A179" s="3">
        <v>-1520.0</v>
      </c>
    </row>
    <row r="180">
      <c r="A180" s="3">
        <v>-1540.0</v>
      </c>
    </row>
    <row r="181">
      <c r="A181" s="3">
        <v>-1560.0</v>
      </c>
    </row>
    <row r="182">
      <c r="A182" s="3">
        <v>-1580.0</v>
      </c>
    </row>
    <row r="183">
      <c r="A183" s="3">
        <v>-1600.0</v>
      </c>
    </row>
    <row r="184">
      <c r="A184" s="3">
        <v>-1620.0</v>
      </c>
    </row>
    <row r="185">
      <c r="A185" s="3">
        <v>-1640.0</v>
      </c>
    </row>
    <row r="186">
      <c r="A186" s="3">
        <v>-1660.0</v>
      </c>
    </row>
    <row r="187">
      <c r="A187" s="3">
        <v>-1680.0</v>
      </c>
    </row>
    <row r="188">
      <c r="A188" s="3">
        <v>-1700.0</v>
      </c>
    </row>
    <row r="189">
      <c r="A189" s="3">
        <v>-1720.0</v>
      </c>
    </row>
    <row r="190">
      <c r="A190" s="3">
        <v>-1740.0</v>
      </c>
    </row>
    <row r="191">
      <c r="A191" s="3">
        <v>-1760.0</v>
      </c>
    </row>
    <row r="192">
      <c r="A192" s="3">
        <v>-1780.0</v>
      </c>
    </row>
    <row r="193">
      <c r="A193" s="3">
        <v>-1800.0</v>
      </c>
    </row>
    <row r="194">
      <c r="A194" s="3">
        <v>-1820.0</v>
      </c>
    </row>
    <row r="195">
      <c r="A195" s="3">
        <v>-1840.0</v>
      </c>
    </row>
    <row r="196">
      <c r="A196" s="3">
        <v>-1860.0</v>
      </c>
    </row>
    <row r="197">
      <c r="A197" s="3">
        <v>-1880.0</v>
      </c>
    </row>
    <row r="198">
      <c r="A198" s="3">
        <v>-1900.0</v>
      </c>
    </row>
    <row r="199">
      <c r="A199" s="3">
        <v>-1920.0</v>
      </c>
    </row>
    <row r="200">
      <c r="A200" s="3">
        <v>-1940.0</v>
      </c>
    </row>
    <row r="201">
      <c r="A201" s="3">
        <v>-1960.0</v>
      </c>
    </row>
    <row r="202">
      <c r="A202" s="3">
        <v>-1980.0</v>
      </c>
    </row>
    <row r="203">
      <c r="A203" s="3">
        <v>-2000.0</v>
      </c>
    </row>
    <row r="204">
      <c r="A204" s="3">
        <v>-2020.0</v>
      </c>
    </row>
    <row r="205">
      <c r="A205" s="3">
        <v>-2040.0</v>
      </c>
    </row>
    <row r="206">
      <c r="A206" s="3">
        <v>-2060.0</v>
      </c>
    </row>
    <row r="207">
      <c r="A207" s="3">
        <v>-2080.0</v>
      </c>
    </row>
    <row r="208">
      <c r="A208" s="3">
        <v>-2100.0</v>
      </c>
    </row>
    <row r="209">
      <c r="A209" s="3">
        <v>-2120.0</v>
      </c>
    </row>
    <row r="210">
      <c r="A210" s="3">
        <v>-2140.0</v>
      </c>
    </row>
    <row r="211">
      <c r="A211" s="3">
        <v>-2160.0</v>
      </c>
    </row>
    <row r="212">
      <c r="A212" s="3">
        <v>-2180.0</v>
      </c>
    </row>
    <row r="213">
      <c r="A213" s="3">
        <v>-2200.0</v>
      </c>
    </row>
    <row r="214">
      <c r="A214" s="3">
        <v>-2220.0</v>
      </c>
    </row>
    <row r="215">
      <c r="A215" s="3">
        <v>-2240.0</v>
      </c>
    </row>
    <row r="216">
      <c r="A216" s="3">
        <v>-2260.0</v>
      </c>
    </row>
    <row r="217">
      <c r="A217" s="3">
        <v>-2280.0</v>
      </c>
    </row>
    <row r="218">
      <c r="A218" s="3">
        <v>-2300.0</v>
      </c>
    </row>
    <row r="219">
      <c r="A219" s="3">
        <v>-2320.0</v>
      </c>
    </row>
    <row r="220">
      <c r="A220" s="3">
        <v>-2340.0</v>
      </c>
    </row>
    <row r="221">
      <c r="A221" s="3">
        <v>-2360.0</v>
      </c>
    </row>
    <row r="222">
      <c r="A222" s="3">
        <v>-2380.0</v>
      </c>
    </row>
    <row r="223">
      <c r="A223" s="3">
        <v>-2400.0</v>
      </c>
    </row>
    <row r="224">
      <c r="A224" s="3">
        <v>-2420.0</v>
      </c>
    </row>
    <row r="225">
      <c r="A225" s="3">
        <v>-2440.0</v>
      </c>
    </row>
    <row r="226">
      <c r="A226" s="3">
        <v>-2460.0</v>
      </c>
    </row>
    <row r="227">
      <c r="A227" s="3">
        <v>-2480.0</v>
      </c>
    </row>
    <row r="228">
      <c r="A228" s="3">
        <v>-2500.0</v>
      </c>
    </row>
    <row r="229">
      <c r="A229" s="3">
        <v>-2520.0</v>
      </c>
    </row>
    <row r="230">
      <c r="A230" s="3">
        <v>-2540.0</v>
      </c>
    </row>
    <row r="231">
      <c r="A231" s="3">
        <v>-2560.0</v>
      </c>
    </row>
    <row r="232">
      <c r="A232" s="3">
        <v>-2580.0</v>
      </c>
    </row>
    <row r="233">
      <c r="A233" s="3">
        <v>-2600.0</v>
      </c>
    </row>
    <row r="234">
      <c r="A234" s="3">
        <v>-2620.0</v>
      </c>
    </row>
    <row r="235">
      <c r="A235" s="3">
        <v>-2640.0</v>
      </c>
    </row>
    <row r="236">
      <c r="A236" s="3">
        <v>-2660.0</v>
      </c>
    </row>
    <row r="237">
      <c r="A237" s="3">
        <v>-2680.0</v>
      </c>
    </row>
    <row r="238">
      <c r="A238" s="3">
        <v>-2700.0</v>
      </c>
    </row>
    <row r="239">
      <c r="A239" s="3">
        <v>-2720.0</v>
      </c>
    </row>
    <row r="240">
      <c r="A240" s="3">
        <v>-2740.0</v>
      </c>
    </row>
    <row r="241">
      <c r="A241" s="3">
        <v>-2760.0</v>
      </c>
    </row>
    <row r="242">
      <c r="A242" s="3">
        <v>-2780.0</v>
      </c>
    </row>
    <row r="243">
      <c r="A243" s="3">
        <v>-2800.0</v>
      </c>
    </row>
    <row r="244">
      <c r="A244" s="3">
        <v>-2820.0</v>
      </c>
    </row>
    <row r="245">
      <c r="A245" s="3">
        <v>-2840.0</v>
      </c>
    </row>
    <row r="246">
      <c r="A246" s="3">
        <v>-2860.0</v>
      </c>
    </row>
    <row r="247">
      <c r="A247" s="3">
        <v>-2880.0</v>
      </c>
    </row>
    <row r="248">
      <c r="A248" s="3">
        <v>-2900.0</v>
      </c>
    </row>
    <row r="249">
      <c r="A249" s="3">
        <v>-2920.0</v>
      </c>
    </row>
    <row r="250">
      <c r="A250" s="3">
        <v>-2940.0</v>
      </c>
    </row>
    <row r="251">
      <c r="A251" s="3">
        <v>-2960.0</v>
      </c>
    </row>
    <row r="252">
      <c r="A252" s="3">
        <v>-2980.0</v>
      </c>
    </row>
    <row r="253">
      <c r="A253" s="3">
        <v>-3000.0</v>
      </c>
    </row>
    <row r="254">
      <c r="A254" s="3">
        <v>-3020.0</v>
      </c>
    </row>
    <row r="255">
      <c r="A255" s="3">
        <v>-3040.0</v>
      </c>
    </row>
    <row r="256">
      <c r="A256" s="3">
        <v>-3060.0</v>
      </c>
    </row>
    <row r="257">
      <c r="A257" s="3">
        <v>-3080.0</v>
      </c>
    </row>
    <row r="258">
      <c r="A258" s="3">
        <v>-3100.0</v>
      </c>
    </row>
    <row r="259">
      <c r="A259" s="3">
        <v>-3120.0</v>
      </c>
    </row>
    <row r="260">
      <c r="A260" s="3">
        <v>-3140.0</v>
      </c>
    </row>
    <row r="261">
      <c r="A261" s="3">
        <v>-3160.0</v>
      </c>
    </row>
    <row r="262">
      <c r="A262" s="3">
        <v>-3180.0</v>
      </c>
    </row>
    <row r="263">
      <c r="A263" s="3">
        <v>-3200.0</v>
      </c>
    </row>
    <row r="264">
      <c r="A264" s="3">
        <v>-3220.0</v>
      </c>
    </row>
    <row r="265">
      <c r="A265" s="3">
        <v>-3240.0</v>
      </c>
    </row>
    <row r="266">
      <c r="A266" s="3">
        <v>-3260.0</v>
      </c>
    </row>
    <row r="267">
      <c r="A267" s="3">
        <v>-3280.0</v>
      </c>
    </row>
    <row r="268">
      <c r="A268" s="3">
        <v>-3300.0</v>
      </c>
    </row>
    <row r="269">
      <c r="A269" s="3">
        <v>-3320.0</v>
      </c>
    </row>
    <row r="270">
      <c r="A270" s="3">
        <v>-3340.0</v>
      </c>
    </row>
    <row r="271">
      <c r="A271" s="3">
        <v>-3360.0</v>
      </c>
    </row>
    <row r="272">
      <c r="A272" s="3">
        <v>-3380.0</v>
      </c>
    </row>
    <row r="273">
      <c r="A273" s="3">
        <v>-3400.0</v>
      </c>
    </row>
    <row r="274">
      <c r="A274" s="3">
        <v>-3420.0</v>
      </c>
    </row>
    <row r="275">
      <c r="A275" s="3">
        <v>-3440.0</v>
      </c>
    </row>
    <row r="276">
      <c r="A276" s="3">
        <v>-3460.0</v>
      </c>
    </row>
    <row r="277">
      <c r="A277" s="3">
        <v>-3480.0</v>
      </c>
    </row>
    <row r="278">
      <c r="A278" s="3">
        <v>-3500.0</v>
      </c>
    </row>
    <row r="279">
      <c r="A279" s="3">
        <v>-3520.0</v>
      </c>
    </row>
    <row r="280">
      <c r="A280" s="3">
        <v>-3540.0</v>
      </c>
    </row>
    <row r="281">
      <c r="A281" s="3">
        <v>-3560.0</v>
      </c>
    </row>
    <row r="282">
      <c r="A282" s="3">
        <v>-3580.0</v>
      </c>
    </row>
    <row r="283">
      <c r="A283" s="3">
        <v>-3600.0</v>
      </c>
    </row>
    <row r="284">
      <c r="A284" s="3">
        <v>-3620.0</v>
      </c>
    </row>
    <row r="285">
      <c r="A285" s="3">
        <v>-3640.0</v>
      </c>
    </row>
    <row r="286">
      <c r="A286" s="3">
        <v>-3660.0</v>
      </c>
    </row>
    <row r="287">
      <c r="A287" s="3">
        <v>-3680.0</v>
      </c>
    </row>
    <row r="288">
      <c r="A288" s="3">
        <v>-3700.0</v>
      </c>
    </row>
    <row r="289">
      <c r="A289" s="3">
        <v>-3720.0</v>
      </c>
    </row>
    <row r="290">
      <c r="A290" s="3">
        <v>-3740.0</v>
      </c>
    </row>
    <row r="291">
      <c r="A291" s="3">
        <v>-3760.0</v>
      </c>
    </row>
    <row r="292">
      <c r="A292" s="3">
        <v>-3780.0</v>
      </c>
    </row>
    <row r="293">
      <c r="A293" s="3">
        <v>-3800.0</v>
      </c>
    </row>
    <row r="294">
      <c r="A294" s="3">
        <v>-3820.0</v>
      </c>
    </row>
    <row r="295">
      <c r="A295" s="3">
        <v>-3840.0</v>
      </c>
    </row>
    <row r="296">
      <c r="A296" s="3">
        <v>-3860.0</v>
      </c>
    </row>
    <row r="297">
      <c r="A297" s="3">
        <v>-3880.0</v>
      </c>
    </row>
    <row r="298">
      <c r="A298" s="3">
        <v>-3900.0</v>
      </c>
    </row>
    <row r="299">
      <c r="A299" s="3">
        <v>-3920.0</v>
      </c>
    </row>
    <row r="300">
      <c r="A300" s="3">
        <v>-3940.0</v>
      </c>
    </row>
    <row r="301">
      <c r="A301" s="3">
        <v>-3960.0</v>
      </c>
    </row>
    <row r="302">
      <c r="A302" s="3">
        <v>-3980.0</v>
      </c>
    </row>
    <row r="303">
      <c r="A303" s="3">
        <v>-4000.0</v>
      </c>
    </row>
    <row r="304">
      <c r="A304" s="3">
        <v>-4020.0</v>
      </c>
    </row>
    <row r="305">
      <c r="A305" s="3">
        <v>-4040.0</v>
      </c>
    </row>
    <row r="306">
      <c r="A306" s="3">
        <v>-4060.0</v>
      </c>
    </row>
    <row r="307">
      <c r="A307" s="3">
        <v>-4080.0</v>
      </c>
    </row>
    <row r="308">
      <c r="A308" s="3">
        <v>-4100.0</v>
      </c>
    </row>
    <row r="309">
      <c r="A309" s="3">
        <v>-4120.0</v>
      </c>
    </row>
    <row r="310">
      <c r="A310" s="3">
        <v>-4140.0</v>
      </c>
    </row>
    <row r="311">
      <c r="A311" s="3">
        <v>-4160.0</v>
      </c>
    </row>
    <row r="312">
      <c r="A312" s="3">
        <v>-4180.0</v>
      </c>
    </row>
    <row r="313">
      <c r="A313" s="3">
        <v>-4200.0</v>
      </c>
    </row>
    <row r="314">
      <c r="A314" s="3">
        <v>-4220.0</v>
      </c>
    </row>
    <row r="315">
      <c r="A315" s="3">
        <v>-4240.0</v>
      </c>
    </row>
    <row r="316">
      <c r="A316" s="3">
        <v>-4260.0</v>
      </c>
    </row>
    <row r="317">
      <c r="A317" s="3">
        <v>-4280.0</v>
      </c>
    </row>
    <row r="318">
      <c r="A318" s="3">
        <v>-4300.0</v>
      </c>
    </row>
    <row r="319">
      <c r="A319" s="3">
        <v>-4320.0</v>
      </c>
    </row>
    <row r="320">
      <c r="A320" s="3">
        <v>-4340.0</v>
      </c>
    </row>
    <row r="321">
      <c r="A321" s="3">
        <v>-4360.0</v>
      </c>
    </row>
    <row r="322">
      <c r="A322" s="3">
        <v>-4380.0</v>
      </c>
    </row>
    <row r="323">
      <c r="A323" s="3">
        <v>-4400.0</v>
      </c>
    </row>
    <row r="324">
      <c r="A324" s="3">
        <v>-4420.0</v>
      </c>
    </row>
    <row r="325">
      <c r="A325" s="3">
        <v>-4440.0</v>
      </c>
    </row>
    <row r="326">
      <c r="A326" s="3">
        <v>-4460.0</v>
      </c>
    </row>
    <row r="327">
      <c r="A327" s="3">
        <v>-4480.0</v>
      </c>
    </row>
    <row r="328">
      <c r="A328" s="3">
        <v>-4500.0</v>
      </c>
    </row>
    <row r="329">
      <c r="A329" s="3">
        <v>-4520.0</v>
      </c>
    </row>
    <row r="330">
      <c r="A330" s="3">
        <v>-4540.0</v>
      </c>
    </row>
    <row r="331">
      <c r="A331" s="3">
        <v>-4560.0</v>
      </c>
    </row>
    <row r="332">
      <c r="A332" s="3">
        <v>-4580.0</v>
      </c>
    </row>
    <row r="333">
      <c r="A333" s="3">
        <v>-4600.0</v>
      </c>
    </row>
    <row r="334">
      <c r="A334" s="3">
        <v>-4620.0</v>
      </c>
    </row>
    <row r="335">
      <c r="A335" s="3">
        <v>-4640.0</v>
      </c>
    </row>
    <row r="336">
      <c r="A336" s="3">
        <v>-4660.0</v>
      </c>
    </row>
    <row r="337">
      <c r="A337" s="3">
        <v>-4680.0</v>
      </c>
    </row>
    <row r="338">
      <c r="A338" s="3">
        <v>-4700.0</v>
      </c>
    </row>
    <row r="339">
      <c r="A339" s="3">
        <v>-4720.0</v>
      </c>
    </row>
    <row r="340">
      <c r="A340" s="3">
        <v>-4740.0</v>
      </c>
    </row>
    <row r="341">
      <c r="A341" s="3">
        <v>-4760.0</v>
      </c>
    </row>
    <row r="342">
      <c r="A342" s="3">
        <v>-4780.0</v>
      </c>
    </row>
    <row r="343">
      <c r="A343" s="3">
        <v>-4800.0</v>
      </c>
    </row>
    <row r="344">
      <c r="A344" s="3">
        <v>-4820.0</v>
      </c>
    </row>
    <row r="345">
      <c r="A345" s="3">
        <v>-4840.0</v>
      </c>
    </row>
    <row r="346">
      <c r="A346" s="3">
        <v>-4860.0</v>
      </c>
    </row>
    <row r="347">
      <c r="A347" s="3">
        <v>-4880.0</v>
      </c>
    </row>
    <row r="348">
      <c r="A348" s="3">
        <v>-4900.0</v>
      </c>
    </row>
    <row r="349">
      <c r="A349" s="3">
        <v>-4920.0</v>
      </c>
    </row>
    <row r="350">
      <c r="A350" s="3">
        <v>-4940.0</v>
      </c>
    </row>
    <row r="351">
      <c r="A351" s="3">
        <v>-4960.0</v>
      </c>
    </row>
    <row r="352">
      <c r="A352" s="3">
        <v>-4980.0</v>
      </c>
    </row>
    <row r="353">
      <c r="A353" s="3">
        <v>-5000.0</v>
      </c>
    </row>
    <row r="354">
      <c r="A354" s="3">
        <v>-5020.0</v>
      </c>
    </row>
    <row r="355">
      <c r="A355" s="3">
        <v>-5040.0</v>
      </c>
    </row>
    <row r="356">
      <c r="A356" s="3">
        <v>-5060.0</v>
      </c>
    </row>
    <row r="357">
      <c r="A357" s="3">
        <v>-5080.0</v>
      </c>
    </row>
    <row r="358">
      <c r="A358" s="3">
        <v>-5100.0</v>
      </c>
    </row>
    <row r="359">
      <c r="A359" s="3">
        <v>-5120.0</v>
      </c>
    </row>
    <row r="360">
      <c r="A360" s="3">
        <v>-5140.0</v>
      </c>
    </row>
    <row r="361">
      <c r="A361" s="3">
        <v>-5160.0</v>
      </c>
    </row>
    <row r="362">
      <c r="A362" s="3">
        <v>-5180.0</v>
      </c>
    </row>
    <row r="363">
      <c r="A363" s="3">
        <v>-5200.0</v>
      </c>
    </row>
    <row r="364">
      <c r="A364" s="3">
        <v>-5220.0</v>
      </c>
    </row>
    <row r="365">
      <c r="A365" s="3">
        <v>-5240.0</v>
      </c>
    </row>
    <row r="366">
      <c r="A366" s="3">
        <v>-5260.0</v>
      </c>
    </row>
    <row r="367">
      <c r="A367" s="3">
        <v>-5280.0</v>
      </c>
    </row>
    <row r="368">
      <c r="A368" s="3">
        <v>-5300.0</v>
      </c>
    </row>
    <row r="369">
      <c r="A369" s="3">
        <v>-5320.0</v>
      </c>
    </row>
    <row r="370">
      <c r="A370" s="3">
        <v>-5340.0</v>
      </c>
    </row>
    <row r="371">
      <c r="A371" s="3">
        <v>-5360.0</v>
      </c>
    </row>
    <row r="372">
      <c r="A372" s="3">
        <v>-5380.0</v>
      </c>
    </row>
    <row r="373">
      <c r="A373" s="3">
        <v>-5400.0</v>
      </c>
    </row>
    <row r="374">
      <c r="A374" s="3">
        <v>-5420.0</v>
      </c>
    </row>
    <row r="375">
      <c r="A375" s="3">
        <v>-5440.0</v>
      </c>
    </row>
    <row r="376">
      <c r="A376" s="3">
        <v>-5460.0</v>
      </c>
    </row>
    <row r="377">
      <c r="A377" s="3">
        <v>-5480.0</v>
      </c>
    </row>
    <row r="378">
      <c r="A378" s="3">
        <v>-5500.0</v>
      </c>
    </row>
    <row r="379">
      <c r="A379" s="3">
        <v>-5520.0</v>
      </c>
    </row>
    <row r="380">
      <c r="A380" s="3">
        <v>-5540.0</v>
      </c>
    </row>
    <row r="381">
      <c r="A381" s="3">
        <v>-5560.0</v>
      </c>
    </row>
    <row r="382">
      <c r="A382" s="3">
        <v>-5580.0</v>
      </c>
    </row>
    <row r="383">
      <c r="A383" s="3">
        <v>-5600.0</v>
      </c>
    </row>
    <row r="384">
      <c r="A384" s="3">
        <v>-5620.0</v>
      </c>
    </row>
    <row r="385">
      <c r="A385" s="3">
        <v>-5640.0</v>
      </c>
    </row>
    <row r="386">
      <c r="A386" s="3">
        <v>-5660.0</v>
      </c>
    </row>
    <row r="387">
      <c r="A387" s="3">
        <v>-5680.0</v>
      </c>
    </row>
    <row r="388">
      <c r="A388" s="3">
        <v>-5700.0</v>
      </c>
    </row>
    <row r="389">
      <c r="A389" s="3">
        <v>-5720.0</v>
      </c>
    </row>
    <row r="390">
      <c r="A390" s="3">
        <v>-5740.0</v>
      </c>
    </row>
    <row r="391">
      <c r="A391" s="3">
        <v>-5760.0</v>
      </c>
    </row>
    <row r="392">
      <c r="A392" s="3">
        <v>-5780.0</v>
      </c>
    </row>
    <row r="393">
      <c r="A393" s="3">
        <v>-5800.0</v>
      </c>
    </row>
    <row r="394">
      <c r="A394" s="3">
        <v>-5820.0</v>
      </c>
    </row>
    <row r="395">
      <c r="A395" s="3">
        <v>-5840.0</v>
      </c>
    </row>
    <row r="396">
      <c r="A396" s="3">
        <v>-5860.0</v>
      </c>
    </row>
    <row r="397">
      <c r="A397" s="3">
        <v>-5880.0</v>
      </c>
    </row>
    <row r="398">
      <c r="A398" s="3">
        <v>-5900.0</v>
      </c>
    </row>
    <row r="399">
      <c r="A399" s="3">
        <v>-5920.0</v>
      </c>
    </row>
    <row r="400">
      <c r="A400" s="3">
        <v>-5940.0</v>
      </c>
    </row>
    <row r="401">
      <c r="A401" s="3">
        <v>-5960.0</v>
      </c>
    </row>
    <row r="402">
      <c r="A402" s="3">
        <v>-5980.0</v>
      </c>
    </row>
    <row r="403">
      <c r="A403" s="3">
        <v>-6000.0</v>
      </c>
    </row>
    <row r="404">
      <c r="A404" s="3">
        <v>-6020.0</v>
      </c>
    </row>
    <row r="405">
      <c r="A405" s="3">
        <v>-6040.0</v>
      </c>
    </row>
    <row r="406">
      <c r="A406" s="3">
        <v>-6060.0</v>
      </c>
    </row>
    <row r="407">
      <c r="A407" s="3">
        <v>-6080.0</v>
      </c>
    </row>
    <row r="408">
      <c r="A408" s="3">
        <v>-6100.0</v>
      </c>
    </row>
    <row r="409">
      <c r="A409" s="3">
        <v>-6120.0</v>
      </c>
    </row>
    <row r="410">
      <c r="A410" s="3">
        <v>-6140.0</v>
      </c>
    </row>
    <row r="411">
      <c r="A411" s="3">
        <v>-6160.0</v>
      </c>
    </row>
    <row r="412">
      <c r="A412" s="3">
        <v>-6180.0</v>
      </c>
    </row>
    <row r="413">
      <c r="A413" s="3">
        <v>-6200.0</v>
      </c>
    </row>
    <row r="414">
      <c r="A414" s="3">
        <v>-6220.0</v>
      </c>
    </row>
    <row r="415">
      <c r="A415" s="3">
        <v>-6240.0</v>
      </c>
    </row>
    <row r="416">
      <c r="A416" s="3">
        <v>-6260.0</v>
      </c>
    </row>
    <row r="417">
      <c r="A417" s="3">
        <v>-6280.0</v>
      </c>
    </row>
    <row r="418">
      <c r="A418" s="3">
        <v>-6300.0</v>
      </c>
    </row>
    <row r="419">
      <c r="A419" s="3">
        <v>-6320.0</v>
      </c>
    </row>
    <row r="420">
      <c r="A420" s="3">
        <v>-6340.0</v>
      </c>
    </row>
    <row r="421">
      <c r="A421" s="3">
        <v>-6360.0</v>
      </c>
    </row>
    <row r="422">
      <c r="A422" s="3">
        <v>-6380.0</v>
      </c>
    </row>
    <row r="423">
      <c r="A423" s="3">
        <v>-6400.0</v>
      </c>
    </row>
    <row r="424">
      <c r="A424" s="3">
        <v>-6420.0</v>
      </c>
    </row>
    <row r="425">
      <c r="A425" s="3">
        <v>-6440.0</v>
      </c>
    </row>
    <row r="426">
      <c r="A426" s="3">
        <v>-6460.0</v>
      </c>
    </row>
    <row r="427">
      <c r="A427" s="3">
        <v>-6480.0</v>
      </c>
    </row>
    <row r="428">
      <c r="A428" s="3">
        <v>-6500.0</v>
      </c>
    </row>
    <row r="429">
      <c r="A429" s="3">
        <v>-6520.0</v>
      </c>
    </row>
    <row r="430">
      <c r="A430" s="3">
        <v>-6540.0</v>
      </c>
    </row>
    <row r="431">
      <c r="A431" s="3">
        <v>-6560.0</v>
      </c>
    </row>
    <row r="432">
      <c r="A432" s="3">
        <v>-6580.0</v>
      </c>
    </row>
    <row r="433">
      <c r="A433" s="3">
        <v>-6600.0</v>
      </c>
    </row>
    <row r="434">
      <c r="A434" s="3">
        <v>-6620.0</v>
      </c>
    </row>
    <row r="435">
      <c r="A435" s="3">
        <v>-6640.0</v>
      </c>
    </row>
    <row r="436">
      <c r="A436" s="3">
        <v>-6660.0</v>
      </c>
    </row>
    <row r="437">
      <c r="A437" s="3">
        <v>-6680.0</v>
      </c>
    </row>
    <row r="438">
      <c r="A438" s="3">
        <v>-6700.0</v>
      </c>
    </row>
    <row r="439">
      <c r="A439" s="3">
        <v>-6720.0</v>
      </c>
    </row>
    <row r="440">
      <c r="A440" s="3">
        <v>-6740.0</v>
      </c>
    </row>
    <row r="441">
      <c r="A441" s="3">
        <v>-6760.0</v>
      </c>
    </row>
    <row r="442">
      <c r="A442" s="3">
        <v>-6780.0</v>
      </c>
    </row>
    <row r="443">
      <c r="A443" s="3">
        <v>-6800.0</v>
      </c>
    </row>
    <row r="444">
      <c r="A444" s="3">
        <v>-6820.0</v>
      </c>
    </row>
    <row r="445">
      <c r="A445" s="3">
        <v>-6840.0</v>
      </c>
    </row>
    <row r="446">
      <c r="A446" s="3">
        <v>-6860.0</v>
      </c>
    </row>
    <row r="447">
      <c r="A447" s="3">
        <v>-6880.0</v>
      </c>
    </row>
    <row r="448">
      <c r="A448" s="3">
        <v>-6900.0</v>
      </c>
    </row>
    <row r="449">
      <c r="A449" s="3">
        <v>-6920.0</v>
      </c>
    </row>
    <row r="450">
      <c r="A450" s="3">
        <v>-6940.0</v>
      </c>
    </row>
    <row r="451">
      <c r="A451" s="3">
        <v>-6960.0</v>
      </c>
    </row>
    <row r="452">
      <c r="A452" s="3">
        <v>-6980.0</v>
      </c>
    </row>
    <row r="453">
      <c r="A453" s="3">
        <v>-7000.0</v>
      </c>
    </row>
    <row r="454">
      <c r="A454" s="3">
        <v>-7020.0</v>
      </c>
    </row>
    <row r="455">
      <c r="A455" s="3">
        <v>-7040.0</v>
      </c>
    </row>
    <row r="456">
      <c r="A456" s="3">
        <v>-7060.0</v>
      </c>
    </row>
    <row r="457">
      <c r="A457" s="3">
        <v>-7080.0</v>
      </c>
    </row>
    <row r="458">
      <c r="A458" s="3">
        <v>-7100.0</v>
      </c>
    </row>
    <row r="459">
      <c r="A459" s="3">
        <v>-7120.0</v>
      </c>
    </row>
    <row r="460">
      <c r="A460" s="3">
        <v>-7140.0</v>
      </c>
    </row>
    <row r="461">
      <c r="A461" s="3">
        <v>-7160.0</v>
      </c>
    </row>
    <row r="462">
      <c r="A462" s="3">
        <v>-7180.0</v>
      </c>
    </row>
    <row r="463">
      <c r="A463" s="3">
        <v>-7200.0</v>
      </c>
    </row>
    <row r="464">
      <c r="A464" s="3">
        <v>-7220.0</v>
      </c>
    </row>
    <row r="465">
      <c r="A465" s="3">
        <v>-7240.0</v>
      </c>
    </row>
    <row r="466">
      <c r="A466" s="3">
        <v>-7260.0</v>
      </c>
    </row>
    <row r="467">
      <c r="A467" s="3">
        <v>-7280.0</v>
      </c>
    </row>
    <row r="468">
      <c r="A468" s="3">
        <v>-7300.0</v>
      </c>
    </row>
    <row r="469">
      <c r="A469" s="3">
        <v>-7320.0</v>
      </c>
    </row>
    <row r="470">
      <c r="A470" s="3">
        <v>-7340.0</v>
      </c>
    </row>
    <row r="471">
      <c r="A471" s="3">
        <v>-7360.0</v>
      </c>
    </row>
    <row r="472">
      <c r="A472" s="3">
        <v>-7380.0</v>
      </c>
    </row>
    <row r="473">
      <c r="A473" s="3">
        <v>-7400.0</v>
      </c>
    </row>
    <row r="474">
      <c r="A474" s="3">
        <v>-7420.0</v>
      </c>
    </row>
    <row r="475">
      <c r="A475" s="3">
        <v>-7440.0</v>
      </c>
    </row>
    <row r="476">
      <c r="A476" s="3">
        <v>-7460.0</v>
      </c>
    </row>
    <row r="477">
      <c r="A477" s="3">
        <v>-7480.0</v>
      </c>
    </row>
    <row r="478">
      <c r="A478" s="3">
        <v>-7500.0</v>
      </c>
    </row>
    <row r="479">
      <c r="A479" s="3">
        <v>-7520.0</v>
      </c>
    </row>
    <row r="480">
      <c r="A480" s="3">
        <v>-7540.0</v>
      </c>
    </row>
    <row r="481">
      <c r="A481" s="3">
        <v>-7560.0</v>
      </c>
    </row>
    <row r="482">
      <c r="A482" s="3">
        <v>-7580.0</v>
      </c>
    </row>
    <row r="483">
      <c r="A483" s="3">
        <v>-7600.0</v>
      </c>
    </row>
    <row r="484">
      <c r="A484" s="3">
        <v>-7620.0</v>
      </c>
    </row>
    <row r="485">
      <c r="A485" s="3">
        <v>-7640.0</v>
      </c>
    </row>
    <row r="486">
      <c r="A486" s="3">
        <v>-7660.0</v>
      </c>
    </row>
    <row r="487">
      <c r="A487" s="3">
        <v>-7680.0</v>
      </c>
    </row>
    <row r="488">
      <c r="A488" s="3">
        <v>-7700.0</v>
      </c>
    </row>
    <row r="489">
      <c r="A489" s="3">
        <v>-7720.0</v>
      </c>
    </row>
    <row r="490">
      <c r="A490" s="3">
        <v>-7740.0</v>
      </c>
    </row>
    <row r="491">
      <c r="A491" s="3">
        <v>-7760.0</v>
      </c>
    </row>
    <row r="492">
      <c r="A492" s="3">
        <v>-7780.0</v>
      </c>
    </row>
    <row r="493">
      <c r="A493" s="3">
        <v>-7800.0</v>
      </c>
    </row>
    <row r="494">
      <c r="A494" s="3">
        <v>-7820.0</v>
      </c>
    </row>
    <row r="495">
      <c r="A495" s="3">
        <v>-7840.0</v>
      </c>
    </row>
    <row r="496">
      <c r="A496" s="3">
        <v>-7860.0</v>
      </c>
    </row>
    <row r="497">
      <c r="A497" s="3">
        <v>-7880.0</v>
      </c>
    </row>
    <row r="498">
      <c r="A498" s="3">
        <v>-7900.0</v>
      </c>
    </row>
    <row r="499">
      <c r="A499" s="3">
        <v>-7920.0</v>
      </c>
    </row>
    <row r="500">
      <c r="A500" s="3">
        <v>-7940.0</v>
      </c>
    </row>
    <row r="501">
      <c r="A501" s="3">
        <v>-7960.0</v>
      </c>
    </row>
    <row r="502">
      <c r="A502" s="3">
        <v>-7980.0</v>
      </c>
    </row>
    <row r="503">
      <c r="A503" s="3">
        <v>-8000.0</v>
      </c>
    </row>
    <row r="504">
      <c r="A504" s="3">
        <v>-8020.0</v>
      </c>
    </row>
    <row r="505">
      <c r="A505" s="3">
        <v>-8040.0</v>
      </c>
    </row>
    <row r="506">
      <c r="A506" s="3">
        <v>-8060.0</v>
      </c>
    </row>
    <row r="507">
      <c r="A507" s="3">
        <v>-8080.0</v>
      </c>
    </row>
    <row r="508">
      <c r="A508" s="3">
        <v>-8100.0</v>
      </c>
    </row>
    <row r="509">
      <c r="A509" s="3">
        <v>-8120.0</v>
      </c>
    </row>
    <row r="510">
      <c r="A510" s="3">
        <v>-8140.0</v>
      </c>
    </row>
    <row r="511">
      <c r="A511" s="3">
        <v>-8160.0</v>
      </c>
    </row>
    <row r="512">
      <c r="A512" s="3">
        <v>-8180.0</v>
      </c>
    </row>
    <row r="513">
      <c r="A513" s="3">
        <v>-8200.0</v>
      </c>
    </row>
    <row r="514">
      <c r="A514" s="3">
        <v>-8220.0</v>
      </c>
    </row>
    <row r="515">
      <c r="A515" s="3">
        <v>-8240.0</v>
      </c>
    </row>
    <row r="516">
      <c r="A516" s="3">
        <v>-8260.0</v>
      </c>
    </row>
    <row r="517">
      <c r="A517" s="3">
        <v>-8280.0</v>
      </c>
    </row>
    <row r="518">
      <c r="A518" s="3">
        <v>-8300.0</v>
      </c>
    </row>
    <row r="519">
      <c r="A519" s="3">
        <v>-8320.0</v>
      </c>
    </row>
    <row r="520">
      <c r="A520" s="3">
        <v>-8340.0</v>
      </c>
    </row>
    <row r="521">
      <c r="A521" s="3">
        <v>-8360.0</v>
      </c>
    </row>
    <row r="522">
      <c r="A522" s="3">
        <v>-8380.0</v>
      </c>
    </row>
    <row r="523">
      <c r="A523" s="3">
        <v>-8400.0</v>
      </c>
    </row>
    <row r="524">
      <c r="A524" s="3">
        <v>-8420.0</v>
      </c>
    </row>
    <row r="525">
      <c r="A525" s="3">
        <v>-8440.0</v>
      </c>
    </row>
    <row r="526">
      <c r="A526" s="3">
        <v>-8460.0</v>
      </c>
    </row>
    <row r="527">
      <c r="A527" s="3">
        <v>-8480.0</v>
      </c>
    </row>
    <row r="528">
      <c r="A528" s="3">
        <v>-8500.0</v>
      </c>
    </row>
    <row r="529">
      <c r="A529" s="3">
        <v>-8520.0</v>
      </c>
    </row>
    <row r="530">
      <c r="A530" s="3">
        <v>-8540.0</v>
      </c>
    </row>
    <row r="531">
      <c r="A531" s="3">
        <v>-8560.0</v>
      </c>
    </row>
    <row r="532">
      <c r="A532" s="3">
        <v>-8580.0</v>
      </c>
    </row>
    <row r="533">
      <c r="A533" s="3">
        <v>-8600.0</v>
      </c>
    </row>
    <row r="534">
      <c r="A534" s="3">
        <v>-8620.0</v>
      </c>
    </row>
    <row r="535">
      <c r="A535" s="3">
        <v>-8640.0</v>
      </c>
    </row>
    <row r="536">
      <c r="A536" s="3">
        <v>-8660.0</v>
      </c>
    </row>
    <row r="537">
      <c r="A537" s="3">
        <v>-8680.0</v>
      </c>
    </row>
    <row r="538">
      <c r="A538" s="3">
        <v>-8700.0</v>
      </c>
    </row>
    <row r="539">
      <c r="A539" s="3">
        <v>-8720.0</v>
      </c>
    </row>
    <row r="540">
      <c r="A540" s="3">
        <v>-8740.0</v>
      </c>
    </row>
    <row r="541">
      <c r="A541" s="3">
        <v>-8760.0</v>
      </c>
    </row>
    <row r="542">
      <c r="A542" s="3">
        <v>-8780.0</v>
      </c>
    </row>
    <row r="543">
      <c r="A543" s="3">
        <v>-8800.0</v>
      </c>
    </row>
    <row r="544">
      <c r="A544" s="3">
        <v>-8820.0</v>
      </c>
    </row>
    <row r="545">
      <c r="A545" s="3">
        <v>-8840.0</v>
      </c>
    </row>
    <row r="546">
      <c r="A546" s="3">
        <v>-8860.0</v>
      </c>
    </row>
    <row r="547">
      <c r="A547" s="3">
        <v>-8880.0</v>
      </c>
    </row>
    <row r="548">
      <c r="A548" s="3">
        <v>-8900.0</v>
      </c>
    </row>
    <row r="549">
      <c r="A549" s="3">
        <v>-8920.0</v>
      </c>
    </row>
    <row r="550">
      <c r="A550" s="3">
        <v>-8940.0</v>
      </c>
    </row>
    <row r="551">
      <c r="A551" s="3">
        <v>-8960.0</v>
      </c>
    </row>
    <row r="552">
      <c r="A552" s="3">
        <v>-8980.0</v>
      </c>
    </row>
    <row r="553">
      <c r="A553" s="3">
        <v>-9000.0</v>
      </c>
    </row>
    <row r="554">
      <c r="A554" s="3">
        <v>-9020.0</v>
      </c>
    </row>
    <row r="555">
      <c r="A555" s="3">
        <v>-9040.0</v>
      </c>
    </row>
    <row r="556">
      <c r="A556" s="3">
        <v>-9060.0</v>
      </c>
    </row>
    <row r="557">
      <c r="A557" s="3">
        <v>-9080.0</v>
      </c>
    </row>
    <row r="558">
      <c r="A558" s="3">
        <v>-9100.0</v>
      </c>
    </row>
    <row r="559">
      <c r="A559" s="3">
        <v>-9120.0</v>
      </c>
    </row>
    <row r="560">
      <c r="A560" s="3">
        <v>-9140.0</v>
      </c>
    </row>
    <row r="561">
      <c r="A561" s="3">
        <v>-9160.0</v>
      </c>
    </row>
    <row r="562">
      <c r="A562" s="3">
        <v>-9180.0</v>
      </c>
    </row>
    <row r="563">
      <c r="A563" s="3">
        <v>-9200.0</v>
      </c>
    </row>
    <row r="564">
      <c r="A564" s="3">
        <v>-9220.0</v>
      </c>
    </row>
    <row r="565">
      <c r="A565" s="3">
        <v>-9240.0</v>
      </c>
    </row>
    <row r="566">
      <c r="A566" s="3">
        <v>-9260.0</v>
      </c>
    </row>
    <row r="567">
      <c r="A567" s="3">
        <v>-9280.0</v>
      </c>
    </row>
    <row r="568">
      <c r="A568" s="3">
        <v>-9300.0</v>
      </c>
    </row>
    <row r="569">
      <c r="A569" s="3">
        <v>-9320.0</v>
      </c>
    </row>
    <row r="570">
      <c r="A570" s="3">
        <v>-9340.0</v>
      </c>
    </row>
    <row r="571">
      <c r="A571" s="3">
        <v>-9360.0</v>
      </c>
    </row>
    <row r="572">
      <c r="A572" s="3">
        <v>-9380.0</v>
      </c>
    </row>
    <row r="573">
      <c r="A573" s="3">
        <v>-9400.0</v>
      </c>
    </row>
    <row r="574">
      <c r="A574" s="3">
        <v>-9420.0</v>
      </c>
    </row>
    <row r="575">
      <c r="A575" s="3">
        <v>-9440.0</v>
      </c>
    </row>
    <row r="576">
      <c r="A576" s="3">
        <v>-9460.0</v>
      </c>
    </row>
    <row r="577">
      <c r="A577" s="3">
        <v>-9480.0</v>
      </c>
    </row>
    <row r="578">
      <c r="A578" s="3">
        <v>-9500.0</v>
      </c>
    </row>
    <row r="579">
      <c r="A579" s="3">
        <v>-9520.0</v>
      </c>
    </row>
    <row r="580">
      <c r="A580" s="3">
        <v>-9540.0</v>
      </c>
    </row>
    <row r="581">
      <c r="A581" s="3">
        <v>-9560.0</v>
      </c>
    </row>
    <row r="582">
      <c r="A582" s="3">
        <v>-9580.0</v>
      </c>
    </row>
    <row r="583">
      <c r="A583" s="3">
        <v>-9600.0</v>
      </c>
    </row>
    <row r="584">
      <c r="A584" s="3">
        <v>-9620.0</v>
      </c>
    </row>
    <row r="585">
      <c r="A585" s="3">
        <v>-9640.0</v>
      </c>
    </row>
    <row r="586">
      <c r="A586" s="3">
        <v>-9660.0</v>
      </c>
    </row>
    <row r="587">
      <c r="A587" s="3">
        <v>-9680.0</v>
      </c>
    </row>
    <row r="588">
      <c r="A588" s="3">
        <v>-9700.0</v>
      </c>
    </row>
    <row r="589">
      <c r="A589" s="3">
        <v>-9720.0</v>
      </c>
    </row>
    <row r="590">
      <c r="A590" s="3">
        <v>-9740.0</v>
      </c>
    </row>
    <row r="591">
      <c r="A591" s="3">
        <v>-9760.0</v>
      </c>
    </row>
    <row r="592">
      <c r="A592" s="3">
        <v>-9780.0</v>
      </c>
    </row>
    <row r="593">
      <c r="A593" s="3">
        <v>-9800.0</v>
      </c>
    </row>
    <row r="594">
      <c r="A594" s="3">
        <v>-9820.0</v>
      </c>
    </row>
    <row r="595">
      <c r="A595" s="3">
        <v>-9840.0</v>
      </c>
    </row>
    <row r="596">
      <c r="A596" s="3">
        <v>-9860.0</v>
      </c>
    </row>
    <row r="597">
      <c r="A597" s="3">
        <v>-9880.0</v>
      </c>
    </row>
    <row r="598">
      <c r="A598" s="3">
        <v>-9900.0</v>
      </c>
    </row>
    <row r="599">
      <c r="A599" s="3">
        <v>-9920.0</v>
      </c>
    </row>
    <row r="600">
      <c r="A600" s="3">
        <v>-9940.0</v>
      </c>
    </row>
    <row r="601">
      <c r="A601" s="3">
        <v>-9960.0</v>
      </c>
    </row>
    <row r="602">
      <c r="A602" s="3">
        <v>-9980.0</v>
      </c>
    </row>
    <row r="603">
      <c r="A603" s="3">
        <v>-10000.0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4" max="14" width="19.57"/>
    <col customWidth="1" min="15" max="15" width="21.29"/>
    <col customWidth="1" min="22" max="22" width="24.0"/>
    <col customWidth="1" min="39" max="39" width="69.0"/>
  </cols>
  <sheetData>
    <row r="1">
      <c r="A1" s="19" t="s">
        <v>0</v>
      </c>
      <c r="B1" s="20" t="s">
        <v>2247</v>
      </c>
      <c r="C1" s="20" t="s">
        <v>2248</v>
      </c>
      <c r="D1" s="20" t="s">
        <v>1</v>
      </c>
      <c r="E1" s="20" t="s">
        <v>2</v>
      </c>
      <c r="F1" s="20" t="s">
        <v>3</v>
      </c>
      <c r="G1" s="20" t="s">
        <v>4</v>
      </c>
      <c r="H1" s="20" t="s">
        <v>5</v>
      </c>
      <c r="I1" s="20" t="s">
        <v>6</v>
      </c>
      <c r="J1" s="20" t="s">
        <v>7</v>
      </c>
      <c r="K1" s="20" t="s">
        <v>8</v>
      </c>
      <c r="L1" s="20" t="s">
        <v>9</v>
      </c>
      <c r="M1" s="21" t="s">
        <v>10</v>
      </c>
      <c r="N1" s="22" t="s">
        <v>11</v>
      </c>
      <c r="O1" s="23" t="s">
        <v>12</v>
      </c>
      <c r="P1" s="24" t="s">
        <v>13</v>
      </c>
      <c r="Q1" s="24" t="s">
        <v>14</v>
      </c>
      <c r="R1" s="24" t="s">
        <v>15</v>
      </c>
      <c r="S1" s="24" t="s">
        <v>16</v>
      </c>
      <c r="T1" s="24" t="s">
        <v>17</v>
      </c>
      <c r="U1" s="24" t="s">
        <v>18</v>
      </c>
      <c r="V1" s="25" t="s">
        <v>19</v>
      </c>
      <c r="W1" s="26" t="s">
        <v>20</v>
      </c>
      <c r="X1" s="26" t="s">
        <v>22</v>
      </c>
      <c r="Y1" s="26" t="s">
        <v>23</v>
      </c>
      <c r="Z1" s="26" t="s">
        <v>25</v>
      </c>
      <c r="AA1" s="26" t="s">
        <v>26</v>
      </c>
      <c r="AB1" s="26" t="s">
        <v>27</v>
      </c>
      <c r="AC1" s="26" t="s">
        <v>28</v>
      </c>
      <c r="AD1" s="26" t="s">
        <v>29</v>
      </c>
      <c r="AE1" s="26" t="s">
        <v>30</v>
      </c>
      <c r="AF1" s="26" t="s">
        <v>31</v>
      </c>
      <c r="AG1" s="26" t="s">
        <v>32</v>
      </c>
      <c r="AH1" s="26" t="s">
        <v>33</v>
      </c>
      <c r="AI1" s="26" t="s">
        <v>34</v>
      </c>
      <c r="AJ1" s="26" t="s">
        <v>35</v>
      </c>
      <c r="AK1" s="26" t="s">
        <v>36</v>
      </c>
      <c r="AL1" s="26" t="s">
        <v>37</v>
      </c>
      <c r="AM1" s="26" t="s">
        <v>38</v>
      </c>
      <c r="AN1" s="26" t="s">
        <v>39</v>
      </c>
      <c r="AO1" s="26" t="s">
        <v>40</v>
      </c>
      <c r="AP1" s="26" t="s">
        <v>41</v>
      </c>
      <c r="AQ1" s="26" t="s">
        <v>2249</v>
      </c>
      <c r="AR1" s="26" t="s">
        <v>2250</v>
      </c>
      <c r="AS1" s="4" t="s">
        <v>2251</v>
      </c>
      <c r="AT1" s="4" t="s">
        <v>24</v>
      </c>
      <c r="AU1" s="27" t="s">
        <v>2252</v>
      </c>
      <c r="AV1" s="28" t="s">
        <v>2253</v>
      </c>
      <c r="AW1" s="29" t="s">
        <v>2254</v>
      </c>
      <c r="AX1" s="29" t="s">
        <v>2255</v>
      </c>
      <c r="AY1" s="30" t="s">
        <v>2256</v>
      </c>
      <c r="AZ1" s="31" t="s">
        <v>42</v>
      </c>
      <c r="BA1" s="32" t="s">
        <v>2257</v>
      </c>
      <c r="BB1" s="32" t="s">
        <v>43</v>
      </c>
      <c r="BC1" s="32" t="s">
        <v>44</v>
      </c>
      <c r="BD1" s="32" t="s">
        <v>45</v>
      </c>
      <c r="BE1" s="32" t="s">
        <v>46</v>
      </c>
      <c r="BF1" s="32" t="s">
        <v>47</v>
      </c>
      <c r="BG1" s="32" t="s">
        <v>48</v>
      </c>
      <c r="BH1" s="32" t="s">
        <v>49</v>
      </c>
      <c r="BI1" s="32" t="s">
        <v>50</v>
      </c>
      <c r="BJ1" s="32" t="s">
        <v>51</v>
      </c>
    </row>
    <row r="2">
      <c r="A2" s="33" t="s">
        <v>1815</v>
      </c>
      <c r="B2" s="33" t="s">
        <v>2258</v>
      </c>
      <c r="C2" s="34">
        <v>6.0</v>
      </c>
      <c r="D2" s="33" t="s">
        <v>53</v>
      </c>
      <c r="E2" s="34">
        <v>1979.0</v>
      </c>
      <c r="F2" s="33" t="s">
        <v>1816</v>
      </c>
      <c r="G2" s="33" t="s">
        <v>1817</v>
      </c>
      <c r="H2" s="33" t="s">
        <v>1818</v>
      </c>
      <c r="I2" s="33"/>
      <c r="J2" s="33"/>
      <c r="K2" s="34">
        <v>206.0</v>
      </c>
      <c r="L2" s="34">
        <v>4416.0</v>
      </c>
      <c r="M2" s="6" t="s">
        <v>1819</v>
      </c>
      <c r="N2" s="35" t="s">
        <v>60</v>
      </c>
      <c r="O2" s="33" t="s">
        <v>1820</v>
      </c>
      <c r="P2" s="36" t="s">
        <v>62</v>
      </c>
      <c r="Q2" s="36" t="s">
        <v>92</v>
      </c>
      <c r="R2" s="36" t="s">
        <v>1821</v>
      </c>
      <c r="S2" s="37">
        <v>17.062554</v>
      </c>
      <c r="T2" s="37">
        <v>-89.405279</v>
      </c>
      <c r="U2" s="36" t="s">
        <v>148</v>
      </c>
      <c r="V2" s="6" t="s">
        <v>275</v>
      </c>
      <c r="W2" s="33" t="s">
        <v>173</v>
      </c>
      <c r="X2" s="1" t="s">
        <v>278</v>
      </c>
      <c r="Y2" s="33" t="s">
        <v>279</v>
      </c>
      <c r="Z2" s="37">
        <v>1.0</v>
      </c>
      <c r="AA2" s="37"/>
      <c r="AB2" s="36"/>
      <c r="AC2" s="36"/>
      <c r="AD2" s="36"/>
      <c r="AE2" s="36"/>
      <c r="AF2" s="36"/>
      <c r="AG2" s="36"/>
      <c r="AH2" s="38" t="s">
        <v>72</v>
      </c>
      <c r="AI2" s="37">
        <v>-50.0</v>
      </c>
      <c r="AJ2" s="37">
        <v>1950.0</v>
      </c>
      <c r="AK2" s="6" t="s">
        <v>100</v>
      </c>
      <c r="AL2" s="6" t="s">
        <v>72</v>
      </c>
      <c r="AM2" s="6" t="s">
        <v>72</v>
      </c>
      <c r="AN2" s="6" t="s">
        <v>101</v>
      </c>
      <c r="AO2" s="33"/>
      <c r="AP2" s="39" t="s">
        <v>75</v>
      </c>
      <c r="AQ2" s="6" t="s">
        <v>101</v>
      </c>
      <c r="AR2" s="6" t="s">
        <v>101</v>
      </c>
      <c r="AS2" s="6" t="s">
        <v>101</v>
      </c>
      <c r="AT2" s="6" t="s">
        <v>76</v>
      </c>
      <c r="AU2" s="33"/>
      <c r="AV2" s="33"/>
      <c r="AW2" s="33"/>
      <c r="AX2" s="33"/>
      <c r="AY2" s="40" t="s">
        <v>76</v>
      </c>
      <c r="AZ2" s="6" t="s">
        <v>76</v>
      </c>
      <c r="BA2" s="33"/>
      <c r="BB2" s="33">
        <f>VLOOKUP(O2,Eco_DEM_Data!$D$1:$AC$643,20,False)</f>
        <v>1794</v>
      </c>
      <c r="BC2" s="33">
        <f>VLOOKUP($O2,Eco_DEM_Data!$D$1:$AC$643,24,False)</f>
        <v>259</v>
      </c>
      <c r="BD2" s="33">
        <f>VLOOKUP($O2,Eco_DEM_Data!$D$1:$AC$643,25,False)</f>
        <v>723</v>
      </c>
      <c r="BE2" s="33">
        <f>VLOOKUP($O2,Eco_DEM_Data!$D$1:$AC$643,22,False)</f>
        <v>40</v>
      </c>
      <c r="BF2" s="33">
        <f>VLOOKUP($O2,Eco_DEM_Data!$D$1:$AC$643,23,False)</f>
        <v>146</v>
      </c>
      <c r="BG2" s="33">
        <f>VLOOKUP($O2,Eco_DEM_Data!$D$1:$AC$643,21,False)</f>
        <v>5515</v>
      </c>
      <c r="BH2" s="33">
        <f>VLOOKUP($O2,Eco_DEM_Data!$D$1:$AC$643,26,False)</f>
        <v>265</v>
      </c>
      <c r="BI2" s="33" t="str">
        <f>VLOOKUP($O2,Eco_DEM_Data!$D$1:$AC$643,9,False)</f>
        <v>Petén-Veracruz moist forests</v>
      </c>
      <c r="BJ2" s="33" t="str">
        <f>VLOOKUP($O2,Eco_DEM_Data!$D$1:$AC$643,11,False)</f>
        <v>Tropical &amp; Subtropical Moist Broadleaf Forests</v>
      </c>
    </row>
    <row r="3">
      <c r="A3" s="33" t="s">
        <v>1815</v>
      </c>
      <c r="B3" s="33" t="s">
        <v>2258</v>
      </c>
      <c r="C3" s="34">
        <v>6.0</v>
      </c>
      <c r="D3" s="33" t="s">
        <v>53</v>
      </c>
      <c r="E3" s="34">
        <v>1979.0</v>
      </c>
      <c r="F3" s="33" t="s">
        <v>1816</v>
      </c>
      <c r="G3" s="33" t="s">
        <v>1817</v>
      </c>
      <c r="H3" s="33" t="s">
        <v>1818</v>
      </c>
      <c r="I3" s="33"/>
      <c r="J3" s="33"/>
      <c r="K3" s="34">
        <v>206.0</v>
      </c>
      <c r="L3" s="34">
        <v>4416.0</v>
      </c>
      <c r="M3" s="6" t="s">
        <v>1819</v>
      </c>
      <c r="N3" s="35" t="s">
        <v>60</v>
      </c>
      <c r="O3" s="33" t="s">
        <v>1822</v>
      </c>
      <c r="P3" s="36" t="s">
        <v>62</v>
      </c>
      <c r="Q3" s="36" t="s">
        <v>92</v>
      </c>
      <c r="R3" s="36" t="s">
        <v>1823</v>
      </c>
      <c r="S3" s="37">
        <v>17.061405</v>
      </c>
      <c r="T3" s="37">
        <v>-89.363565</v>
      </c>
      <c r="U3" s="36" t="s">
        <v>148</v>
      </c>
      <c r="V3" s="6" t="s">
        <v>275</v>
      </c>
      <c r="W3" s="33" t="s">
        <v>173</v>
      </c>
      <c r="X3" s="1" t="s">
        <v>278</v>
      </c>
      <c r="Y3" s="33" t="s">
        <v>279</v>
      </c>
      <c r="Z3" s="37">
        <v>1.0</v>
      </c>
      <c r="AA3" s="37"/>
      <c r="AB3" s="36"/>
      <c r="AC3" s="36"/>
      <c r="AD3" s="36"/>
      <c r="AE3" s="36"/>
      <c r="AF3" s="36"/>
      <c r="AG3" s="36"/>
      <c r="AH3" s="38" t="s">
        <v>72</v>
      </c>
      <c r="AI3" s="37">
        <v>-2800.0</v>
      </c>
      <c r="AJ3" s="37">
        <v>1950.0</v>
      </c>
      <c r="AK3" s="6" t="s">
        <v>100</v>
      </c>
      <c r="AL3" s="6" t="s">
        <v>72</v>
      </c>
      <c r="AM3" s="6" t="s">
        <v>72</v>
      </c>
      <c r="AN3" s="6" t="s">
        <v>101</v>
      </c>
      <c r="AO3" s="33"/>
      <c r="AP3" s="39" t="s">
        <v>75</v>
      </c>
      <c r="AQ3" s="6" t="s">
        <v>101</v>
      </c>
      <c r="AR3" s="6" t="s">
        <v>101</v>
      </c>
      <c r="AS3" s="6" t="s">
        <v>101</v>
      </c>
      <c r="AT3" s="6" t="s">
        <v>76</v>
      </c>
      <c r="AU3" s="33"/>
      <c r="AV3" s="33"/>
      <c r="AW3" s="33"/>
      <c r="AX3" s="33"/>
      <c r="AY3" s="40" t="s">
        <v>76</v>
      </c>
      <c r="AZ3" s="6" t="s">
        <v>76</v>
      </c>
      <c r="BA3" s="33"/>
      <c r="BB3" s="33">
        <f>VLOOKUP(O3,Eco_DEM_Data!$D$1:$AC$643,20,False)</f>
        <v>1804</v>
      </c>
      <c r="BC3" s="33">
        <f>VLOOKUP($O3,Eco_DEM_Data!$D$1:$AC$643,20,False)</f>
        <v>1804</v>
      </c>
      <c r="BD3" s="33">
        <f>VLOOKUP($O3,Eco_DEM_Data!$D$1:$AC$643,25,False)</f>
        <v>728</v>
      </c>
      <c r="BE3" s="33">
        <f>VLOOKUP($O3,Eco_DEM_Data!$D$1:$AC$643,22,False)</f>
        <v>40</v>
      </c>
      <c r="BF3" s="33">
        <f>VLOOKUP($O3,Eco_DEM_Data!$D$1:$AC$643,23,False)</f>
        <v>147</v>
      </c>
      <c r="BG3" s="33">
        <f>VLOOKUP($O3,Eco_DEM_Data!$D$1:$AC$643,21,False)</f>
        <v>5487</v>
      </c>
      <c r="BH3" s="33">
        <f>VLOOKUP($O3,Eco_DEM_Data!$D$1:$AC$643,26,False)</f>
        <v>275</v>
      </c>
      <c r="BI3" s="33" t="str">
        <f>VLOOKUP($O3,Eco_DEM_Data!$D$1:$AC$643,9,False)</f>
        <v>Petén-Veracruz moist forests</v>
      </c>
      <c r="BJ3" s="33" t="str">
        <f>VLOOKUP($O3,Eco_DEM_Data!$D$1:$AC$643,11,False)</f>
        <v>Tropical &amp; Subtropical Moist Broadleaf Forests</v>
      </c>
    </row>
    <row r="4">
      <c r="A4" s="33" t="s">
        <v>1815</v>
      </c>
      <c r="B4" s="33" t="s">
        <v>2258</v>
      </c>
      <c r="C4" s="34">
        <v>6.0</v>
      </c>
      <c r="D4" s="33" t="s">
        <v>53</v>
      </c>
      <c r="E4" s="34">
        <v>1979.0</v>
      </c>
      <c r="F4" s="33" t="s">
        <v>1816</v>
      </c>
      <c r="G4" s="33" t="s">
        <v>1817</v>
      </c>
      <c r="H4" s="33" t="s">
        <v>1818</v>
      </c>
      <c r="I4" s="33"/>
      <c r="J4" s="33"/>
      <c r="K4" s="34">
        <v>206.0</v>
      </c>
      <c r="L4" s="34">
        <v>4416.0</v>
      </c>
      <c r="M4" s="6" t="s">
        <v>1819</v>
      </c>
      <c r="N4" s="35" t="s">
        <v>60</v>
      </c>
      <c r="O4" s="33" t="s">
        <v>1824</v>
      </c>
      <c r="P4" s="36" t="s">
        <v>62</v>
      </c>
      <c r="Q4" s="36" t="s">
        <v>92</v>
      </c>
      <c r="R4" s="36" t="s">
        <v>1821</v>
      </c>
      <c r="S4" s="37">
        <v>17.061405</v>
      </c>
      <c r="T4" s="37">
        <v>-89.363565</v>
      </c>
      <c r="U4" s="36" t="s">
        <v>148</v>
      </c>
      <c r="V4" s="38" t="s">
        <v>169</v>
      </c>
      <c r="W4" s="33" t="s">
        <v>1825</v>
      </c>
      <c r="X4" s="3" t="s">
        <v>72</v>
      </c>
      <c r="Y4" s="6" t="s">
        <v>1826</v>
      </c>
      <c r="Z4" s="37">
        <v>1.0</v>
      </c>
      <c r="AA4" s="37"/>
      <c r="AB4" s="36"/>
      <c r="AC4" s="36"/>
      <c r="AD4" s="36"/>
      <c r="AE4" s="36"/>
      <c r="AF4" s="36"/>
      <c r="AG4" s="36"/>
      <c r="AH4" s="38" t="s">
        <v>72</v>
      </c>
      <c r="AI4" s="37">
        <v>-50.0</v>
      </c>
      <c r="AJ4" s="37">
        <v>1950.0</v>
      </c>
      <c r="AK4" s="6" t="s">
        <v>100</v>
      </c>
      <c r="AL4" s="6" t="s">
        <v>72</v>
      </c>
      <c r="AM4" s="6" t="s">
        <v>72</v>
      </c>
      <c r="AN4" s="6" t="s">
        <v>101</v>
      </c>
      <c r="AO4" s="33"/>
      <c r="AP4" s="39" t="s">
        <v>75</v>
      </c>
      <c r="AQ4" s="6" t="s">
        <v>101</v>
      </c>
      <c r="AR4" s="6" t="s">
        <v>101</v>
      </c>
      <c r="AS4" s="6" t="s">
        <v>101</v>
      </c>
      <c r="AT4" s="6" t="s">
        <v>76</v>
      </c>
      <c r="AU4" s="33" t="s">
        <v>470</v>
      </c>
      <c r="AV4" s="6" t="s">
        <v>72</v>
      </c>
      <c r="AW4" s="33"/>
      <c r="AX4" s="33"/>
      <c r="AY4" s="40" t="s">
        <v>76</v>
      </c>
      <c r="AZ4" s="6" t="s">
        <v>76</v>
      </c>
      <c r="BA4" s="33"/>
      <c r="BB4" s="33">
        <f>VLOOKUP(O4,Eco_DEM_Data!$D$1:$AC$643,20,False)</f>
        <v>1804</v>
      </c>
      <c r="BC4" s="33">
        <f>VLOOKUP($O4,Eco_DEM_Data!$D$1:$AC$643,20,False)</f>
        <v>1804</v>
      </c>
      <c r="BD4" s="33">
        <f>VLOOKUP($O4,Eco_DEM_Data!$D$1:$AC$643,25,False)</f>
        <v>728</v>
      </c>
      <c r="BE4" s="33">
        <f>VLOOKUP($O4,Eco_DEM_Data!$D$1:$AC$643,22,False)</f>
        <v>40</v>
      </c>
      <c r="BF4" s="33">
        <f>VLOOKUP($O4,Eco_DEM_Data!$D$1:$AC$643,23,False)</f>
        <v>147</v>
      </c>
      <c r="BG4" s="33">
        <f>VLOOKUP($O4,Eco_DEM_Data!$D$1:$AC$643,21,False)</f>
        <v>5487</v>
      </c>
      <c r="BH4" s="33">
        <f>VLOOKUP($O4,Eco_DEM_Data!$D$1:$AC$643,26,False)</f>
        <v>275</v>
      </c>
      <c r="BI4" s="33" t="str">
        <f>VLOOKUP($O4,Eco_DEM_Data!$D$1:$AC$643,9,False)</f>
        <v>Petén-Veracruz moist forests</v>
      </c>
      <c r="BJ4" s="33" t="str">
        <f>VLOOKUP($O4,Eco_DEM_Data!$D$1:$AC$643,11,False)</f>
        <v>Tropical &amp; Subtropical Moist Broadleaf Forests</v>
      </c>
    </row>
    <row r="5">
      <c r="A5" s="33" t="s">
        <v>1815</v>
      </c>
      <c r="B5" s="33" t="s">
        <v>2258</v>
      </c>
      <c r="C5" s="34">
        <v>6.0</v>
      </c>
      <c r="D5" s="33" t="s">
        <v>53</v>
      </c>
      <c r="E5" s="34">
        <v>1979.0</v>
      </c>
      <c r="F5" s="33" t="s">
        <v>1816</v>
      </c>
      <c r="G5" s="33" t="s">
        <v>1817</v>
      </c>
      <c r="H5" s="33" t="s">
        <v>1818</v>
      </c>
      <c r="I5" s="33"/>
      <c r="J5" s="33"/>
      <c r="K5" s="34">
        <v>206.0</v>
      </c>
      <c r="L5" s="34">
        <v>4416.0</v>
      </c>
      <c r="M5" s="6" t="s">
        <v>1819</v>
      </c>
      <c r="N5" s="35" t="s">
        <v>60</v>
      </c>
      <c r="O5" s="33" t="s">
        <v>1827</v>
      </c>
      <c r="P5" s="36" t="s">
        <v>62</v>
      </c>
      <c r="Q5" s="36" t="s">
        <v>92</v>
      </c>
      <c r="R5" s="36" t="s">
        <v>1823</v>
      </c>
      <c r="S5" s="37">
        <v>17.061405</v>
      </c>
      <c r="T5" s="37">
        <v>-89.363565</v>
      </c>
      <c r="U5" s="36" t="s">
        <v>148</v>
      </c>
      <c r="V5" s="6" t="s">
        <v>169</v>
      </c>
      <c r="W5" s="33" t="s">
        <v>1825</v>
      </c>
      <c r="X5" s="3" t="s">
        <v>72</v>
      </c>
      <c r="Y5" s="6" t="s">
        <v>1826</v>
      </c>
      <c r="Z5" s="37">
        <v>1.0</v>
      </c>
      <c r="AA5" s="37"/>
      <c r="AB5" s="36"/>
      <c r="AC5" s="36"/>
      <c r="AD5" s="36"/>
      <c r="AE5" s="36"/>
      <c r="AF5" s="36"/>
      <c r="AG5" s="36"/>
      <c r="AH5" s="38" t="s">
        <v>72</v>
      </c>
      <c r="AI5" s="37">
        <v>-2800.0</v>
      </c>
      <c r="AJ5" s="37">
        <v>1950.0</v>
      </c>
      <c r="AK5" s="6" t="s">
        <v>100</v>
      </c>
      <c r="AL5" s="6" t="s">
        <v>72</v>
      </c>
      <c r="AM5" s="6" t="s">
        <v>72</v>
      </c>
      <c r="AN5" s="6" t="s">
        <v>101</v>
      </c>
      <c r="AO5" s="33"/>
      <c r="AP5" s="39" t="s">
        <v>75</v>
      </c>
      <c r="AQ5" s="6" t="s">
        <v>101</v>
      </c>
      <c r="AR5" s="6" t="s">
        <v>101</v>
      </c>
      <c r="AS5" s="6" t="s">
        <v>101</v>
      </c>
      <c r="AT5" s="6" t="s">
        <v>76</v>
      </c>
      <c r="AU5" s="33" t="s">
        <v>470</v>
      </c>
      <c r="AV5" s="6" t="s">
        <v>72</v>
      </c>
      <c r="AW5" s="33"/>
      <c r="AX5" s="33"/>
      <c r="AY5" s="40" t="s">
        <v>76</v>
      </c>
      <c r="AZ5" s="6" t="s">
        <v>76</v>
      </c>
      <c r="BA5" s="33"/>
      <c r="BB5" s="33">
        <f>VLOOKUP(O5,Eco_DEM_Data!$D$1:$AC$643,20,False)</f>
        <v>1804</v>
      </c>
      <c r="BC5" s="33">
        <f>VLOOKUP($O5,Eco_DEM_Data!$D$1:$AC$643,20,False)</f>
        <v>1804</v>
      </c>
      <c r="BD5" s="33">
        <f>VLOOKUP($O5,Eco_DEM_Data!$D$1:$AC$643,25,False)</f>
        <v>728</v>
      </c>
      <c r="BE5" s="33">
        <f>VLOOKUP($O5,Eco_DEM_Data!$D$1:$AC$643,22,False)</f>
        <v>40</v>
      </c>
      <c r="BF5" s="33">
        <f>VLOOKUP($O5,Eco_DEM_Data!$D$1:$AC$643,23,False)</f>
        <v>147</v>
      </c>
      <c r="BG5" s="33">
        <f>VLOOKUP($O5,Eco_DEM_Data!$D$1:$AC$643,21,False)</f>
        <v>5487</v>
      </c>
      <c r="BH5" s="33">
        <f>VLOOKUP($O5,Eco_DEM_Data!$D$1:$AC$643,26,False)</f>
        <v>275</v>
      </c>
      <c r="BI5" s="33" t="str">
        <f>VLOOKUP($O5,Eco_DEM_Data!$D$1:$AC$643,9,False)</f>
        <v>Petén-Veracruz moist forests</v>
      </c>
      <c r="BJ5" s="33" t="str">
        <f>VLOOKUP($O5,Eco_DEM_Data!$D$1:$AC$643,11,False)</f>
        <v>Tropical &amp; Subtropical Moist Broadleaf Forests</v>
      </c>
    </row>
    <row r="6">
      <c r="A6" s="33" t="s">
        <v>1815</v>
      </c>
      <c r="B6" s="33" t="s">
        <v>2258</v>
      </c>
      <c r="C6" s="34">
        <v>6.0</v>
      </c>
      <c r="D6" s="33" t="s">
        <v>53</v>
      </c>
      <c r="E6" s="34">
        <v>1979.0</v>
      </c>
      <c r="F6" s="33" t="s">
        <v>1816</v>
      </c>
      <c r="G6" s="33" t="s">
        <v>1817</v>
      </c>
      <c r="H6" s="33" t="s">
        <v>1818</v>
      </c>
      <c r="I6" s="33"/>
      <c r="J6" s="33"/>
      <c r="K6" s="34">
        <v>206.0</v>
      </c>
      <c r="L6" s="34">
        <v>4416.0</v>
      </c>
      <c r="M6" s="6" t="s">
        <v>1819</v>
      </c>
      <c r="N6" s="35" t="s">
        <v>60</v>
      </c>
      <c r="O6" s="33" t="s">
        <v>1828</v>
      </c>
      <c r="P6" s="36" t="s">
        <v>62</v>
      </c>
      <c r="Q6" s="36" t="s">
        <v>92</v>
      </c>
      <c r="R6" s="36" t="s">
        <v>1821</v>
      </c>
      <c r="S6" s="37">
        <v>17.062554</v>
      </c>
      <c r="T6" s="37">
        <v>-89.405279</v>
      </c>
      <c r="U6" s="36" t="s">
        <v>148</v>
      </c>
      <c r="V6" s="38" t="s">
        <v>66</v>
      </c>
      <c r="W6" s="41" t="s">
        <v>823</v>
      </c>
      <c r="X6" s="10" t="s">
        <v>72</v>
      </c>
      <c r="Y6" s="41" t="s">
        <v>70</v>
      </c>
      <c r="Z6" s="42">
        <v>1.0</v>
      </c>
      <c r="AA6" s="42"/>
      <c r="AB6" s="43"/>
      <c r="AC6" s="43"/>
      <c r="AD6" s="43"/>
      <c r="AE6" s="43"/>
      <c r="AF6" s="43"/>
      <c r="AG6" s="43"/>
      <c r="AH6" s="38" t="s">
        <v>72</v>
      </c>
      <c r="AI6" s="42">
        <v>-50.0</v>
      </c>
      <c r="AJ6" s="42">
        <v>1950.0</v>
      </c>
      <c r="AK6" s="5" t="s">
        <v>100</v>
      </c>
      <c r="AL6" s="5" t="s">
        <v>72</v>
      </c>
      <c r="AM6" s="5" t="s">
        <v>72</v>
      </c>
      <c r="AN6" s="5" t="s">
        <v>101</v>
      </c>
      <c r="AO6" s="41"/>
      <c r="AP6" s="5" t="s">
        <v>75</v>
      </c>
      <c r="AQ6" s="5" t="s">
        <v>101</v>
      </c>
      <c r="AR6" s="5" t="s">
        <v>101</v>
      </c>
      <c r="AS6" s="5" t="s">
        <v>101</v>
      </c>
      <c r="AT6" s="5" t="s">
        <v>76</v>
      </c>
      <c r="AU6" s="33"/>
      <c r="AV6" s="33"/>
      <c r="AW6" s="33"/>
      <c r="AX6" s="33"/>
      <c r="AY6" s="40" t="s">
        <v>76</v>
      </c>
      <c r="AZ6" s="6" t="s">
        <v>76</v>
      </c>
      <c r="BA6" s="33"/>
      <c r="BB6" s="33">
        <f>VLOOKUP(O6,Eco_DEM_Data!$D$1:$AC$643,20,False)</f>
        <v>1794</v>
      </c>
      <c r="BC6" s="33">
        <f>VLOOKUP($O6,Eco_DEM_Data!$D$1:$AC$643,20,False)</f>
        <v>1794</v>
      </c>
      <c r="BD6" s="33">
        <f>VLOOKUP($O6,Eco_DEM_Data!$D$1:$AC$643,25,False)</f>
        <v>723</v>
      </c>
      <c r="BE6" s="33">
        <f>VLOOKUP($O6,Eco_DEM_Data!$D$1:$AC$643,22,False)</f>
        <v>40</v>
      </c>
      <c r="BF6" s="33">
        <f>VLOOKUP($O6,Eco_DEM_Data!$D$1:$AC$643,23,False)</f>
        <v>146</v>
      </c>
      <c r="BG6" s="33">
        <f>VLOOKUP($O6,Eco_DEM_Data!$D$1:$AC$643,21,False)</f>
        <v>5515</v>
      </c>
      <c r="BH6" s="33">
        <f>VLOOKUP($O6,Eco_DEM_Data!$D$1:$AC$643,26,False)</f>
        <v>265</v>
      </c>
      <c r="BI6" s="33" t="str">
        <f>VLOOKUP($O6,Eco_DEM_Data!$D$1:$AC$643,9,False)</f>
        <v>Petén-Veracruz moist forests</v>
      </c>
      <c r="BJ6" s="33" t="str">
        <f>VLOOKUP($O6,Eco_DEM_Data!$D$1:$AC$643,11,False)</f>
        <v>Tropical &amp; Subtropical Moist Broadleaf Forests</v>
      </c>
    </row>
    <row r="7">
      <c r="A7" s="33" t="s">
        <v>1815</v>
      </c>
      <c r="B7" s="33" t="s">
        <v>2258</v>
      </c>
      <c r="C7" s="34">
        <v>6.0</v>
      </c>
      <c r="D7" s="33" t="s">
        <v>53</v>
      </c>
      <c r="E7" s="34">
        <v>1979.0</v>
      </c>
      <c r="F7" s="33" t="s">
        <v>1816</v>
      </c>
      <c r="G7" s="33" t="s">
        <v>1817</v>
      </c>
      <c r="H7" s="33" t="s">
        <v>1818</v>
      </c>
      <c r="I7" s="33"/>
      <c r="J7" s="33"/>
      <c r="K7" s="34">
        <v>206.0</v>
      </c>
      <c r="L7" s="34">
        <v>4416.0</v>
      </c>
      <c r="M7" s="6" t="s">
        <v>1819</v>
      </c>
      <c r="N7" s="35" t="s">
        <v>60</v>
      </c>
      <c r="O7" s="44" t="s">
        <v>1829</v>
      </c>
      <c r="P7" s="36" t="s">
        <v>62</v>
      </c>
      <c r="Q7" s="36" t="s">
        <v>92</v>
      </c>
      <c r="R7" s="36" t="s">
        <v>1823</v>
      </c>
      <c r="S7" s="37">
        <v>17.061405</v>
      </c>
      <c r="T7" s="37">
        <v>-89.363565</v>
      </c>
      <c r="U7" s="36" t="s">
        <v>148</v>
      </c>
      <c r="V7" s="38" t="s">
        <v>66</v>
      </c>
      <c r="W7" s="41" t="s">
        <v>823</v>
      </c>
      <c r="X7" s="10" t="s">
        <v>72</v>
      </c>
      <c r="Y7" s="41" t="s">
        <v>70</v>
      </c>
      <c r="Z7" s="42">
        <v>1.0</v>
      </c>
      <c r="AA7" s="42"/>
      <c r="AB7" s="43"/>
      <c r="AC7" s="43"/>
      <c r="AD7" s="43"/>
      <c r="AE7" s="43"/>
      <c r="AF7" s="43"/>
      <c r="AG7" s="43"/>
      <c r="AH7" s="38" t="s">
        <v>72</v>
      </c>
      <c r="AI7" s="42">
        <v>-2800.0</v>
      </c>
      <c r="AJ7" s="42">
        <v>1950.0</v>
      </c>
      <c r="AK7" s="5" t="s">
        <v>100</v>
      </c>
      <c r="AL7" s="5" t="s">
        <v>72</v>
      </c>
      <c r="AM7" s="5" t="s">
        <v>72</v>
      </c>
      <c r="AN7" s="5" t="s">
        <v>101</v>
      </c>
      <c r="AO7" s="41"/>
      <c r="AP7" s="5" t="s">
        <v>75</v>
      </c>
      <c r="AQ7" s="5" t="s">
        <v>101</v>
      </c>
      <c r="AR7" s="5" t="s">
        <v>101</v>
      </c>
      <c r="AS7" s="5" t="s">
        <v>101</v>
      </c>
      <c r="AT7" s="5" t="s">
        <v>76</v>
      </c>
      <c r="AU7" s="33"/>
      <c r="AV7" s="33"/>
      <c r="AW7" s="33"/>
      <c r="AX7" s="33"/>
      <c r="AY7" s="40" t="s">
        <v>76</v>
      </c>
      <c r="AZ7" s="6" t="s">
        <v>76</v>
      </c>
      <c r="BA7" s="33"/>
      <c r="BB7" s="33">
        <f>VLOOKUP(O7,Eco_DEM_Data!$D$1:$AC$643,20,False)</f>
        <v>1804</v>
      </c>
      <c r="BC7" s="33">
        <f>VLOOKUP($O7,Eco_DEM_Data!$D$1:$AC$643,20,False)</f>
        <v>1804</v>
      </c>
      <c r="BD7" s="33">
        <f>VLOOKUP($O7,Eco_DEM_Data!$D$1:$AC$643,25,False)</f>
        <v>728</v>
      </c>
      <c r="BE7" s="33">
        <f>VLOOKUP($O7,Eco_DEM_Data!$D$1:$AC$643,22,False)</f>
        <v>40</v>
      </c>
      <c r="BF7" s="33">
        <f>VLOOKUP($O7,Eco_DEM_Data!$D$1:$AC$643,23,False)</f>
        <v>147</v>
      </c>
      <c r="BG7" s="33">
        <f>VLOOKUP($O7,Eco_DEM_Data!$D$1:$AC$643,21,False)</f>
        <v>5487</v>
      </c>
      <c r="BH7" s="33">
        <f>VLOOKUP($O7,Eco_DEM_Data!$D$1:$AC$643,26,False)</f>
        <v>275</v>
      </c>
      <c r="BI7" s="33" t="str">
        <f>VLOOKUP($O7,Eco_DEM_Data!$D$1:$AC$643,9,False)</f>
        <v>Petén-Veracruz moist forests</v>
      </c>
      <c r="BJ7" s="33" t="str">
        <f>VLOOKUP($O7,Eco_DEM_Data!$D$1:$AC$643,11,False)</f>
        <v>Tropical &amp; Subtropical Moist Broadleaf Forests</v>
      </c>
    </row>
    <row r="8">
      <c r="A8" s="33" t="s">
        <v>1515</v>
      </c>
      <c r="B8" s="33" t="s">
        <v>2259</v>
      </c>
      <c r="C8" s="34">
        <v>1.0</v>
      </c>
      <c r="D8" s="33" t="s">
        <v>53</v>
      </c>
      <c r="E8" s="34">
        <v>1987.0</v>
      </c>
      <c r="F8" s="33" t="s">
        <v>1516</v>
      </c>
      <c r="G8" s="33" t="s">
        <v>1517</v>
      </c>
      <c r="H8" s="33" t="s">
        <v>303</v>
      </c>
      <c r="I8" s="33" t="s">
        <v>1518</v>
      </c>
      <c r="J8" s="33" t="s">
        <v>1519</v>
      </c>
      <c r="K8" s="34">
        <v>28.0</v>
      </c>
      <c r="L8" s="34">
        <v>3.0</v>
      </c>
      <c r="M8" s="6" t="s">
        <v>1520</v>
      </c>
      <c r="N8" s="35" t="s">
        <v>76</v>
      </c>
      <c r="O8" s="33" t="s">
        <v>1515</v>
      </c>
      <c r="P8" s="36" t="s">
        <v>62</v>
      </c>
      <c r="Q8" s="36" t="s">
        <v>167</v>
      </c>
      <c r="R8" s="36" t="s">
        <v>878</v>
      </c>
      <c r="S8" s="37">
        <v>16.983333</v>
      </c>
      <c r="T8" s="37">
        <v>-89.666667</v>
      </c>
      <c r="U8" s="36" t="s">
        <v>148</v>
      </c>
      <c r="V8" s="38" t="s">
        <v>66</v>
      </c>
      <c r="W8" s="41" t="s">
        <v>823</v>
      </c>
      <c r="X8" s="10" t="s">
        <v>72</v>
      </c>
      <c r="Y8" s="41" t="s">
        <v>70</v>
      </c>
      <c r="Z8" s="42">
        <v>1.0</v>
      </c>
      <c r="AA8" s="42"/>
      <c r="AB8" s="43"/>
      <c r="AC8" s="43"/>
      <c r="AD8" s="43"/>
      <c r="AE8" s="43"/>
      <c r="AF8" s="43"/>
      <c r="AG8" s="43"/>
      <c r="AH8" s="43"/>
      <c r="AI8" s="5" t="s">
        <v>72</v>
      </c>
      <c r="AJ8" s="5" t="s">
        <v>72</v>
      </c>
      <c r="AK8" s="5" t="s">
        <v>100</v>
      </c>
      <c r="AL8" s="5" t="s">
        <v>72</v>
      </c>
      <c r="AM8" s="5" t="s">
        <v>72</v>
      </c>
      <c r="AN8" s="5" t="s">
        <v>101</v>
      </c>
      <c r="AO8" s="41"/>
      <c r="AP8" s="5" t="s">
        <v>75</v>
      </c>
      <c r="AQ8" s="5" t="s">
        <v>101</v>
      </c>
      <c r="AR8" s="5" t="s">
        <v>101</v>
      </c>
      <c r="AS8" s="5" t="s">
        <v>101</v>
      </c>
      <c r="AT8" s="5" t="s">
        <v>76</v>
      </c>
      <c r="AU8" s="33"/>
      <c r="AV8" s="33"/>
      <c r="AW8" s="33"/>
      <c r="AX8" s="33"/>
      <c r="AY8" s="40" t="s">
        <v>76</v>
      </c>
      <c r="AZ8" s="6" t="s">
        <v>76</v>
      </c>
      <c r="BA8" s="33"/>
      <c r="BB8" s="33">
        <f>VLOOKUP(O8,Eco_DEM_Data!$D$1:$AC$643,20,False)</f>
        <v>1756</v>
      </c>
      <c r="BC8" s="33">
        <f>VLOOKUP($O8,Eco_DEM_Data!$D$1:$AC$643,20,False)</f>
        <v>1756</v>
      </c>
      <c r="BD8" s="33">
        <f>VLOOKUP($O8,Eco_DEM_Data!$D$1:$AC$643,25,False)</f>
        <v>708</v>
      </c>
      <c r="BE8" s="33">
        <f>VLOOKUP($O8,Eco_DEM_Data!$D$1:$AC$643,22,False)</f>
        <v>37</v>
      </c>
      <c r="BF8" s="33">
        <f>VLOOKUP($O8,Eco_DEM_Data!$D$1:$AC$643,23,False)</f>
        <v>139</v>
      </c>
      <c r="BG8" s="33">
        <f>VLOOKUP($O8,Eco_DEM_Data!$D$1:$AC$643,21,False)</f>
        <v>5736</v>
      </c>
      <c r="BH8" s="33">
        <f>VLOOKUP($O8,Eco_DEM_Data!$D$1:$AC$643,26,False)</f>
        <v>114</v>
      </c>
      <c r="BI8" s="33" t="str">
        <f>VLOOKUP($O8,Eco_DEM_Data!$D$1:$AC$643,9,False)</f>
        <v>Petén-Veracruz moist forests</v>
      </c>
      <c r="BJ8" s="33" t="str">
        <f>VLOOKUP($O8,Eco_DEM_Data!$D$1:$AC$643,11,False)</f>
        <v>Tropical &amp; Subtropical Moist Broadleaf Forests</v>
      </c>
    </row>
    <row r="9">
      <c r="A9" s="33" t="s">
        <v>1221</v>
      </c>
      <c r="B9" s="33" t="s">
        <v>2259</v>
      </c>
      <c r="C9" s="34">
        <v>2.0</v>
      </c>
      <c r="D9" s="33" t="s">
        <v>53</v>
      </c>
      <c r="E9" s="34">
        <v>1987.0</v>
      </c>
      <c r="F9" s="33" t="s">
        <v>1222</v>
      </c>
      <c r="G9" s="33" t="s">
        <v>1223</v>
      </c>
      <c r="H9" s="33" t="s">
        <v>1224</v>
      </c>
      <c r="I9" s="33"/>
      <c r="J9" s="33" t="s">
        <v>1225</v>
      </c>
      <c r="K9" s="34">
        <v>326.0</v>
      </c>
      <c r="L9" s="34">
        <v>6110.0</v>
      </c>
      <c r="M9" s="6" t="s">
        <v>1226</v>
      </c>
      <c r="N9" s="35" t="s">
        <v>60</v>
      </c>
      <c r="O9" s="33" t="s">
        <v>1227</v>
      </c>
      <c r="P9" s="36" t="s">
        <v>62</v>
      </c>
      <c r="Q9" s="36" t="s">
        <v>63</v>
      </c>
      <c r="R9" s="36" t="s">
        <v>1228</v>
      </c>
      <c r="S9" s="37">
        <v>14.873719</v>
      </c>
      <c r="T9" s="37">
        <v>-87.983813</v>
      </c>
      <c r="U9" s="36" t="s">
        <v>148</v>
      </c>
      <c r="V9" s="38" t="s">
        <v>66</v>
      </c>
      <c r="W9" s="41" t="s">
        <v>823</v>
      </c>
      <c r="X9" s="10" t="s">
        <v>72</v>
      </c>
      <c r="Y9" s="41" t="s">
        <v>70</v>
      </c>
      <c r="Z9" s="43"/>
      <c r="AA9" s="42">
        <v>1.0</v>
      </c>
      <c r="AB9" s="43"/>
      <c r="AC9" s="43"/>
      <c r="AD9" s="43"/>
      <c r="AE9" s="43"/>
      <c r="AF9" s="43"/>
      <c r="AG9" s="43"/>
      <c r="AH9" s="43" t="s">
        <v>1231</v>
      </c>
      <c r="AI9" s="42">
        <v>-2820.0</v>
      </c>
      <c r="AJ9" s="42">
        <v>1950.0</v>
      </c>
      <c r="AK9" s="5" t="s">
        <v>73</v>
      </c>
      <c r="AL9" s="5" t="s">
        <v>72</v>
      </c>
      <c r="AM9" s="5" t="s">
        <v>72</v>
      </c>
      <c r="AN9" s="5" t="s">
        <v>60</v>
      </c>
      <c r="AO9" s="41"/>
      <c r="AP9" s="5" t="s">
        <v>75</v>
      </c>
      <c r="AQ9" s="5" t="s">
        <v>101</v>
      </c>
      <c r="AR9" s="5" t="s">
        <v>101</v>
      </c>
      <c r="AS9" s="5" t="s">
        <v>101</v>
      </c>
      <c r="AT9" s="5" t="s">
        <v>60</v>
      </c>
      <c r="AU9" s="33" t="s">
        <v>2260</v>
      </c>
      <c r="AV9" s="34">
        <v>-2550.0</v>
      </c>
      <c r="AW9" s="33"/>
      <c r="AX9" s="33"/>
      <c r="AY9" s="40" t="s">
        <v>76</v>
      </c>
      <c r="AZ9" s="6" t="s">
        <v>76</v>
      </c>
      <c r="BA9" s="33"/>
      <c r="BB9" s="33">
        <f>VLOOKUP(O9,Eco_DEM_Data!$D$1:$AC$643,20,False)</f>
        <v>2246</v>
      </c>
      <c r="BC9" s="33">
        <f>VLOOKUP($O9,Eco_DEM_Data!$D$1:$AC$643,20,False)</f>
        <v>2246</v>
      </c>
      <c r="BD9" s="33">
        <f>VLOOKUP($O9,Eco_DEM_Data!$D$1:$AC$643,25,False)</f>
        <v>1016</v>
      </c>
      <c r="BE9" s="33">
        <f>VLOOKUP($O9,Eco_DEM_Data!$D$1:$AC$643,22,False)</f>
        <v>45</v>
      </c>
      <c r="BF9" s="33">
        <f>VLOOKUP($O9,Eco_DEM_Data!$D$1:$AC$643,23,False)</f>
        <v>160</v>
      </c>
      <c r="BG9" s="33">
        <f>VLOOKUP($O9,Eco_DEM_Data!$D$1:$AC$643,21,False)</f>
        <v>6470</v>
      </c>
      <c r="BH9" s="33">
        <f>VLOOKUP($O9,Eco_DEM_Data!$D$1:$AC$643,26,False)</f>
        <v>635</v>
      </c>
      <c r="BI9" s="33" t="str">
        <f>VLOOKUP($O9,Eco_DEM_Data!$D$1:$AC$643,9,False)</f>
        <v>Central American Atlantic moist forests</v>
      </c>
      <c r="BJ9" s="33" t="str">
        <f>VLOOKUP($O9,Eco_DEM_Data!$D$1:$AC$643,11,False)</f>
        <v>Tropical &amp; Subtropical Moist Broadleaf Forests</v>
      </c>
    </row>
    <row r="10">
      <c r="A10" s="33" t="s">
        <v>1221</v>
      </c>
      <c r="B10" s="33" t="s">
        <v>2259</v>
      </c>
      <c r="C10" s="34">
        <v>2.0</v>
      </c>
      <c r="D10" s="33" t="s">
        <v>53</v>
      </c>
      <c r="E10" s="34">
        <v>1987.0</v>
      </c>
      <c r="F10" s="33" t="s">
        <v>1222</v>
      </c>
      <c r="G10" s="33" t="s">
        <v>1223</v>
      </c>
      <c r="H10" s="33" t="s">
        <v>1224</v>
      </c>
      <c r="I10" s="33"/>
      <c r="J10" s="33" t="s">
        <v>1225</v>
      </c>
      <c r="K10" s="34">
        <v>326.0</v>
      </c>
      <c r="L10" s="34">
        <v>6110.0</v>
      </c>
      <c r="M10" s="6" t="s">
        <v>1226</v>
      </c>
      <c r="N10" s="35" t="s">
        <v>60</v>
      </c>
      <c r="O10" s="33" t="s">
        <v>1233</v>
      </c>
      <c r="P10" s="36" t="s">
        <v>62</v>
      </c>
      <c r="Q10" s="36" t="s">
        <v>63</v>
      </c>
      <c r="R10" s="36" t="s">
        <v>1234</v>
      </c>
      <c r="S10" s="37">
        <v>14.867</v>
      </c>
      <c r="T10" s="37">
        <v>-89.125</v>
      </c>
      <c r="U10" s="36" t="s">
        <v>114</v>
      </c>
      <c r="V10" s="38" t="s">
        <v>66</v>
      </c>
      <c r="W10" s="41" t="s">
        <v>823</v>
      </c>
      <c r="X10" s="10" t="s">
        <v>72</v>
      </c>
      <c r="Y10" s="41" t="s">
        <v>70</v>
      </c>
      <c r="Z10" s="43"/>
      <c r="AA10" s="42">
        <v>2.0</v>
      </c>
      <c r="AB10" s="43"/>
      <c r="AC10" s="43"/>
      <c r="AD10" s="43"/>
      <c r="AE10" s="43"/>
      <c r="AF10" s="43"/>
      <c r="AG10" s="43"/>
      <c r="AH10" s="43" t="s">
        <v>706</v>
      </c>
      <c r="AI10" s="42">
        <v>1010.0</v>
      </c>
      <c r="AJ10" s="42">
        <v>1950.0</v>
      </c>
      <c r="AK10" s="5" t="s">
        <v>73</v>
      </c>
      <c r="AL10" s="5" t="s">
        <v>72</v>
      </c>
      <c r="AM10" s="5" t="s">
        <v>72</v>
      </c>
      <c r="AN10" s="5" t="s">
        <v>60</v>
      </c>
      <c r="AO10" s="41"/>
      <c r="AP10" s="5" t="s">
        <v>75</v>
      </c>
      <c r="AQ10" s="5" t="s">
        <v>101</v>
      </c>
      <c r="AR10" s="5" t="s">
        <v>101</v>
      </c>
      <c r="AS10" s="5" t="s">
        <v>101</v>
      </c>
      <c r="AT10" s="5" t="s">
        <v>60</v>
      </c>
      <c r="AU10" s="33" t="s">
        <v>2260</v>
      </c>
      <c r="AV10" s="34">
        <v>1100.0</v>
      </c>
      <c r="AW10" s="33"/>
      <c r="AX10" s="33"/>
      <c r="AY10" s="40" t="s">
        <v>76</v>
      </c>
      <c r="AZ10" s="6" t="s">
        <v>76</v>
      </c>
      <c r="BA10" s="33"/>
      <c r="BB10" s="33">
        <f>VLOOKUP(O10,Eco_DEM_Data!$D$1:$AC$643,20,False)</f>
        <v>1510</v>
      </c>
      <c r="BC10" s="33">
        <f>VLOOKUP($O10,Eco_DEM_Data!$D$1:$AC$643,20,False)</f>
        <v>1510</v>
      </c>
      <c r="BD10" s="33">
        <f>VLOOKUP($O10,Eco_DEM_Data!$D$1:$AC$643,25,False)</f>
        <v>719</v>
      </c>
      <c r="BE10" s="33">
        <f>VLOOKUP($O10,Eco_DEM_Data!$D$1:$AC$643,22,False)</f>
        <v>20</v>
      </c>
      <c r="BF10" s="33">
        <f>VLOOKUP($O10,Eco_DEM_Data!$D$1:$AC$643,23,False)</f>
        <v>74</v>
      </c>
      <c r="BG10" s="33">
        <f>VLOOKUP($O10,Eco_DEM_Data!$D$1:$AC$643,21,False)</f>
        <v>7799</v>
      </c>
      <c r="BH10" s="33">
        <f>VLOOKUP($O10,Eco_DEM_Data!$D$1:$AC$643,26,False)</f>
        <v>784</v>
      </c>
      <c r="BI10" s="33" t="str">
        <f>VLOOKUP($O10,Eco_DEM_Data!$D$1:$AC$643,9,False)</f>
        <v>Central American pine-oak forests</v>
      </c>
      <c r="BJ10" s="33" t="str">
        <f>VLOOKUP($O10,Eco_DEM_Data!$D$1:$AC$643,11,False)</f>
        <v>Tropical &amp; Subtropical Coniferous Forests</v>
      </c>
    </row>
    <row r="11">
      <c r="A11" s="33" t="s">
        <v>805</v>
      </c>
      <c r="B11" s="33" t="s">
        <v>2258</v>
      </c>
      <c r="C11" s="34">
        <v>12.0</v>
      </c>
      <c r="D11" s="33" t="s">
        <v>53</v>
      </c>
      <c r="E11" s="34">
        <v>1990.0</v>
      </c>
      <c r="F11" s="33" t="s">
        <v>806</v>
      </c>
      <c r="G11" s="33" t="s">
        <v>807</v>
      </c>
      <c r="H11" s="33" t="s">
        <v>732</v>
      </c>
      <c r="I11" s="33" t="s">
        <v>808</v>
      </c>
      <c r="J11" s="33" t="s">
        <v>809</v>
      </c>
      <c r="K11" s="34">
        <v>4.0</v>
      </c>
      <c r="L11" s="34">
        <v>3.0</v>
      </c>
      <c r="M11" s="6" t="s">
        <v>810</v>
      </c>
      <c r="N11" s="35" t="s">
        <v>60</v>
      </c>
      <c r="O11" s="33" t="s">
        <v>811</v>
      </c>
      <c r="P11" s="36" t="s">
        <v>62</v>
      </c>
      <c r="Q11" s="36" t="s">
        <v>167</v>
      </c>
      <c r="R11" s="36" t="s">
        <v>812</v>
      </c>
      <c r="S11" s="37">
        <v>16.85</v>
      </c>
      <c r="T11" s="37">
        <v>-90.133333</v>
      </c>
      <c r="U11" s="36" t="s">
        <v>148</v>
      </c>
      <c r="V11" s="6" t="s">
        <v>189</v>
      </c>
      <c r="W11" s="6" t="s">
        <v>813</v>
      </c>
      <c r="X11" s="1" t="s">
        <v>814</v>
      </c>
      <c r="Y11" s="33" t="s">
        <v>70</v>
      </c>
      <c r="Z11" s="36"/>
      <c r="AA11" s="37"/>
      <c r="AB11" s="36"/>
      <c r="AC11" s="37">
        <v>1.0</v>
      </c>
      <c r="AD11" s="36"/>
      <c r="AE11" s="36"/>
      <c r="AF11" s="36"/>
      <c r="AG11" s="36"/>
      <c r="AH11" s="38" t="s">
        <v>72</v>
      </c>
      <c r="AI11" s="37">
        <v>1645.0</v>
      </c>
      <c r="AJ11" s="37">
        <v>1950.0</v>
      </c>
      <c r="AK11" s="6" t="s">
        <v>100</v>
      </c>
      <c r="AL11" s="6" t="s">
        <v>72</v>
      </c>
      <c r="AM11" s="6" t="s">
        <v>72</v>
      </c>
      <c r="AN11" s="6" t="s">
        <v>72</v>
      </c>
      <c r="AO11" s="33"/>
      <c r="AP11" s="39" t="s">
        <v>75</v>
      </c>
      <c r="AQ11" s="6" t="s">
        <v>101</v>
      </c>
      <c r="AR11" s="6" t="s">
        <v>101</v>
      </c>
      <c r="AS11" s="6" t="s">
        <v>101</v>
      </c>
      <c r="AT11" s="6" t="s">
        <v>76</v>
      </c>
      <c r="AU11" s="33"/>
      <c r="AV11" s="33"/>
      <c r="AW11" s="33"/>
      <c r="AX11" s="33"/>
      <c r="AY11" s="40" t="s">
        <v>76</v>
      </c>
      <c r="AZ11" s="6" t="s">
        <v>76</v>
      </c>
      <c r="BA11" s="33"/>
      <c r="BB11" s="33">
        <f>VLOOKUP(O11,Eco_DEM_Data!$D$1:$AC$643,20,False)</f>
        <v>2170</v>
      </c>
      <c r="BC11" s="33">
        <f>VLOOKUP($O11,Eco_DEM_Data!$D$1:$AC$643,20,False)</f>
        <v>2170</v>
      </c>
      <c r="BD11" s="33">
        <f>VLOOKUP($O11,Eco_DEM_Data!$D$1:$AC$643,25,False)</f>
        <v>883</v>
      </c>
      <c r="BE11" s="33">
        <f>VLOOKUP($O11,Eco_DEM_Data!$D$1:$AC$643,22,False)</f>
        <v>50</v>
      </c>
      <c r="BF11" s="33">
        <f>VLOOKUP($O11,Eco_DEM_Data!$D$1:$AC$643,23,False)</f>
        <v>177</v>
      </c>
      <c r="BG11" s="33">
        <f>VLOOKUP($O11,Eco_DEM_Data!$D$1:$AC$643,21,False)</f>
        <v>5759</v>
      </c>
      <c r="BH11" s="33">
        <f>VLOOKUP($O11,Eco_DEM_Data!$D$1:$AC$643,26,False)</f>
        <v>188</v>
      </c>
      <c r="BI11" s="33" t="str">
        <f>VLOOKUP($O11,Eco_DEM_Data!$D$1:$AC$643,9,False)</f>
        <v>Petén-Veracruz moist forests</v>
      </c>
      <c r="BJ11" s="33" t="str">
        <f>VLOOKUP($O11,Eco_DEM_Data!$D$1:$AC$643,11,False)</f>
        <v>Tropical &amp; Subtropical Moist Broadleaf Forests</v>
      </c>
    </row>
    <row r="12">
      <c r="A12" s="33" t="s">
        <v>805</v>
      </c>
      <c r="B12" s="33" t="s">
        <v>2258</v>
      </c>
      <c r="C12" s="34">
        <v>12.0</v>
      </c>
      <c r="D12" s="33" t="s">
        <v>53</v>
      </c>
      <c r="E12" s="34">
        <v>1990.0</v>
      </c>
      <c r="F12" s="33" t="s">
        <v>806</v>
      </c>
      <c r="G12" s="33" t="s">
        <v>807</v>
      </c>
      <c r="H12" s="33" t="s">
        <v>732</v>
      </c>
      <c r="I12" s="33" t="s">
        <v>808</v>
      </c>
      <c r="J12" s="33" t="s">
        <v>809</v>
      </c>
      <c r="K12" s="34">
        <v>4.0</v>
      </c>
      <c r="L12" s="34">
        <v>3.0</v>
      </c>
      <c r="M12" s="6" t="s">
        <v>810</v>
      </c>
      <c r="N12" s="35" t="s">
        <v>60</v>
      </c>
      <c r="O12" s="33" t="s">
        <v>815</v>
      </c>
      <c r="P12" s="36" t="s">
        <v>62</v>
      </c>
      <c r="Q12" s="36" t="s">
        <v>167</v>
      </c>
      <c r="R12" s="36" t="s">
        <v>816</v>
      </c>
      <c r="S12" s="37">
        <v>16.8</v>
      </c>
      <c r="T12" s="37">
        <v>-90.033333</v>
      </c>
      <c r="U12" s="36" t="s">
        <v>148</v>
      </c>
      <c r="V12" s="6" t="s">
        <v>189</v>
      </c>
      <c r="W12" s="6" t="s">
        <v>813</v>
      </c>
      <c r="X12" s="1" t="s">
        <v>814</v>
      </c>
      <c r="Y12" s="33" t="s">
        <v>70</v>
      </c>
      <c r="Z12" s="36"/>
      <c r="AA12" s="37">
        <v>1.0</v>
      </c>
      <c r="AB12" s="36"/>
      <c r="AC12" s="37">
        <v>1.0</v>
      </c>
      <c r="AD12" s="36"/>
      <c r="AE12" s="36"/>
      <c r="AF12" s="36"/>
      <c r="AG12" s="36"/>
      <c r="AH12" s="38" t="s">
        <v>72</v>
      </c>
      <c r="AI12" s="37">
        <v>1645.0</v>
      </c>
      <c r="AJ12" s="37">
        <v>1950.0</v>
      </c>
      <c r="AK12" s="6" t="s">
        <v>73</v>
      </c>
      <c r="AL12" s="6" t="s">
        <v>72</v>
      </c>
      <c r="AM12" s="6" t="s">
        <v>72</v>
      </c>
      <c r="AN12" s="6" t="s">
        <v>72</v>
      </c>
      <c r="AO12" s="33"/>
      <c r="AP12" s="39" t="s">
        <v>75</v>
      </c>
      <c r="AQ12" s="6" t="s">
        <v>101</v>
      </c>
      <c r="AR12" s="6" t="s">
        <v>101</v>
      </c>
      <c r="AS12" s="6" t="s">
        <v>101</v>
      </c>
      <c r="AT12" s="6" t="s">
        <v>76</v>
      </c>
      <c r="AU12" s="33"/>
      <c r="AV12" s="33"/>
      <c r="AW12" s="33"/>
      <c r="AX12" s="33"/>
      <c r="AY12" s="40" t="s">
        <v>76</v>
      </c>
      <c r="AZ12" s="6" t="s">
        <v>76</v>
      </c>
      <c r="BA12" s="33"/>
      <c r="BB12" s="33">
        <f>VLOOKUP(O12,Eco_DEM_Data!$D$1:$AC$643,20,False)</f>
        <v>2162</v>
      </c>
      <c r="BC12" s="33">
        <f>VLOOKUP($O12,Eco_DEM_Data!$D$1:$AC$643,20,False)</f>
        <v>2162</v>
      </c>
      <c r="BD12" s="33">
        <f>VLOOKUP($O12,Eco_DEM_Data!$D$1:$AC$643,25,False)</f>
        <v>878</v>
      </c>
      <c r="BE12" s="33">
        <f>VLOOKUP($O12,Eco_DEM_Data!$D$1:$AC$643,22,False)</f>
        <v>49</v>
      </c>
      <c r="BF12" s="33">
        <f>VLOOKUP($O12,Eco_DEM_Data!$D$1:$AC$643,23,False)</f>
        <v>180</v>
      </c>
      <c r="BG12" s="33">
        <f>VLOOKUP($O12,Eco_DEM_Data!$D$1:$AC$643,21,False)</f>
        <v>5673</v>
      </c>
      <c r="BH12" s="33">
        <f>VLOOKUP($O12,Eco_DEM_Data!$D$1:$AC$643,26,False)</f>
        <v>248</v>
      </c>
      <c r="BI12" s="33" t="str">
        <f>VLOOKUP($O12,Eco_DEM_Data!$D$1:$AC$643,9,False)</f>
        <v>Petén-Veracruz moist forests</v>
      </c>
      <c r="BJ12" s="33" t="str">
        <f>VLOOKUP($O12,Eco_DEM_Data!$D$1:$AC$643,11,False)</f>
        <v>Tropical &amp; Subtropical Moist Broadleaf Forests</v>
      </c>
    </row>
    <row r="13">
      <c r="A13" s="33" t="s">
        <v>805</v>
      </c>
      <c r="B13" s="33" t="s">
        <v>2258</v>
      </c>
      <c r="C13" s="34">
        <v>12.0</v>
      </c>
      <c r="D13" s="33" t="s">
        <v>53</v>
      </c>
      <c r="E13" s="34">
        <v>1990.0</v>
      </c>
      <c r="F13" s="33" t="s">
        <v>806</v>
      </c>
      <c r="G13" s="33" t="s">
        <v>807</v>
      </c>
      <c r="H13" s="33" t="s">
        <v>732</v>
      </c>
      <c r="I13" s="33" t="s">
        <v>808</v>
      </c>
      <c r="J13" s="33" t="s">
        <v>809</v>
      </c>
      <c r="K13" s="34">
        <v>4.0</v>
      </c>
      <c r="L13" s="34">
        <v>3.0</v>
      </c>
      <c r="M13" s="6" t="s">
        <v>810</v>
      </c>
      <c r="N13" s="35" t="s">
        <v>60</v>
      </c>
      <c r="O13" s="33" t="s">
        <v>817</v>
      </c>
      <c r="P13" s="36" t="s">
        <v>62</v>
      </c>
      <c r="Q13" s="36" t="s">
        <v>167</v>
      </c>
      <c r="R13" s="36" t="s">
        <v>812</v>
      </c>
      <c r="S13" s="37">
        <v>16.85</v>
      </c>
      <c r="T13" s="37">
        <v>-90.133333</v>
      </c>
      <c r="U13" s="36" t="s">
        <v>148</v>
      </c>
      <c r="V13" s="38" t="s">
        <v>169</v>
      </c>
      <c r="W13" s="33" t="s">
        <v>276</v>
      </c>
      <c r="X13" s="1" t="s">
        <v>818</v>
      </c>
      <c r="Y13" s="33" t="s">
        <v>575</v>
      </c>
      <c r="Z13" s="36"/>
      <c r="AA13" s="37"/>
      <c r="AB13" s="36"/>
      <c r="AC13" s="37">
        <v>1.0</v>
      </c>
      <c r="AD13" s="36"/>
      <c r="AE13" s="36"/>
      <c r="AF13" s="36"/>
      <c r="AG13" s="36"/>
      <c r="AH13" s="38" t="s">
        <v>72</v>
      </c>
      <c r="AI13" s="37">
        <v>1645.0</v>
      </c>
      <c r="AJ13" s="37">
        <v>1950.0</v>
      </c>
      <c r="AK13" s="6" t="s">
        <v>100</v>
      </c>
      <c r="AL13" s="6" t="s">
        <v>72</v>
      </c>
      <c r="AM13" s="6" t="s">
        <v>72</v>
      </c>
      <c r="AN13" s="6" t="s">
        <v>72</v>
      </c>
      <c r="AO13" s="33"/>
      <c r="AP13" s="39" t="s">
        <v>75</v>
      </c>
      <c r="AQ13" s="6" t="s">
        <v>101</v>
      </c>
      <c r="AR13" s="6" t="s">
        <v>101</v>
      </c>
      <c r="AS13" s="6" t="s">
        <v>101</v>
      </c>
      <c r="AT13" s="6" t="s">
        <v>76</v>
      </c>
      <c r="AU13" s="33"/>
      <c r="AV13" s="33"/>
      <c r="AW13" s="33"/>
      <c r="AX13" s="33"/>
      <c r="AY13" s="40" t="s">
        <v>76</v>
      </c>
      <c r="AZ13" s="6" t="s">
        <v>76</v>
      </c>
      <c r="BA13" s="33"/>
      <c r="BB13" s="33">
        <f>VLOOKUP(O13,Eco_DEM_Data!$D$1:$AC$643,20,False)</f>
        <v>2170</v>
      </c>
      <c r="BC13" s="33">
        <f>VLOOKUP($O13,Eco_DEM_Data!$D$1:$AC$643,20,False)</f>
        <v>2170</v>
      </c>
      <c r="BD13" s="33">
        <f>VLOOKUP($O13,Eco_DEM_Data!$D$1:$AC$643,25,False)</f>
        <v>883</v>
      </c>
      <c r="BE13" s="33">
        <f>VLOOKUP($O13,Eco_DEM_Data!$D$1:$AC$643,22,False)</f>
        <v>50</v>
      </c>
      <c r="BF13" s="33">
        <f>VLOOKUP($O13,Eco_DEM_Data!$D$1:$AC$643,23,False)</f>
        <v>177</v>
      </c>
      <c r="BG13" s="33">
        <f>VLOOKUP($O13,Eco_DEM_Data!$D$1:$AC$643,21,False)</f>
        <v>5759</v>
      </c>
      <c r="BH13" s="33">
        <f>VLOOKUP($O13,Eco_DEM_Data!$D$1:$AC$643,26,False)</f>
        <v>188</v>
      </c>
      <c r="BI13" s="33" t="str">
        <f>VLOOKUP($O13,Eco_DEM_Data!$D$1:$AC$643,9,False)</f>
        <v>Petén-Veracruz moist forests</v>
      </c>
      <c r="BJ13" s="33" t="str">
        <f>VLOOKUP($O13,Eco_DEM_Data!$D$1:$AC$643,11,False)</f>
        <v>Tropical &amp; Subtropical Moist Broadleaf Forests</v>
      </c>
    </row>
    <row r="14">
      <c r="A14" s="33" t="s">
        <v>805</v>
      </c>
      <c r="B14" s="33" t="s">
        <v>2258</v>
      </c>
      <c r="C14" s="34">
        <v>12.0</v>
      </c>
      <c r="D14" s="33" t="s">
        <v>53</v>
      </c>
      <c r="E14" s="34">
        <v>1990.0</v>
      </c>
      <c r="F14" s="33" t="s">
        <v>806</v>
      </c>
      <c r="G14" s="33" t="s">
        <v>807</v>
      </c>
      <c r="H14" s="33" t="s">
        <v>732</v>
      </c>
      <c r="I14" s="33" t="s">
        <v>808</v>
      </c>
      <c r="J14" s="33" t="s">
        <v>809</v>
      </c>
      <c r="K14" s="34">
        <v>4.0</v>
      </c>
      <c r="L14" s="34">
        <v>3.0</v>
      </c>
      <c r="M14" s="6" t="s">
        <v>810</v>
      </c>
      <c r="N14" s="35" t="s">
        <v>60</v>
      </c>
      <c r="O14" s="33" t="s">
        <v>820</v>
      </c>
      <c r="P14" s="36" t="s">
        <v>62</v>
      </c>
      <c r="Q14" s="36" t="s">
        <v>167</v>
      </c>
      <c r="R14" s="36" t="s">
        <v>816</v>
      </c>
      <c r="S14" s="37">
        <v>16.8</v>
      </c>
      <c r="T14" s="37">
        <v>-90.033333</v>
      </c>
      <c r="U14" s="36" t="s">
        <v>148</v>
      </c>
      <c r="V14" s="38" t="s">
        <v>169</v>
      </c>
      <c r="W14" s="33" t="s">
        <v>276</v>
      </c>
      <c r="X14" s="1" t="s">
        <v>818</v>
      </c>
      <c r="Y14" s="33" t="s">
        <v>575</v>
      </c>
      <c r="Z14" s="36"/>
      <c r="AA14" s="37">
        <v>1.0</v>
      </c>
      <c r="AB14" s="36"/>
      <c r="AC14" s="37">
        <v>1.0</v>
      </c>
      <c r="AD14" s="36"/>
      <c r="AE14" s="36"/>
      <c r="AF14" s="36"/>
      <c r="AG14" s="36"/>
      <c r="AH14" s="38" t="s">
        <v>72</v>
      </c>
      <c r="AI14" s="37">
        <v>1645.0</v>
      </c>
      <c r="AJ14" s="37">
        <v>1950.0</v>
      </c>
      <c r="AK14" s="6" t="s">
        <v>73</v>
      </c>
      <c r="AL14" s="6" t="s">
        <v>72</v>
      </c>
      <c r="AM14" s="6" t="s">
        <v>72</v>
      </c>
      <c r="AN14" s="6" t="s">
        <v>72</v>
      </c>
      <c r="AO14" s="33"/>
      <c r="AP14" s="39" t="s">
        <v>75</v>
      </c>
      <c r="AQ14" s="6" t="s">
        <v>101</v>
      </c>
      <c r="AR14" s="6" t="s">
        <v>101</v>
      </c>
      <c r="AS14" s="6" t="s">
        <v>101</v>
      </c>
      <c r="AT14" s="6" t="s">
        <v>76</v>
      </c>
      <c r="AU14" s="33"/>
      <c r="AV14" s="33"/>
      <c r="AW14" s="33"/>
      <c r="AX14" s="33"/>
      <c r="AY14" s="40" t="s">
        <v>76</v>
      </c>
      <c r="AZ14" s="6" t="s">
        <v>76</v>
      </c>
      <c r="BA14" s="33"/>
      <c r="BB14" s="33">
        <f>VLOOKUP(O14,Eco_DEM_Data!$D$1:$AC$643,20,False)</f>
        <v>2162</v>
      </c>
      <c r="BC14" s="33">
        <f>VLOOKUP($O14,Eco_DEM_Data!$D$1:$AC$643,20,False)</f>
        <v>2162</v>
      </c>
      <c r="BD14" s="33">
        <f>VLOOKUP($O14,Eco_DEM_Data!$D$1:$AC$643,25,False)</f>
        <v>878</v>
      </c>
      <c r="BE14" s="33">
        <f>VLOOKUP($O14,Eco_DEM_Data!$D$1:$AC$643,22,False)</f>
        <v>49</v>
      </c>
      <c r="BF14" s="33">
        <f>VLOOKUP($O14,Eco_DEM_Data!$D$1:$AC$643,23,False)</f>
        <v>180</v>
      </c>
      <c r="BG14" s="33">
        <f>VLOOKUP($O14,Eco_DEM_Data!$D$1:$AC$643,21,False)</f>
        <v>5673</v>
      </c>
      <c r="BH14" s="33">
        <f>VLOOKUP($O14,Eco_DEM_Data!$D$1:$AC$643,26,False)</f>
        <v>248</v>
      </c>
      <c r="BI14" s="33" t="str">
        <f>VLOOKUP($O14,Eco_DEM_Data!$D$1:$AC$643,9,False)</f>
        <v>Petén-Veracruz moist forests</v>
      </c>
      <c r="BJ14" s="33" t="str">
        <f>VLOOKUP($O14,Eco_DEM_Data!$D$1:$AC$643,11,False)</f>
        <v>Tropical &amp; Subtropical Moist Broadleaf Forests</v>
      </c>
    </row>
    <row r="15">
      <c r="A15" s="33" t="s">
        <v>805</v>
      </c>
      <c r="B15" s="33" t="s">
        <v>2258</v>
      </c>
      <c r="C15" s="34">
        <v>12.0</v>
      </c>
      <c r="D15" s="33" t="s">
        <v>53</v>
      </c>
      <c r="E15" s="34">
        <v>1990.0</v>
      </c>
      <c r="F15" s="33" t="s">
        <v>806</v>
      </c>
      <c r="G15" s="33" t="s">
        <v>807</v>
      </c>
      <c r="H15" s="33" t="s">
        <v>732</v>
      </c>
      <c r="I15" s="33" t="s">
        <v>808</v>
      </c>
      <c r="J15" s="33" t="s">
        <v>809</v>
      </c>
      <c r="K15" s="34">
        <v>4.0</v>
      </c>
      <c r="L15" s="34">
        <v>3.0</v>
      </c>
      <c r="M15" s="6" t="s">
        <v>810</v>
      </c>
      <c r="N15" s="35" t="s">
        <v>60</v>
      </c>
      <c r="O15" s="33" t="s">
        <v>821</v>
      </c>
      <c r="P15" s="36" t="s">
        <v>62</v>
      </c>
      <c r="Q15" s="36" t="s">
        <v>167</v>
      </c>
      <c r="R15" s="36" t="s">
        <v>822</v>
      </c>
      <c r="S15" s="37">
        <v>16.648694</v>
      </c>
      <c r="T15" s="37">
        <v>-89.750195</v>
      </c>
      <c r="U15" s="36" t="s">
        <v>148</v>
      </c>
      <c r="V15" s="38" t="s">
        <v>66</v>
      </c>
      <c r="W15" s="41" t="s">
        <v>823</v>
      </c>
      <c r="X15" s="7" t="s">
        <v>117</v>
      </c>
      <c r="Y15" s="41" t="s">
        <v>70</v>
      </c>
      <c r="Z15" s="43"/>
      <c r="AA15" s="42"/>
      <c r="AB15" s="43"/>
      <c r="AC15" s="42">
        <v>1.0</v>
      </c>
      <c r="AD15" s="43"/>
      <c r="AE15" s="43"/>
      <c r="AF15" s="43"/>
      <c r="AG15" s="43"/>
      <c r="AH15" s="38" t="s">
        <v>72</v>
      </c>
      <c r="AI15" s="42">
        <v>1645.0</v>
      </c>
      <c r="AJ15" s="42">
        <v>1950.0</v>
      </c>
      <c r="AK15" s="5" t="s">
        <v>100</v>
      </c>
      <c r="AL15" s="5" t="s">
        <v>72</v>
      </c>
      <c r="AM15" s="5" t="s">
        <v>72</v>
      </c>
      <c r="AN15" s="5" t="s">
        <v>72</v>
      </c>
      <c r="AO15" s="41"/>
      <c r="AP15" s="5" t="s">
        <v>75</v>
      </c>
      <c r="AQ15" s="5" t="s">
        <v>101</v>
      </c>
      <c r="AR15" s="5" t="s">
        <v>101</v>
      </c>
      <c r="AS15" s="5" t="s">
        <v>101</v>
      </c>
      <c r="AT15" s="5" t="s">
        <v>76</v>
      </c>
      <c r="AU15" s="33"/>
      <c r="AV15" s="33"/>
      <c r="AW15" s="33"/>
      <c r="AX15" s="33"/>
      <c r="AY15" s="40" t="s">
        <v>76</v>
      </c>
      <c r="AZ15" s="6" t="s">
        <v>76</v>
      </c>
      <c r="BA15" s="33"/>
      <c r="BB15" s="33">
        <f>VLOOKUP(O15,Eco_DEM_Data!$D$1:$AC$643,20,False)</f>
        <v>2384</v>
      </c>
      <c r="BC15" s="33">
        <f>VLOOKUP($O15,Eco_DEM_Data!$D$1:$AC$643,20,False)</f>
        <v>2384</v>
      </c>
      <c r="BD15" s="33">
        <f>VLOOKUP($O15,Eco_DEM_Data!$D$1:$AC$643,25,False)</f>
        <v>1014</v>
      </c>
      <c r="BE15" s="33">
        <f>VLOOKUP($O15,Eco_DEM_Data!$D$1:$AC$643,22,False)</f>
        <v>52</v>
      </c>
      <c r="BF15" s="33">
        <f>VLOOKUP($O15,Eco_DEM_Data!$D$1:$AC$643,23,False)</f>
        <v>198</v>
      </c>
      <c r="BG15" s="33">
        <f>VLOOKUP($O15,Eco_DEM_Data!$D$1:$AC$643,21,False)</f>
        <v>5843</v>
      </c>
      <c r="BH15" s="33">
        <f>VLOOKUP($O15,Eco_DEM_Data!$D$1:$AC$643,26,False)</f>
        <v>150</v>
      </c>
      <c r="BI15" s="33" t="str">
        <f>VLOOKUP($O15,Eco_DEM_Data!$D$1:$AC$643,9,False)</f>
        <v>Petén-Veracruz moist forests</v>
      </c>
      <c r="BJ15" s="33" t="str">
        <f>VLOOKUP($O15,Eco_DEM_Data!$D$1:$AC$643,11,False)</f>
        <v>Tropical &amp; Subtropical Moist Broadleaf Forests</v>
      </c>
    </row>
    <row r="16">
      <c r="A16" s="33" t="s">
        <v>805</v>
      </c>
      <c r="B16" s="33" t="s">
        <v>2258</v>
      </c>
      <c r="C16" s="34">
        <v>12.0</v>
      </c>
      <c r="D16" s="33" t="s">
        <v>53</v>
      </c>
      <c r="E16" s="34">
        <v>1990.0</v>
      </c>
      <c r="F16" s="33" t="s">
        <v>806</v>
      </c>
      <c r="G16" s="33" t="s">
        <v>807</v>
      </c>
      <c r="H16" s="33" t="s">
        <v>732</v>
      </c>
      <c r="I16" s="33" t="s">
        <v>808</v>
      </c>
      <c r="J16" s="33" t="s">
        <v>809</v>
      </c>
      <c r="K16" s="34">
        <v>4.0</v>
      </c>
      <c r="L16" s="34">
        <v>3.0</v>
      </c>
      <c r="M16" s="6" t="s">
        <v>810</v>
      </c>
      <c r="N16" s="35" t="s">
        <v>60</v>
      </c>
      <c r="O16" s="33" t="s">
        <v>836</v>
      </c>
      <c r="P16" s="36" t="s">
        <v>62</v>
      </c>
      <c r="Q16" s="36" t="s">
        <v>167</v>
      </c>
      <c r="R16" s="36" t="s">
        <v>812</v>
      </c>
      <c r="S16" s="37">
        <v>16.85</v>
      </c>
      <c r="T16" s="37">
        <v>-90.133333</v>
      </c>
      <c r="U16" s="36" t="s">
        <v>148</v>
      </c>
      <c r="V16" s="38" t="s">
        <v>66</v>
      </c>
      <c r="W16" s="41" t="s">
        <v>823</v>
      </c>
      <c r="X16" s="7" t="s">
        <v>117</v>
      </c>
      <c r="Y16" s="41" t="s">
        <v>70</v>
      </c>
      <c r="Z16" s="43"/>
      <c r="AA16" s="42"/>
      <c r="AB16" s="43"/>
      <c r="AC16" s="42">
        <v>1.0</v>
      </c>
      <c r="AD16" s="43"/>
      <c r="AE16" s="43"/>
      <c r="AF16" s="43"/>
      <c r="AG16" s="43"/>
      <c r="AH16" s="38" t="s">
        <v>72</v>
      </c>
      <c r="AI16" s="42">
        <v>1645.0</v>
      </c>
      <c r="AJ16" s="42">
        <v>1950.0</v>
      </c>
      <c r="AK16" s="5" t="s">
        <v>100</v>
      </c>
      <c r="AL16" s="5" t="s">
        <v>72</v>
      </c>
      <c r="AM16" s="5" t="s">
        <v>72</v>
      </c>
      <c r="AN16" s="5" t="s">
        <v>72</v>
      </c>
      <c r="AO16" s="41"/>
      <c r="AP16" s="5" t="s">
        <v>75</v>
      </c>
      <c r="AQ16" s="5" t="s">
        <v>101</v>
      </c>
      <c r="AR16" s="5" t="s">
        <v>101</v>
      </c>
      <c r="AS16" s="5" t="s">
        <v>101</v>
      </c>
      <c r="AT16" s="5" t="s">
        <v>76</v>
      </c>
      <c r="AU16" s="33"/>
      <c r="AV16" s="33"/>
      <c r="AW16" s="33"/>
      <c r="AX16" s="33"/>
      <c r="AY16" s="40" t="s">
        <v>76</v>
      </c>
      <c r="AZ16" s="6" t="s">
        <v>76</v>
      </c>
      <c r="BA16" s="33"/>
      <c r="BB16" s="33">
        <f>VLOOKUP(O16,Eco_DEM_Data!$D$1:$AC$643,20,False)</f>
        <v>2170</v>
      </c>
      <c r="BC16" s="33">
        <f>VLOOKUP($O16,Eco_DEM_Data!$D$1:$AC$643,20,False)</f>
        <v>2170</v>
      </c>
      <c r="BD16" s="33">
        <f>VLOOKUP($O16,Eco_DEM_Data!$D$1:$AC$643,25,False)</f>
        <v>883</v>
      </c>
      <c r="BE16" s="33">
        <f>VLOOKUP($O16,Eco_DEM_Data!$D$1:$AC$643,22,False)</f>
        <v>50</v>
      </c>
      <c r="BF16" s="33">
        <f>VLOOKUP($O16,Eco_DEM_Data!$D$1:$AC$643,23,False)</f>
        <v>177</v>
      </c>
      <c r="BG16" s="33">
        <f>VLOOKUP($O16,Eco_DEM_Data!$D$1:$AC$643,21,False)</f>
        <v>5759</v>
      </c>
      <c r="BH16" s="33">
        <f>VLOOKUP($O16,Eco_DEM_Data!$D$1:$AC$643,26,False)</f>
        <v>188</v>
      </c>
      <c r="BI16" s="33" t="str">
        <f>VLOOKUP($O16,Eco_DEM_Data!$D$1:$AC$643,9,False)</f>
        <v>Petén-Veracruz moist forests</v>
      </c>
      <c r="BJ16" s="33" t="str">
        <f>VLOOKUP($O16,Eco_DEM_Data!$D$1:$AC$643,11,False)</f>
        <v>Tropical &amp; Subtropical Moist Broadleaf Forests</v>
      </c>
    </row>
    <row r="17">
      <c r="A17" s="33" t="s">
        <v>805</v>
      </c>
      <c r="B17" s="33" t="s">
        <v>2258</v>
      </c>
      <c r="C17" s="34">
        <v>12.0</v>
      </c>
      <c r="D17" s="33" t="s">
        <v>53</v>
      </c>
      <c r="E17" s="34">
        <v>1990.0</v>
      </c>
      <c r="F17" s="33" t="s">
        <v>806</v>
      </c>
      <c r="G17" s="33" t="s">
        <v>807</v>
      </c>
      <c r="H17" s="33" t="s">
        <v>732</v>
      </c>
      <c r="I17" s="33" t="s">
        <v>808</v>
      </c>
      <c r="J17" s="33" t="s">
        <v>809</v>
      </c>
      <c r="K17" s="34">
        <v>4.0</v>
      </c>
      <c r="L17" s="34">
        <v>3.0</v>
      </c>
      <c r="M17" s="6" t="s">
        <v>810</v>
      </c>
      <c r="N17" s="35" t="s">
        <v>60</v>
      </c>
      <c r="O17" s="33" t="s">
        <v>841</v>
      </c>
      <c r="P17" s="36" t="s">
        <v>62</v>
      </c>
      <c r="Q17" s="36" t="s">
        <v>167</v>
      </c>
      <c r="R17" s="36" t="s">
        <v>816</v>
      </c>
      <c r="S17" s="37">
        <v>16.8</v>
      </c>
      <c r="T17" s="37">
        <v>-90.033333</v>
      </c>
      <c r="U17" s="36" t="s">
        <v>148</v>
      </c>
      <c r="V17" s="38" t="s">
        <v>66</v>
      </c>
      <c r="W17" s="41" t="s">
        <v>823</v>
      </c>
      <c r="X17" s="7" t="s">
        <v>117</v>
      </c>
      <c r="Y17" s="41" t="s">
        <v>70</v>
      </c>
      <c r="Z17" s="43"/>
      <c r="AA17" s="42">
        <v>1.0</v>
      </c>
      <c r="AB17" s="43"/>
      <c r="AC17" s="42">
        <v>1.0</v>
      </c>
      <c r="AD17" s="43"/>
      <c r="AE17" s="43"/>
      <c r="AF17" s="43"/>
      <c r="AG17" s="43"/>
      <c r="AH17" s="38" t="s">
        <v>72</v>
      </c>
      <c r="AI17" s="42">
        <v>1645.0</v>
      </c>
      <c r="AJ17" s="42">
        <v>1950.0</v>
      </c>
      <c r="AK17" s="5" t="s">
        <v>73</v>
      </c>
      <c r="AL17" s="5" t="s">
        <v>72</v>
      </c>
      <c r="AM17" s="5" t="s">
        <v>72</v>
      </c>
      <c r="AN17" s="5" t="s">
        <v>72</v>
      </c>
      <c r="AO17" s="41"/>
      <c r="AP17" s="5" t="s">
        <v>75</v>
      </c>
      <c r="AQ17" s="5" t="s">
        <v>101</v>
      </c>
      <c r="AR17" s="5" t="s">
        <v>101</v>
      </c>
      <c r="AS17" s="5" t="s">
        <v>101</v>
      </c>
      <c r="AT17" s="5" t="s">
        <v>76</v>
      </c>
      <c r="AU17" s="33"/>
      <c r="AV17" s="33"/>
      <c r="AW17" s="33"/>
      <c r="AX17" s="33"/>
      <c r="AY17" s="40" t="s">
        <v>76</v>
      </c>
      <c r="AZ17" s="6" t="s">
        <v>76</v>
      </c>
      <c r="BA17" s="33"/>
      <c r="BB17" s="33">
        <f>VLOOKUP(O17,Eco_DEM_Data!$D$1:$AC$643,20,False)</f>
        <v>2162</v>
      </c>
      <c r="BC17" s="33">
        <f>VLOOKUP($O17,Eco_DEM_Data!$D$1:$AC$643,20,False)</f>
        <v>2162</v>
      </c>
      <c r="BD17" s="33">
        <f>VLOOKUP($O17,Eco_DEM_Data!$D$1:$AC$643,25,False)</f>
        <v>878</v>
      </c>
      <c r="BE17" s="33">
        <f>VLOOKUP($O17,Eco_DEM_Data!$D$1:$AC$643,22,False)</f>
        <v>49</v>
      </c>
      <c r="BF17" s="33">
        <f>VLOOKUP($O17,Eco_DEM_Data!$D$1:$AC$643,23,False)</f>
        <v>180</v>
      </c>
      <c r="BG17" s="33">
        <f>VLOOKUP($O17,Eco_DEM_Data!$D$1:$AC$643,21,False)</f>
        <v>5673</v>
      </c>
      <c r="BH17" s="33">
        <f>VLOOKUP($O17,Eco_DEM_Data!$D$1:$AC$643,26,False)</f>
        <v>248</v>
      </c>
      <c r="BI17" s="33" t="str">
        <f>VLOOKUP($O17,Eco_DEM_Data!$D$1:$AC$643,9,False)</f>
        <v>Petén-Veracruz moist forests</v>
      </c>
      <c r="BJ17" s="33" t="str">
        <f>VLOOKUP($O17,Eco_DEM_Data!$D$1:$AC$643,11,False)</f>
        <v>Tropical &amp; Subtropical Moist Broadleaf Forests</v>
      </c>
    </row>
    <row r="18">
      <c r="A18" s="33" t="s">
        <v>805</v>
      </c>
      <c r="B18" s="33" t="s">
        <v>2258</v>
      </c>
      <c r="C18" s="34">
        <v>12.0</v>
      </c>
      <c r="D18" s="33" t="s">
        <v>53</v>
      </c>
      <c r="E18" s="34">
        <v>1990.0</v>
      </c>
      <c r="F18" s="33" t="s">
        <v>806</v>
      </c>
      <c r="G18" s="33" t="s">
        <v>807</v>
      </c>
      <c r="H18" s="33" t="s">
        <v>732</v>
      </c>
      <c r="I18" s="33" t="s">
        <v>808</v>
      </c>
      <c r="J18" s="33" t="s">
        <v>809</v>
      </c>
      <c r="K18" s="34">
        <v>4.0</v>
      </c>
      <c r="L18" s="34">
        <v>3.0</v>
      </c>
      <c r="M18" s="6" t="s">
        <v>810</v>
      </c>
      <c r="N18" s="35" t="s">
        <v>60</v>
      </c>
      <c r="O18" s="33" t="s">
        <v>842</v>
      </c>
      <c r="P18" s="36" t="s">
        <v>62</v>
      </c>
      <c r="Q18" s="36" t="s">
        <v>167</v>
      </c>
      <c r="R18" s="36" t="s">
        <v>812</v>
      </c>
      <c r="S18" s="37">
        <v>16.85</v>
      </c>
      <c r="T18" s="37">
        <v>-90.133333</v>
      </c>
      <c r="U18" s="36" t="s">
        <v>148</v>
      </c>
      <c r="V18" s="38" t="s">
        <v>194</v>
      </c>
      <c r="W18" s="6" t="s">
        <v>813</v>
      </c>
      <c r="X18" s="1" t="s">
        <v>286</v>
      </c>
      <c r="Y18" s="33" t="s">
        <v>70</v>
      </c>
      <c r="Z18" s="36"/>
      <c r="AA18" s="37"/>
      <c r="AB18" s="36"/>
      <c r="AC18" s="37">
        <v>1.0</v>
      </c>
      <c r="AD18" s="36"/>
      <c r="AE18" s="36"/>
      <c r="AF18" s="36"/>
      <c r="AG18" s="36"/>
      <c r="AH18" s="38" t="s">
        <v>72</v>
      </c>
      <c r="AI18" s="37">
        <v>1645.0</v>
      </c>
      <c r="AJ18" s="37">
        <v>1950.0</v>
      </c>
      <c r="AK18" s="6" t="s">
        <v>100</v>
      </c>
      <c r="AL18" s="6" t="s">
        <v>72</v>
      </c>
      <c r="AM18" s="6" t="s">
        <v>72</v>
      </c>
      <c r="AN18" s="6" t="s">
        <v>72</v>
      </c>
      <c r="AO18" s="33"/>
      <c r="AP18" s="39" t="s">
        <v>75</v>
      </c>
      <c r="AQ18" s="6" t="s">
        <v>101</v>
      </c>
      <c r="AR18" s="6" t="s">
        <v>101</v>
      </c>
      <c r="AS18" s="6" t="s">
        <v>101</v>
      </c>
      <c r="AT18" s="6" t="s">
        <v>76</v>
      </c>
      <c r="AU18" s="33"/>
      <c r="AV18" s="33"/>
      <c r="AW18" s="33"/>
      <c r="AX18" s="33"/>
      <c r="AY18" s="40" t="s">
        <v>76</v>
      </c>
      <c r="AZ18" s="6" t="s">
        <v>76</v>
      </c>
      <c r="BA18" s="33"/>
      <c r="BB18" s="33">
        <f>VLOOKUP(O18,Eco_DEM_Data!$D$1:$AC$643,20,False)</f>
        <v>2170</v>
      </c>
      <c r="BC18" s="33">
        <f>VLOOKUP($O18,Eco_DEM_Data!$D$1:$AC$643,20,False)</f>
        <v>2170</v>
      </c>
      <c r="BD18" s="33">
        <f>VLOOKUP($O18,Eco_DEM_Data!$D$1:$AC$643,25,False)</f>
        <v>883</v>
      </c>
      <c r="BE18" s="33">
        <f>VLOOKUP($O18,Eco_DEM_Data!$D$1:$AC$643,22,False)</f>
        <v>50</v>
      </c>
      <c r="BF18" s="33">
        <f>VLOOKUP($O18,Eco_DEM_Data!$D$1:$AC$643,23,False)</f>
        <v>177</v>
      </c>
      <c r="BG18" s="33">
        <f>VLOOKUP($O18,Eco_DEM_Data!$D$1:$AC$643,21,False)</f>
        <v>5759</v>
      </c>
      <c r="BH18" s="33">
        <f>VLOOKUP($O18,Eco_DEM_Data!$D$1:$AC$643,26,False)</f>
        <v>188</v>
      </c>
      <c r="BI18" s="33" t="str">
        <f>VLOOKUP($O18,Eco_DEM_Data!$D$1:$AC$643,9,False)</f>
        <v>Petén-Veracruz moist forests</v>
      </c>
      <c r="BJ18" s="33" t="str">
        <f>VLOOKUP($O18,Eco_DEM_Data!$D$1:$AC$643,11,False)</f>
        <v>Tropical &amp; Subtropical Moist Broadleaf Forests</v>
      </c>
    </row>
    <row r="19">
      <c r="A19" s="33" t="s">
        <v>805</v>
      </c>
      <c r="B19" s="33" t="s">
        <v>2258</v>
      </c>
      <c r="C19" s="34">
        <v>12.0</v>
      </c>
      <c r="D19" s="33" t="s">
        <v>53</v>
      </c>
      <c r="E19" s="34">
        <v>1990.0</v>
      </c>
      <c r="F19" s="33" t="s">
        <v>806</v>
      </c>
      <c r="G19" s="33" t="s">
        <v>807</v>
      </c>
      <c r="H19" s="33" t="s">
        <v>732</v>
      </c>
      <c r="I19" s="33" t="s">
        <v>808</v>
      </c>
      <c r="J19" s="33" t="s">
        <v>809</v>
      </c>
      <c r="K19" s="34">
        <v>4.0</v>
      </c>
      <c r="L19" s="34">
        <v>3.0</v>
      </c>
      <c r="M19" s="6" t="s">
        <v>810</v>
      </c>
      <c r="N19" s="35" t="s">
        <v>60</v>
      </c>
      <c r="O19" s="33" t="s">
        <v>845</v>
      </c>
      <c r="P19" s="36" t="s">
        <v>62</v>
      </c>
      <c r="Q19" s="36" t="s">
        <v>167</v>
      </c>
      <c r="R19" s="36" t="s">
        <v>816</v>
      </c>
      <c r="S19" s="37">
        <v>16.8</v>
      </c>
      <c r="T19" s="37">
        <v>-90.033333</v>
      </c>
      <c r="U19" s="36" t="s">
        <v>148</v>
      </c>
      <c r="V19" s="38" t="s">
        <v>194</v>
      </c>
      <c r="W19" s="6" t="s">
        <v>813</v>
      </c>
      <c r="X19" s="1" t="s">
        <v>286</v>
      </c>
      <c r="Y19" s="33" t="s">
        <v>70</v>
      </c>
      <c r="Z19" s="36"/>
      <c r="AA19" s="37">
        <v>1.0</v>
      </c>
      <c r="AB19" s="36"/>
      <c r="AC19" s="37">
        <v>1.0</v>
      </c>
      <c r="AD19" s="36"/>
      <c r="AE19" s="36"/>
      <c r="AF19" s="36"/>
      <c r="AG19" s="36"/>
      <c r="AH19" s="38" t="s">
        <v>72</v>
      </c>
      <c r="AI19" s="37">
        <v>1645.0</v>
      </c>
      <c r="AJ19" s="37">
        <v>1950.0</v>
      </c>
      <c r="AK19" s="6" t="s">
        <v>73</v>
      </c>
      <c r="AL19" s="6" t="s">
        <v>72</v>
      </c>
      <c r="AM19" s="6" t="s">
        <v>72</v>
      </c>
      <c r="AN19" s="6" t="s">
        <v>72</v>
      </c>
      <c r="AO19" s="33"/>
      <c r="AP19" s="39" t="s">
        <v>75</v>
      </c>
      <c r="AQ19" s="6" t="s">
        <v>101</v>
      </c>
      <c r="AR19" s="6" t="s">
        <v>101</v>
      </c>
      <c r="AS19" s="6" t="s">
        <v>101</v>
      </c>
      <c r="AT19" s="6" t="s">
        <v>76</v>
      </c>
      <c r="AU19" s="33"/>
      <c r="AV19" s="33"/>
      <c r="AW19" s="33"/>
      <c r="AX19" s="33"/>
      <c r="AY19" s="40" t="s">
        <v>76</v>
      </c>
      <c r="AZ19" s="6" t="s">
        <v>76</v>
      </c>
      <c r="BA19" s="33"/>
      <c r="BB19" s="33">
        <f>VLOOKUP(O19,Eco_DEM_Data!$D$1:$AC$643,20,False)</f>
        <v>2162</v>
      </c>
      <c r="BC19" s="33">
        <f>VLOOKUP($O19,Eco_DEM_Data!$D$1:$AC$643,20,False)</f>
        <v>2162</v>
      </c>
      <c r="BD19" s="33">
        <f>VLOOKUP($O19,Eco_DEM_Data!$D$1:$AC$643,25,False)</f>
        <v>878</v>
      </c>
      <c r="BE19" s="33">
        <f>VLOOKUP($O19,Eco_DEM_Data!$D$1:$AC$643,22,False)</f>
        <v>49</v>
      </c>
      <c r="BF19" s="33">
        <f>VLOOKUP($O19,Eco_DEM_Data!$D$1:$AC$643,23,False)</f>
        <v>180</v>
      </c>
      <c r="BG19" s="33">
        <f>VLOOKUP($O19,Eco_DEM_Data!$D$1:$AC$643,21,False)</f>
        <v>5673</v>
      </c>
      <c r="BH19" s="33">
        <f>VLOOKUP($O19,Eco_DEM_Data!$D$1:$AC$643,26,False)</f>
        <v>248</v>
      </c>
      <c r="BI19" s="33" t="str">
        <f>VLOOKUP($O19,Eco_DEM_Data!$D$1:$AC$643,9,False)</f>
        <v>Petén-Veracruz moist forests</v>
      </c>
      <c r="BJ19" s="33" t="str">
        <f>VLOOKUP($O19,Eco_DEM_Data!$D$1:$AC$643,11,False)</f>
        <v>Tropical &amp; Subtropical Moist Broadleaf Forests</v>
      </c>
    </row>
    <row r="20">
      <c r="A20" s="33" t="s">
        <v>805</v>
      </c>
      <c r="B20" s="33" t="s">
        <v>2258</v>
      </c>
      <c r="C20" s="34">
        <v>12.0</v>
      </c>
      <c r="D20" s="33" t="s">
        <v>53</v>
      </c>
      <c r="E20" s="34">
        <v>1990.0</v>
      </c>
      <c r="F20" s="33" t="s">
        <v>806</v>
      </c>
      <c r="G20" s="33" t="s">
        <v>807</v>
      </c>
      <c r="H20" s="33" t="s">
        <v>732</v>
      </c>
      <c r="I20" s="33" t="s">
        <v>808</v>
      </c>
      <c r="J20" s="33" t="s">
        <v>809</v>
      </c>
      <c r="K20" s="34">
        <v>4.0</v>
      </c>
      <c r="L20" s="34">
        <v>3.0</v>
      </c>
      <c r="M20" s="6" t="s">
        <v>810</v>
      </c>
      <c r="N20" s="35" t="s">
        <v>60</v>
      </c>
      <c r="O20" s="33" t="s">
        <v>846</v>
      </c>
      <c r="P20" s="36" t="s">
        <v>62</v>
      </c>
      <c r="Q20" s="36" t="s">
        <v>167</v>
      </c>
      <c r="R20" s="36" t="s">
        <v>822</v>
      </c>
      <c r="S20" s="37">
        <v>16.648694</v>
      </c>
      <c r="T20" s="37">
        <v>-89.750195</v>
      </c>
      <c r="U20" s="36" t="s">
        <v>148</v>
      </c>
      <c r="V20" s="6" t="s">
        <v>80</v>
      </c>
      <c r="W20" s="33" t="s">
        <v>156</v>
      </c>
      <c r="X20" s="1" t="s">
        <v>348</v>
      </c>
      <c r="Y20" s="33" t="s">
        <v>847</v>
      </c>
      <c r="Z20" s="36"/>
      <c r="AA20" s="37"/>
      <c r="AB20" s="36"/>
      <c r="AC20" s="37">
        <v>1.0</v>
      </c>
      <c r="AD20" s="36"/>
      <c r="AE20" s="36"/>
      <c r="AF20" s="36"/>
      <c r="AG20" s="36"/>
      <c r="AH20" s="38" t="s">
        <v>72</v>
      </c>
      <c r="AI20" s="37">
        <v>1300.0</v>
      </c>
      <c r="AJ20" s="37">
        <v>1950.0</v>
      </c>
      <c r="AK20" s="6" t="s">
        <v>100</v>
      </c>
      <c r="AL20" s="6" t="s">
        <v>72</v>
      </c>
      <c r="AM20" s="6" t="s">
        <v>72</v>
      </c>
      <c r="AN20" s="6" t="s">
        <v>72</v>
      </c>
      <c r="AO20" s="33"/>
      <c r="AP20" s="39" t="s">
        <v>75</v>
      </c>
      <c r="AQ20" s="6" t="s">
        <v>101</v>
      </c>
      <c r="AR20" s="6" t="s">
        <v>101</v>
      </c>
      <c r="AS20" s="6" t="s">
        <v>101</v>
      </c>
      <c r="AT20" s="6" t="s">
        <v>76</v>
      </c>
      <c r="AU20" s="33"/>
      <c r="AV20" s="33"/>
      <c r="AW20" s="33"/>
      <c r="AX20" s="6" t="s">
        <v>72</v>
      </c>
      <c r="AY20" s="40" t="s">
        <v>76</v>
      </c>
      <c r="AZ20" s="6" t="s">
        <v>76</v>
      </c>
      <c r="BA20" s="33"/>
      <c r="BB20" s="33">
        <f>VLOOKUP(O20,Eco_DEM_Data!$D$1:$AC$643,20,False)</f>
        <v>2384</v>
      </c>
      <c r="BC20" s="33">
        <f>VLOOKUP($O20,Eco_DEM_Data!$D$1:$AC$643,20,False)</f>
        <v>2384</v>
      </c>
      <c r="BD20" s="33">
        <f>VLOOKUP($O20,Eco_DEM_Data!$D$1:$AC$643,25,False)</f>
        <v>1014</v>
      </c>
      <c r="BE20" s="33">
        <f>VLOOKUP($O20,Eco_DEM_Data!$D$1:$AC$643,22,False)</f>
        <v>52</v>
      </c>
      <c r="BF20" s="33">
        <f>VLOOKUP($O20,Eco_DEM_Data!$D$1:$AC$643,23,False)</f>
        <v>198</v>
      </c>
      <c r="BG20" s="33">
        <f>VLOOKUP($O20,Eco_DEM_Data!$D$1:$AC$643,21,False)</f>
        <v>5843</v>
      </c>
      <c r="BH20" s="33">
        <f>VLOOKUP($O20,Eco_DEM_Data!$D$1:$AC$643,26,False)</f>
        <v>150</v>
      </c>
      <c r="BI20" s="33" t="str">
        <f>VLOOKUP($O20,Eco_DEM_Data!$D$1:$AC$643,9,False)</f>
        <v>Petén-Veracruz moist forests</v>
      </c>
      <c r="BJ20" s="33" t="str">
        <f>VLOOKUP($O20,Eco_DEM_Data!$D$1:$AC$643,11,False)</f>
        <v>Tropical &amp; Subtropical Moist Broadleaf Forests</v>
      </c>
    </row>
    <row r="21">
      <c r="A21" s="33" t="s">
        <v>805</v>
      </c>
      <c r="B21" s="33" t="s">
        <v>2258</v>
      </c>
      <c r="C21" s="34">
        <v>12.0</v>
      </c>
      <c r="D21" s="33" t="s">
        <v>53</v>
      </c>
      <c r="E21" s="34">
        <v>1990.0</v>
      </c>
      <c r="F21" s="33" t="s">
        <v>806</v>
      </c>
      <c r="G21" s="33" t="s">
        <v>807</v>
      </c>
      <c r="H21" s="33" t="s">
        <v>732</v>
      </c>
      <c r="I21" s="33" t="s">
        <v>808</v>
      </c>
      <c r="J21" s="33" t="s">
        <v>809</v>
      </c>
      <c r="K21" s="34">
        <v>4.0</v>
      </c>
      <c r="L21" s="34">
        <v>3.0</v>
      </c>
      <c r="M21" s="6" t="s">
        <v>810</v>
      </c>
      <c r="N21" s="35" t="s">
        <v>60</v>
      </c>
      <c r="O21" s="33" t="s">
        <v>848</v>
      </c>
      <c r="P21" s="36" t="s">
        <v>62</v>
      </c>
      <c r="Q21" s="36" t="s">
        <v>167</v>
      </c>
      <c r="R21" s="36" t="s">
        <v>812</v>
      </c>
      <c r="S21" s="37">
        <v>16.85</v>
      </c>
      <c r="T21" s="37">
        <v>-90.133333</v>
      </c>
      <c r="U21" s="36" t="s">
        <v>148</v>
      </c>
      <c r="V21" s="6" t="s">
        <v>80</v>
      </c>
      <c r="W21" s="33" t="s">
        <v>156</v>
      </c>
      <c r="X21" s="1" t="s">
        <v>348</v>
      </c>
      <c r="Y21" s="33" t="s">
        <v>847</v>
      </c>
      <c r="Z21" s="36"/>
      <c r="AA21" s="37"/>
      <c r="AB21" s="36"/>
      <c r="AC21" s="37">
        <v>1.0</v>
      </c>
      <c r="AD21" s="36"/>
      <c r="AE21" s="36"/>
      <c r="AF21" s="36"/>
      <c r="AG21" s="36"/>
      <c r="AH21" s="38" t="s">
        <v>72</v>
      </c>
      <c r="AI21" s="37">
        <v>1645.0</v>
      </c>
      <c r="AJ21" s="37">
        <v>1950.0</v>
      </c>
      <c r="AK21" s="6" t="s">
        <v>100</v>
      </c>
      <c r="AL21" s="6" t="s">
        <v>72</v>
      </c>
      <c r="AM21" s="6" t="s">
        <v>72</v>
      </c>
      <c r="AN21" s="6" t="s">
        <v>72</v>
      </c>
      <c r="AO21" s="33"/>
      <c r="AP21" s="39" t="s">
        <v>75</v>
      </c>
      <c r="AQ21" s="6" t="s">
        <v>101</v>
      </c>
      <c r="AR21" s="6" t="s">
        <v>101</v>
      </c>
      <c r="AS21" s="6" t="s">
        <v>101</v>
      </c>
      <c r="AT21" s="6" t="s">
        <v>76</v>
      </c>
      <c r="AU21" s="33"/>
      <c r="AV21" s="33"/>
      <c r="AW21" s="33"/>
      <c r="AX21" s="6" t="s">
        <v>72</v>
      </c>
      <c r="AY21" s="40" t="s">
        <v>76</v>
      </c>
      <c r="AZ21" s="6" t="s">
        <v>76</v>
      </c>
      <c r="BA21" s="33"/>
      <c r="BB21" s="33">
        <f>VLOOKUP(O21,Eco_DEM_Data!$D$1:$AC$643,20,False)</f>
        <v>2170</v>
      </c>
      <c r="BC21" s="33">
        <f>VLOOKUP($O21,Eco_DEM_Data!$D$1:$AC$643,20,False)</f>
        <v>2170</v>
      </c>
      <c r="BD21" s="33">
        <f>VLOOKUP($O21,Eco_DEM_Data!$D$1:$AC$643,25,False)</f>
        <v>883</v>
      </c>
      <c r="BE21" s="33">
        <f>VLOOKUP($O21,Eco_DEM_Data!$D$1:$AC$643,22,False)</f>
        <v>50</v>
      </c>
      <c r="BF21" s="33">
        <f>VLOOKUP($O21,Eco_DEM_Data!$D$1:$AC$643,23,False)</f>
        <v>177</v>
      </c>
      <c r="BG21" s="33">
        <f>VLOOKUP($O21,Eco_DEM_Data!$D$1:$AC$643,21,False)</f>
        <v>5759</v>
      </c>
      <c r="BH21" s="33">
        <f>VLOOKUP($O21,Eco_DEM_Data!$D$1:$AC$643,26,False)</f>
        <v>188</v>
      </c>
      <c r="BI21" s="33" t="str">
        <f>VLOOKUP($O21,Eco_DEM_Data!$D$1:$AC$643,9,False)</f>
        <v>Petén-Veracruz moist forests</v>
      </c>
      <c r="BJ21" s="33" t="str">
        <f>VLOOKUP($O21,Eco_DEM_Data!$D$1:$AC$643,11,False)</f>
        <v>Tropical &amp; Subtropical Moist Broadleaf Forests</v>
      </c>
    </row>
    <row r="22">
      <c r="A22" s="33" t="s">
        <v>805</v>
      </c>
      <c r="B22" s="33" t="s">
        <v>2258</v>
      </c>
      <c r="C22" s="34">
        <v>12.0</v>
      </c>
      <c r="D22" s="33" t="s">
        <v>53</v>
      </c>
      <c r="E22" s="34">
        <v>1990.0</v>
      </c>
      <c r="F22" s="33" t="s">
        <v>806</v>
      </c>
      <c r="G22" s="33" t="s">
        <v>807</v>
      </c>
      <c r="H22" s="33" t="s">
        <v>732</v>
      </c>
      <c r="I22" s="33" t="s">
        <v>808</v>
      </c>
      <c r="J22" s="33" t="s">
        <v>809</v>
      </c>
      <c r="K22" s="34">
        <v>4.0</v>
      </c>
      <c r="L22" s="34">
        <v>3.0</v>
      </c>
      <c r="M22" s="6" t="s">
        <v>810</v>
      </c>
      <c r="N22" s="35" t="s">
        <v>60</v>
      </c>
      <c r="O22" s="33" t="s">
        <v>849</v>
      </c>
      <c r="P22" s="36" t="s">
        <v>62</v>
      </c>
      <c r="Q22" s="36" t="s">
        <v>167</v>
      </c>
      <c r="R22" s="36" t="s">
        <v>816</v>
      </c>
      <c r="S22" s="37">
        <v>16.8</v>
      </c>
      <c r="T22" s="37">
        <v>-90.033333</v>
      </c>
      <c r="U22" s="36" t="s">
        <v>148</v>
      </c>
      <c r="V22" s="6" t="s">
        <v>80</v>
      </c>
      <c r="W22" s="33" t="s">
        <v>156</v>
      </c>
      <c r="X22" s="1" t="s">
        <v>348</v>
      </c>
      <c r="Y22" s="33" t="s">
        <v>847</v>
      </c>
      <c r="Z22" s="36"/>
      <c r="AA22" s="37">
        <v>1.0</v>
      </c>
      <c r="AB22" s="36"/>
      <c r="AC22" s="37">
        <v>1.0</v>
      </c>
      <c r="AD22" s="36"/>
      <c r="AE22" s="36"/>
      <c r="AF22" s="36"/>
      <c r="AG22" s="36"/>
      <c r="AH22" s="38" t="s">
        <v>72</v>
      </c>
      <c r="AI22" s="37">
        <v>1645.0</v>
      </c>
      <c r="AJ22" s="37">
        <v>1950.0</v>
      </c>
      <c r="AK22" s="6" t="s">
        <v>73</v>
      </c>
      <c r="AL22" s="6" t="s">
        <v>72</v>
      </c>
      <c r="AM22" s="6" t="s">
        <v>72</v>
      </c>
      <c r="AN22" s="6" t="s">
        <v>72</v>
      </c>
      <c r="AO22" s="33"/>
      <c r="AP22" s="39" t="s">
        <v>75</v>
      </c>
      <c r="AQ22" s="6" t="s">
        <v>101</v>
      </c>
      <c r="AR22" s="6" t="s">
        <v>101</v>
      </c>
      <c r="AS22" s="6" t="s">
        <v>101</v>
      </c>
      <c r="AT22" s="6" t="s">
        <v>76</v>
      </c>
      <c r="AU22" s="33"/>
      <c r="AV22" s="33"/>
      <c r="AW22" s="33"/>
      <c r="AX22" s="6" t="s">
        <v>72</v>
      </c>
      <c r="AY22" s="40" t="s">
        <v>76</v>
      </c>
      <c r="AZ22" s="6" t="s">
        <v>76</v>
      </c>
      <c r="BA22" s="33"/>
      <c r="BB22" s="33">
        <f>VLOOKUP(O22,Eco_DEM_Data!$D$1:$AC$643,20,False)</f>
        <v>2162</v>
      </c>
      <c r="BC22" s="33">
        <f>VLOOKUP($O22,Eco_DEM_Data!$D$1:$AC$643,20,False)</f>
        <v>2162</v>
      </c>
      <c r="BD22" s="33">
        <f>VLOOKUP($O22,Eco_DEM_Data!$D$1:$AC$643,25,False)</f>
        <v>878</v>
      </c>
      <c r="BE22" s="33">
        <f>VLOOKUP($O22,Eco_DEM_Data!$D$1:$AC$643,22,False)</f>
        <v>49</v>
      </c>
      <c r="BF22" s="33">
        <f>VLOOKUP($O22,Eco_DEM_Data!$D$1:$AC$643,23,False)</f>
        <v>180</v>
      </c>
      <c r="BG22" s="33">
        <f>VLOOKUP($O22,Eco_DEM_Data!$D$1:$AC$643,21,False)</f>
        <v>5673</v>
      </c>
      <c r="BH22" s="33">
        <f>VLOOKUP($O22,Eco_DEM_Data!$D$1:$AC$643,26,False)</f>
        <v>248</v>
      </c>
      <c r="BI22" s="33" t="str">
        <f>VLOOKUP($O22,Eco_DEM_Data!$D$1:$AC$643,9,False)</f>
        <v>Petén-Veracruz moist forests</v>
      </c>
      <c r="BJ22" s="33" t="str">
        <f>VLOOKUP($O22,Eco_DEM_Data!$D$1:$AC$643,11,False)</f>
        <v>Tropical &amp; Subtropical Moist Broadleaf Forests</v>
      </c>
    </row>
    <row r="23">
      <c r="A23" s="33" t="s">
        <v>1912</v>
      </c>
      <c r="B23" s="33" t="s">
        <v>2259</v>
      </c>
      <c r="C23" s="34">
        <v>3.0</v>
      </c>
      <c r="D23" s="33" t="s">
        <v>268</v>
      </c>
      <c r="E23" s="34">
        <v>1990.0</v>
      </c>
      <c r="F23" s="33" t="s">
        <v>1913</v>
      </c>
      <c r="G23" s="45" t="s">
        <v>1914</v>
      </c>
      <c r="H23" s="46"/>
      <c r="I23" s="33"/>
      <c r="J23" s="33" t="s">
        <v>1915</v>
      </c>
      <c r="K23" s="34">
        <v>33.0</v>
      </c>
      <c r="L23" s="33"/>
      <c r="M23" s="6" t="s">
        <v>1916</v>
      </c>
      <c r="N23" s="35" t="s">
        <v>60</v>
      </c>
      <c r="O23" s="33" t="s">
        <v>1917</v>
      </c>
      <c r="P23" s="36" t="s">
        <v>62</v>
      </c>
      <c r="Q23" s="36" t="s">
        <v>146</v>
      </c>
      <c r="R23" s="36" t="s">
        <v>274</v>
      </c>
      <c r="S23" s="37">
        <v>8.45</v>
      </c>
      <c r="T23" s="37">
        <v>-80.85</v>
      </c>
      <c r="U23" s="36" t="s">
        <v>148</v>
      </c>
      <c r="V23" s="38" t="s">
        <v>66</v>
      </c>
      <c r="W23" s="6" t="s">
        <v>1073</v>
      </c>
      <c r="X23" s="1" t="s">
        <v>364</v>
      </c>
      <c r="Y23" s="6" t="s">
        <v>355</v>
      </c>
      <c r="Z23" s="36"/>
      <c r="AA23" s="37">
        <v>9.0</v>
      </c>
      <c r="AB23" s="36"/>
      <c r="AC23" s="36"/>
      <c r="AD23" s="36"/>
      <c r="AE23" s="36"/>
      <c r="AF23" s="36"/>
      <c r="AG23" s="36"/>
      <c r="AH23" s="38" t="s">
        <v>72</v>
      </c>
      <c r="AI23" s="37">
        <v>-12350.0</v>
      </c>
      <c r="AJ23" s="37">
        <v>1950.0</v>
      </c>
      <c r="AK23" s="6" t="s">
        <v>153</v>
      </c>
      <c r="AL23" s="6" t="s">
        <v>72</v>
      </c>
      <c r="AM23" s="6" t="s">
        <v>72</v>
      </c>
      <c r="AN23" s="6" t="s">
        <v>72</v>
      </c>
      <c r="AO23" s="33"/>
      <c r="AP23" s="6" t="s">
        <v>102</v>
      </c>
      <c r="AQ23" s="33"/>
      <c r="AR23" s="33"/>
      <c r="AS23" s="33"/>
      <c r="AT23" s="6" t="s">
        <v>76</v>
      </c>
      <c r="AU23" s="33"/>
      <c r="AV23" s="33"/>
      <c r="AW23" s="33"/>
      <c r="AX23" s="33"/>
      <c r="AY23" s="40" t="s">
        <v>60</v>
      </c>
      <c r="AZ23" s="6" t="s">
        <v>76</v>
      </c>
      <c r="BA23" s="33"/>
      <c r="BB23" s="33">
        <f>VLOOKUP(O23,Eco_DEM_Data!$D$1:$AC$643,20,False)</f>
        <v>2747</v>
      </c>
      <c r="BC23" s="33">
        <f>VLOOKUP($O23,Eco_DEM_Data!$D$1:$AC$643,20,False)</f>
        <v>2747</v>
      </c>
      <c r="BD23" s="33">
        <f>VLOOKUP($O23,Eco_DEM_Data!$D$1:$AC$643,25,False)</f>
        <v>1232</v>
      </c>
      <c r="BE23" s="33">
        <f>VLOOKUP($O23,Eco_DEM_Data!$D$1:$AC$643,22,False)</f>
        <v>7</v>
      </c>
      <c r="BF23" s="33">
        <f>VLOOKUP($O23,Eco_DEM_Data!$D$1:$AC$643,23,False)</f>
        <v>94</v>
      </c>
      <c r="BG23" s="33">
        <f>VLOOKUP($O23,Eco_DEM_Data!$D$1:$AC$643,21,False)</f>
        <v>7025</v>
      </c>
      <c r="BH23" s="33">
        <f>VLOOKUP($O23,Eco_DEM_Data!$D$1:$AC$643,26,False)</f>
        <v>695</v>
      </c>
      <c r="BI23" s="33" t="str">
        <f>VLOOKUP($O23,Eco_DEM_Data!$D$1:$AC$643,9,False)</f>
        <v>Isthmian-Pacific moist forests</v>
      </c>
      <c r="BJ23" s="33" t="str">
        <f>VLOOKUP($O23,Eco_DEM_Data!$D$1:$AC$643,11,False)</f>
        <v>Tropical &amp; Subtropical Moist Broadleaf Forests</v>
      </c>
    </row>
    <row r="24">
      <c r="A24" s="33" t="s">
        <v>1912</v>
      </c>
      <c r="B24" s="33" t="s">
        <v>2259</v>
      </c>
      <c r="C24" s="34">
        <v>3.0</v>
      </c>
      <c r="D24" s="33" t="s">
        <v>268</v>
      </c>
      <c r="E24" s="34">
        <v>1990.0</v>
      </c>
      <c r="F24" s="33" t="s">
        <v>1913</v>
      </c>
      <c r="G24" s="45" t="s">
        <v>1914</v>
      </c>
      <c r="H24" s="46"/>
      <c r="I24" s="33"/>
      <c r="J24" s="33" t="s">
        <v>1915</v>
      </c>
      <c r="K24" s="34">
        <v>33.0</v>
      </c>
      <c r="L24" s="33"/>
      <c r="M24" s="6" t="s">
        <v>1916</v>
      </c>
      <c r="N24" s="35" t="s">
        <v>60</v>
      </c>
      <c r="O24" s="33" t="s">
        <v>1918</v>
      </c>
      <c r="P24" s="36" t="s">
        <v>62</v>
      </c>
      <c r="Q24" s="36" t="s">
        <v>146</v>
      </c>
      <c r="R24" s="36" t="s">
        <v>274</v>
      </c>
      <c r="S24" s="37">
        <v>8.45</v>
      </c>
      <c r="T24" s="37">
        <v>-80.85</v>
      </c>
      <c r="U24" s="36" t="s">
        <v>148</v>
      </c>
      <c r="V24" s="38" t="s">
        <v>293</v>
      </c>
      <c r="W24" s="6" t="s">
        <v>1073</v>
      </c>
      <c r="X24" s="1" t="s">
        <v>366</v>
      </c>
      <c r="Y24" s="6" t="s">
        <v>355</v>
      </c>
      <c r="Z24" s="36"/>
      <c r="AA24" s="37">
        <v>9.0</v>
      </c>
      <c r="AB24" s="36"/>
      <c r="AC24" s="36"/>
      <c r="AD24" s="36"/>
      <c r="AE24" s="36"/>
      <c r="AF24" s="36"/>
      <c r="AG24" s="36"/>
      <c r="AH24" s="38" t="s">
        <v>72</v>
      </c>
      <c r="AI24" s="37">
        <v>-12350.0</v>
      </c>
      <c r="AJ24" s="37">
        <v>1950.0</v>
      </c>
      <c r="AK24" s="6" t="s">
        <v>153</v>
      </c>
      <c r="AL24" s="6" t="s">
        <v>72</v>
      </c>
      <c r="AM24" s="6" t="s">
        <v>72</v>
      </c>
      <c r="AN24" s="6" t="s">
        <v>72</v>
      </c>
      <c r="AO24" s="33"/>
      <c r="AP24" s="6" t="s">
        <v>102</v>
      </c>
      <c r="AQ24" s="33"/>
      <c r="AR24" s="33"/>
      <c r="AS24" s="33"/>
      <c r="AT24" s="6" t="s">
        <v>76</v>
      </c>
      <c r="AU24" s="33"/>
      <c r="AV24" s="33"/>
      <c r="AW24" s="33"/>
      <c r="AX24" s="33"/>
      <c r="AY24" s="40" t="s">
        <v>60</v>
      </c>
      <c r="AZ24" s="6" t="s">
        <v>76</v>
      </c>
      <c r="BA24" s="33"/>
      <c r="BB24" s="33">
        <f>VLOOKUP(O24,Eco_DEM_Data!$D$1:$AC$643,20,False)</f>
        <v>2747</v>
      </c>
      <c r="BC24" s="33">
        <f>VLOOKUP($O24,Eco_DEM_Data!$D$1:$AC$643,20,False)</f>
        <v>2747</v>
      </c>
      <c r="BD24" s="33">
        <f>VLOOKUP($O24,Eco_DEM_Data!$D$1:$AC$643,25,False)</f>
        <v>1232</v>
      </c>
      <c r="BE24" s="33">
        <f>VLOOKUP($O24,Eco_DEM_Data!$D$1:$AC$643,22,False)</f>
        <v>7</v>
      </c>
      <c r="BF24" s="33">
        <f>VLOOKUP($O24,Eco_DEM_Data!$D$1:$AC$643,23,False)</f>
        <v>94</v>
      </c>
      <c r="BG24" s="33">
        <f>VLOOKUP($O24,Eco_DEM_Data!$D$1:$AC$643,21,False)</f>
        <v>7025</v>
      </c>
      <c r="BH24" s="33">
        <f>VLOOKUP($O24,Eco_DEM_Data!$D$1:$AC$643,26,False)</f>
        <v>695</v>
      </c>
      <c r="BI24" s="33" t="str">
        <f>VLOOKUP($O24,Eco_DEM_Data!$D$1:$AC$643,9,False)</f>
        <v>Isthmian-Pacific moist forests</v>
      </c>
      <c r="BJ24" s="33" t="str">
        <f>VLOOKUP($O24,Eco_DEM_Data!$D$1:$AC$643,11,False)</f>
        <v>Tropical &amp; Subtropical Moist Broadleaf Forests</v>
      </c>
    </row>
    <row r="25">
      <c r="A25" s="33" t="s">
        <v>1912</v>
      </c>
      <c r="B25" s="33" t="s">
        <v>2259</v>
      </c>
      <c r="C25" s="34">
        <v>3.0</v>
      </c>
      <c r="D25" s="33" t="s">
        <v>268</v>
      </c>
      <c r="E25" s="34">
        <v>1990.0</v>
      </c>
      <c r="F25" s="33" t="s">
        <v>1913</v>
      </c>
      <c r="G25" s="45" t="s">
        <v>1914</v>
      </c>
      <c r="H25" s="46"/>
      <c r="I25" s="33"/>
      <c r="J25" s="33" t="s">
        <v>1915</v>
      </c>
      <c r="K25" s="34">
        <v>33.0</v>
      </c>
      <c r="L25" s="33"/>
      <c r="M25" s="6" t="s">
        <v>1916</v>
      </c>
      <c r="N25" s="35" t="s">
        <v>60</v>
      </c>
      <c r="O25" s="33" t="s">
        <v>1919</v>
      </c>
      <c r="P25" s="36" t="s">
        <v>62</v>
      </c>
      <c r="Q25" s="36" t="s">
        <v>146</v>
      </c>
      <c r="R25" s="36" t="s">
        <v>274</v>
      </c>
      <c r="S25" s="37">
        <v>8.45</v>
      </c>
      <c r="T25" s="37">
        <v>-80.85</v>
      </c>
      <c r="U25" s="36" t="s">
        <v>148</v>
      </c>
      <c r="V25" s="6" t="s">
        <v>80</v>
      </c>
      <c r="W25" s="6" t="s">
        <v>1073</v>
      </c>
      <c r="X25" s="3" t="s">
        <v>72</v>
      </c>
      <c r="Y25" s="6" t="s">
        <v>355</v>
      </c>
      <c r="Z25" s="36"/>
      <c r="AA25" s="37">
        <v>9.0</v>
      </c>
      <c r="AB25" s="36"/>
      <c r="AC25" s="36"/>
      <c r="AD25" s="36"/>
      <c r="AE25" s="36"/>
      <c r="AF25" s="36"/>
      <c r="AG25" s="36"/>
      <c r="AH25" s="38" t="s">
        <v>72</v>
      </c>
      <c r="AI25" s="37">
        <v>-12350.0</v>
      </c>
      <c r="AJ25" s="37">
        <v>-6500.0</v>
      </c>
      <c r="AK25" s="6" t="s">
        <v>153</v>
      </c>
      <c r="AL25" s="6" t="s">
        <v>72</v>
      </c>
      <c r="AM25" s="6" t="s">
        <v>72</v>
      </c>
      <c r="AN25" s="6" t="s">
        <v>72</v>
      </c>
      <c r="AO25" s="33"/>
      <c r="AP25" s="6" t="s">
        <v>102</v>
      </c>
      <c r="AQ25" s="33"/>
      <c r="AR25" s="33"/>
      <c r="AS25" s="33"/>
      <c r="AT25" s="6" t="s">
        <v>76</v>
      </c>
      <c r="AU25" s="33"/>
      <c r="AV25" s="33"/>
      <c r="AW25" s="33"/>
      <c r="AX25" s="33"/>
      <c r="AY25" s="40" t="s">
        <v>60</v>
      </c>
      <c r="AZ25" s="6" t="s">
        <v>76</v>
      </c>
      <c r="BA25" s="33"/>
      <c r="BB25" s="33">
        <f>VLOOKUP(O25,Eco_DEM_Data!$D$1:$AC$643,20,False)</f>
        <v>2747</v>
      </c>
      <c r="BC25" s="33">
        <f>VLOOKUP($O25,Eco_DEM_Data!$D$1:$AC$643,20,False)</f>
        <v>2747</v>
      </c>
      <c r="BD25" s="33">
        <f>VLOOKUP($O25,Eco_DEM_Data!$D$1:$AC$643,25,False)</f>
        <v>1232</v>
      </c>
      <c r="BE25" s="33">
        <f>VLOOKUP($O25,Eco_DEM_Data!$D$1:$AC$643,22,False)</f>
        <v>7</v>
      </c>
      <c r="BF25" s="33">
        <f>VLOOKUP($O25,Eco_DEM_Data!$D$1:$AC$643,23,False)</f>
        <v>94</v>
      </c>
      <c r="BG25" s="33">
        <f>VLOOKUP($O25,Eco_DEM_Data!$D$1:$AC$643,21,False)</f>
        <v>7025</v>
      </c>
      <c r="BH25" s="33">
        <f>VLOOKUP($O25,Eco_DEM_Data!$D$1:$AC$643,26,False)</f>
        <v>695</v>
      </c>
      <c r="BI25" s="33" t="str">
        <f>VLOOKUP($O25,Eco_DEM_Data!$D$1:$AC$643,9,False)</f>
        <v>Isthmian-Pacific moist forests</v>
      </c>
      <c r="BJ25" s="33" t="str">
        <f>VLOOKUP($O25,Eco_DEM_Data!$D$1:$AC$643,11,False)</f>
        <v>Tropical &amp; Subtropical Moist Broadleaf Forests</v>
      </c>
    </row>
    <row r="26">
      <c r="A26" s="33" t="s">
        <v>356</v>
      </c>
      <c r="B26" s="33" t="s">
        <v>2259</v>
      </c>
      <c r="C26" s="34">
        <v>4.0</v>
      </c>
      <c r="D26" s="33" t="s">
        <v>53</v>
      </c>
      <c r="E26" s="34">
        <v>1991.0</v>
      </c>
      <c r="F26" s="33" t="s">
        <v>357</v>
      </c>
      <c r="G26" s="33" t="s">
        <v>358</v>
      </c>
      <c r="H26" s="33" t="s">
        <v>359</v>
      </c>
      <c r="I26" s="33" t="s">
        <v>360</v>
      </c>
      <c r="J26" s="33" t="s">
        <v>361</v>
      </c>
      <c r="K26" s="34">
        <v>6.0</v>
      </c>
      <c r="L26" s="34">
        <v>3.0</v>
      </c>
      <c r="M26" s="6" t="s">
        <v>362</v>
      </c>
      <c r="N26" s="35" t="s">
        <v>60</v>
      </c>
      <c r="O26" s="33" t="s">
        <v>363</v>
      </c>
      <c r="P26" s="36" t="s">
        <v>62</v>
      </c>
      <c r="Q26" s="36" t="s">
        <v>146</v>
      </c>
      <c r="R26" s="36" t="s">
        <v>274</v>
      </c>
      <c r="S26" s="37">
        <v>8.45</v>
      </c>
      <c r="T26" s="37">
        <v>-80.85</v>
      </c>
      <c r="U26" s="36" t="s">
        <v>148</v>
      </c>
      <c r="V26" s="38" t="s">
        <v>66</v>
      </c>
      <c r="W26" s="6" t="s">
        <v>1073</v>
      </c>
      <c r="X26" s="1" t="s">
        <v>364</v>
      </c>
      <c r="Y26" s="6" t="s">
        <v>355</v>
      </c>
      <c r="Z26" s="36"/>
      <c r="AA26" s="37">
        <v>12.0</v>
      </c>
      <c r="AB26" s="36"/>
      <c r="AC26" s="36"/>
      <c r="AD26" s="36"/>
      <c r="AE26" s="36"/>
      <c r="AF26" s="36"/>
      <c r="AG26" s="36"/>
      <c r="AH26" s="38" t="s">
        <v>72</v>
      </c>
      <c r="AI26" s="37">
        <v>-12350.0</v>
      </c>
      <c r="AJ26" s="37">
        <v>1950.0</v>
      </c>
      <c r="AK26" s="6" t="s">
        <v>153</v>
      </c>
      <c r="AL26" s="6" t="s">
        <v>72</v>
      </c>
      <c r="AM26" s="6" t="s">
        <v>72</v>
      </c>
      <c r="AN26" s="6" t="s">
        <v>72</v>
      </c>
      <c r="AO26" s="33"/>
      <c r="AP26" s="6" t="s">
        <v>102</v>
      </c>
      <c r="AQ26" s="33"/>
      <c r="AR26" s="33"/>
      <c r="AS26" s="33"/>
      <c r="AT26" s="6" t="s">
        <v>76</v>
      </c>
      <c r="AU26" s="33"/>
      <c r="AV26" s="33"/>
      <c r="AW26" s="33"/>
      <c r="AX26" s="33"/>
      <c r="AY26" s="40" t="s">
        <v>60</v>
      </c>
      <c r="AZ26" s="6" t="s">
        <v>76</v>
      </c>
      <c r="BA26" s="33"/>
      <c r="BB26" s="33">
        <f>VLOOKUP(O26,Eco_DEM_Data!$D$1:$AC$643,20,False)</f>
        <v>2747</v>
      </c>
      <c r="BC26" s="33">
        <f>VLOOKUP($O26,Eco_DEM_Data!$D$1:$AC$643,20,False)</f>
        <v>2747</v>
      </c>
      <c r="BD26" s="33">
        <f>VLOOKUP($O26,Eco_DEM_Data!$D$1:$AC$643,25,False)</f>
        <v>1232</v>
      </c>
      <c r="BE26" s="33">
        <f>VLOOKUP($O26,Eco_DEM_Data!$D$1:$AC$643,22,False)</f>
        <v>7</v>
      </c>
      <c r="BF26" s="33">
        <f>VLOOKUP($O26,Eco_DEM_Data!$D$1:$AC$643,23,False)</f>
        <v>94</v>
      </c>
      <c r="BG26" s="33">
        <f>VLOOKUP($O26,Eco_DEM_Data!$D$1:$AC$643,21,False)</f>
        <v>7025</v>
      </c>
      <c r="BH26" s="33">
        <f>VLOOKUP($O26,Eco_DEM_Data!$D$1:$AC$643,26,False)</f>
        <v>695</v>
      </c>
      <c r="BI26" s="33" t="str">
        <f>VLOOKUP($O26,Eco_DEM_Data!$D$1:$AC$643,9,False)</f>
        <v>Isthmian-Pacific moist forests</v>
      </c>
      <c r="BJ26" s="33" t="str">
        <f>VLOOKUP($O26,Eco_DEM_Data!$D$1:$AC$643,11,False)</f>
        <v>Tropical &amp; Subtropical Moist Broadleaf Forests</v>
      </c>
    </row>
    <row r="27">
      <c r="A27" s="33" t="s">
        <v>356</v>
      </c>
      <c r="B27" s="33" t="s">
        <v>2259</v>
      </c>
      <c r="C27" s="34">
        <v>4.0</v>
      </c>
      <c r="D27" s="33" t="s">
        <v>53</v>
      </c>
      <c r="E27" s="34">
        <v>1991.0</v>
      </c>
      <c r="F27" s="33" t="s">
        <v>357</v>
      </c>
      <c r="G27" s="33" t="s">
        <v>358</v>
      </c>
      <c r="H27" s="33" t="s">
        <v>359</v>
      </c>
      <c r="I27" s="33" t="s">
        <v>360</v>
      </c>
      <c r="J27" s="33" t="s">
        <v>361</v>
      </c>
      <c r="K27" s="34">
        <v>6.0</v>
      </c>
      <c r="L27" s="34">
        <v>3.0</v>
      </c>
      <c r="M27" s="6" t="s">
        <v>362</v>
      </c>
      <c r="N27" s="35" t="s">
        <v>60</v>
      </c>
      <c r="O27" s="33" t="s">
        <v>365</v>
      </c>
      <c r="P27" s="36" t="s">
        <v>62</v>
      </c>
      <c r="Q27" s="36" t="s">
        <v>146</v>
      </c>
      <c r="R27" s="36" t="s">
        <v>274</v>
      </c>
      <c r="S27" s="37">
        <v>8.45</v>
      </c>
      <c r="T27" s="37">
        <v>-80.85</v>
      </c>
      <c r="U27" s="36" t="s">
        <v>148</v>
      </c>
      <c r="V27" s="38" t="s">
        <v>293</v>
      </c>
      <c r="W27" s="6" t="s">
        <v>1073</v>
      </c>
      <c r="X27" s="1" t="s">
        <v>366</v>
      </c>
      <c r="Y27" s="6" t="s">
        <v>355</v>
      </c>
      <c r="Z27" s="36"/>
      <c r="AA27" s="37">
        <v>12.0</v>
      </c>
      <c r="AB27" s="36"/>
      <c r="AC27" s="36"/>
      <c r="AD27" s="36"/>
      <c r="AE27" s="36"/>
      <c r="AF27" s="36"/>
      <c r="AG27" s="36"/>
      <c r="AH27" s="38" t="s">
        <v>72</v>
      </c>
      <c r="AI27" s="37">
        <v>-12350.0</v>
      </c>
      <c r="AJ27" s="37">
        <v>1950.0</v>
      </c>
      <c r="AK27" s="6" t="s">
        <v>153</v>
      </c>
      <c r="AL27" s="6" t="s">
        <v>72</v>
      </c>
      <c r="AM27" s="6" t="s">
        <v>72</v>
      </c>
      <c r="AN27" s="6" t="s">
        <v>72</v>
      </c>
      <c r="AO27" s="33"/>
      <c r="AP27" s="6" t="s">
        <v>102</v>
      </c>
      <c r="AQ27" s="33"/>
      <c r="AR27" s="33"/>
      <c r="AS27" s="33"/>
      <c r="AT27" s="6" t="s">
        <v>76</v>
      </c>
      <c r="AU27" s="33"/>
      <c r="AV27" s="33"/>
      <c r="AW27" s="33"/>
      <c r="AX27" s="33"/>
      <c r="AY27" s="40" t="s">
        <v>60</v>
      </c>
      <c r="AZ27" s="6" t="s">
        <v>76</v>
      </c>
      <c r="BA27" s="33"/>
      <c r="BB27" s="33">
        <f>VLOOKUP(O27,Eco_DEM_Data!$D$1:$AC$643,20,False)</f>
        <v>2747</v>
      </c>
      <c r="BC27" s="33">
        <f>VLOOKUP($O27,Eco_DEM_Data!$D$1:$AC$643,20,False)</f>
        <v>2747</v>
      </c>
      <c r="BD27" s="33">
        <f>VLOOKUP($O27,Eco_DEM_Data!$D$1:$AC$643,25,False)</f>
        <v>1232</v>
      </c>
      <c r="BE27" s="33">
        <f>VLOOKUP($O27,Eco_DEM_Data!$D$1:$AC$643,22,False)</f>
        <v>7</v>
      </c>
      <c r="BF27" s="33">
        <f>VLOOKUP($O27,Eco_DEM_Data!$D$1:$AC$643,23,False)</f>
        <v>94</v>
      </c>
      <c r="BG27" s="33">
        <f>VLOOKUP($O27,Eco_DEM_Data!$D$1:$AC$643,21,False)</f>
        <v>7025</v>
      </c>
      <c r="BH27" s="33">
        <f>VLOOKUP($O27,Eco_DEM_Data!$D$1:$AC$643,26,False)</f>
        <v>695</v>
      </c>
      <c r="BI27" s="33" t="str">
        <f>VLOOKUP($O27,Eco_DEM_Data!$D$1:$AC$643,9,False)</f>
        <v>Isthmian-Pacific moist forests</v>
      </c>
      <c r="BJ27" s="33" t="str">
        <f>VLOOKUP($O27,Eco_DEM_Data!$D$1:$AC$643,11,False)</f>
        <v>Tropical &amp; Subtropical Moist Broadleaf Forests</v>
      </c>
    </row>
    <row r="28">
      <c r="A28" s="33" t="s">
        <v>356</v>
      </c>
      <c r="B28" s="33" t="s">
        <v>2259</v>
      </c>
      <c r="C28" s="34">
        <v>4.0</v>
      </c>
      <c r="D28" s="33" t="s">
        <v>53</v>
      </c>
      <c r="E28" s="34">
        <v>1991.0</v>
      </c>
      <c r="F28" s="33" t="s">
        <v>357</v>
      </c>
      <c r="G28" s="33" t="s">
        <v>358</v>
      </c>
      <c r="H28" s="33" t="s">
        <v>359</v>
      </c>
      <c r="I28" s="33" t="s">
        <v>360</v>
      </c>
      <c r="J28" s="33" t="s">
        <v>361</v>
      </c>
      <c r="K28" s="34">
        <v>6.0</v>
      </c>
      <c r="L28" s="34">
        <v>3.0</v>
      </c>
      <c r="M28" s="6" t="s">
        <v>362</v>
      </c>
      <c r="N28" s="35" t="s">
        <v>60</v>
      </c>
      <c r="O28" s="33" t="s">
        <v>367</v>
      </c>
      <c r="P28" s="36" t="s">
        <v>62</v>
      </c>
      <c r="Q28" s="36" t="s">
        <v>146</v>
      </c>
      <c r="R28" s="36" t="s">
        <v>274</v>
      </c>
      <c r="S28" s="37">
        <v>8.45</v>
      </c>
      <c r="T28" s="37">
        <v>-80.85</v>
      </c>
      <c r="U28" s="36" t="s">
        <v>148</v>
      </c>
      <c r="V28" s="6" t="s">
        <v>80</v>
      </c>
      <c r="W28" s="33" t="s">
        <v>156</v>
      </c>
      <c r="X28" s="3" t="s">
        <v>72</v>
      </c>
      <c r="Y28" s="6" t="s">
        <v>355</v>
      </c>
      <c r="Z28" s="36"/>
      <c r="AA28" s="37">
        <v>12.0</v>
      </c>
      <c r="AB28" s="36"/>
      <c r="AC28" s="36"/>
      <c r="AD28" s="36"/>
      <c r="AE28" s="36"/>
      <c r="AF28" s="36"/>
      <c r="AG28" s="36"/>
      <c r="AH28" s="38" t="s">
        <v>72</v>
      </c>
      <c r="AI28" s="37">
        <v>-12350.0</v>
      </c>
      <c r="AJ28" s="37">
        <v>1950.0</v>
      </c>
      <c r="AK28" s="6" t="s">
        <v>153</v>
      </c>
      <c r="AL28" s="6" t="s">
        <v>72</v>
      </c>
      <c r="AM28" s="6" t="s">
        <v>72</v>
      </c>
      <c r="AN28" s="6" t="s">
        <v>72</v>
      </c>
      <c r="AO28" s="33"/>
      <c r="AP28" s="6" t="s">
        <v>102</v>
      </c>
      <c r="AQ28" s="33"/>
      <c r="AR28" s="33"/>
      <c r="AS28" s="33"/>
      <c r="AT28" s="6" t="s">
        <v>76</v>
      </c>
      <c r="AU28" s="33"/>
      <c r="AV28" s="33"/>
      <c r="AW28" s="33"/>
      <c r="AX28" s="33"/>
      <c r="AY28" s="40" t="s">
        <v>60</v>
      </c>
      <c r="AZ28" s="6" t="s">
        <v>76</v>
      </c>
      <c r="BA28" s="33"/>
      <c r="BB28" s="33">
        <f>VLOOKUP(O28,Eco_DEM_Data!$D$1:$AC$643,20,False)</f>
        <v>2747</v>
      </c>
      <c r="BC28" s="33">
        <f>VLOOKUP($O28,Eco_DEM_Data!$D$1:$AC$643,20,False)</f>
        <v>2747</v>
      </c>
      <c r="BD28" s="33">
        <f>VLOOKUP($O28,Eco_DEM_Data!$D$1:$AC$643,25,False)</f>
        <v>1232</v>
      </c>
      <c r="BE28" s="33">
        <f>VLOOKUP($O28,Eco_DEM_Data!$D$1:$AC$643,22,False)</f>
        <v>7</v>
      </c>
      <c r="BF28" s="33">
        <f>VLOOKUP($O28,Eco_DEM_Data!$D$1:$AC$643,23,False)</f>
        <v>94</v>
      </c>
      <c r="BG28" s="33">
        <f>VLOOKUP($O28,Eco_DEM_Data!$D$1:$AC$643,21,False)</f>
        <v>7025</v>
      </c>
      <c r="BH28" s="33">
        <f>VLOOKUP($O28,Eco_DEM_Data!$D$1:$AC$643,26,False)</f>
        <v>695</v>
      </c>
      <c r="BI28" s="33" t="str">
        <f>VLOOKUP($O28,Eco_DEM_Data!$D$1:$AC$643,9,False)</f>
        <v>Isthmian-Pacific moist forests</v>
      </c>
      <c r="BJ28" s="33" t="str">
        <f>VLOOKUP($O28,Eco_DEM_Data!$D$1:$AC$643,11,False)</f>
        <v>Tropical &amp; Subtropical Moist Broadleaf Forests</v>
      </c>
    </row>
    <row r="29">
      <c r="A29" s="33" t="s">
        <v>356</v>
      </c>
      <c r="B29" s="33" t="s">
        <v>2259</v>
      </c>
      <c r="C29" s="34">
        <v>4.0</v>
      </c>
      <c r="D29" s="33" t="s">
        <v>53</v>
      </c>
      <c r="E29" s="34">
        <v>1991.0</v>
      </c>
      <c r="F29" s="33" t="s">
        <v>357</v>
      </c>
      <c r="G29" s="33" t="s">
        <v>358</v>
      </c>
      <c r="H29" s="33" t="s">
        <v>359</v>
      </c>
      <c r="I29" s="33" t="s">
        <v>360</v>
      </c>
      <c r="J29" s="33" t="s">
        <v>361</v>
      </c>
      <c r="K29" s="34">
        <v>6.0</v>
      </c>
      <c r="L29" s="34">
        <v>3.0</v>
      </c>
      <c r="M29" s="6" t="s">
        <v>362</v>
      </c>
      <c r="N29" s="35" t="s">
        <v>60</v>
      </c>
      <c r="O29" s="33" t="s">
        <v>368</v>
      </c>
      <c r="P29" s="36" t="s">
        <v>62</v>
      </c>
      <c r="Q29" s="36" t="s">
        <v>146</v>
      </c>
      <c r="R29" s="36" t="s">
        <v>274</v>
      </c>
      <c r="S29" s="37">
        <v>8.45</v>
      </c>
      <c r="T29" s="37">
        <v>-80.85</v>
      </c>
      <c r="U29" s="36" t="s">
        <v>148</v>
      </c>
      <c r="V29" s="6" t="s">
        <v>321</v>
      </c>
      <c r="W29" s="33" t="s">
        <v>156</v>
      </c>
      <c r="X29" s="3" t="s">
        <v>72</v>
      </c>
      <c r="Y29" s="6" t="s">
        <v>355</v>
      </c>
      <c r="Z29" s="36"/>
      <c r="AA29" s="37">
        <v>12.0</v>
      </c>
      <c r="AB29" s="36"/>
      <c r="AC29" s="36"/>
      <c r="AD29" s="36"/>
      <c r="AE29" s="36"/>
      <c r="AF29" s="36"/>
      <c r="AG29" s="36"/>
      <c r="AH29" s="38" t="s">
        <v>72</v>
      </c>
      <c r="AI29" s="37">
        <v>-12350.0</v>
      </c>
      <c r="AJ29" s="37">
        <v>1950.0</v>
      </c>
      <c r="AK29" s="6" t="s">
        <v>153</v>
      </c>
      <c r="AL29" s="6" t="s">
        <v>72</v>
      </c>
      <c r="AM29" s="6" t="s">
        <v>72</v>
      </c>
      <c r="AN29" s="6" t="s">
        <v>72</v>
      </c>
      <c r="AO29" s="33"/>
      <c r="AP29" s="6" t="s">
        <v>102</v>
      </c>
      <c r="AQ29" s="33"/>
      <c r="AR29" s="33"/>
      <c r="AS29" s="33"/>
      <c r="AT29" s="6" t="s">
        <v>76</v>
      </c>
      <c r="AU29" s="33"/>
      <c r="AV29" s="33"/>
      <c r="AW29" s="33"/>
      <c r="AX29" s="33"/>
      <c r="AY29" s="40" t="s">
        <v>60</v>
      </c>
      <c r="AZ29" s="6" t="s">
        <v>76</v>
      </c>
      <c r="BA29" s="33"/>
      <c r="BB29" s="33">
        <f>VLOOKUP(O29,Eco_DEM_Data!$D$1:$AC$643,20,False)</f>
        <v>2747</v>
      </c>
      <c r="BC29" s="33">
        <f>VLOOKUP($O29,Eco_DEM_Data!$D$1:$AC$643,20,False)</f>
        <v>2747</v>
      </c>
      <c r="BD29" s="33">
        <f>VLOOKUP($O29,Eco_DEM_Data!$D$1:$AC$643,25,False)</f>
        <v>1232</v>
      </c>
      <c r="BE29" s="33">
        <f>VLOOKUP($O29,Eco_DEM_Data!$D$1:$AC$643,22,False)</f>
        <v>7</v>
      </c>
      <c r="BF29" s="33">
        <f>VLOOKUP($O29,Eco_DEM_Data!$D$1:$AC$643,23,False)</f>
        <v>94</v>
      </c>
      <c r="BG29" s="33">
        <f>VLOOKUP($O29,Eco_DEM_Data!$D$1:$AC$643,21,False)</f>
        <v>7025</v>
      </c>
      <c r="BH29" s="33">
        <f>VLOOKUP($O29,Eco_DEM_Data!$D$1:$AC$643,26,False)</f>
        <v>695</v>
      </c>
      <c r="BI29" s="33" t="str">
        <f>VLOOKUP($O29,Eco_DEM_Data!$D$1:$AC$643,9,False)</f>
        <v>Isthmian-Pacific moist forests</v>
      </c>
      <c r="BJ29" s="33" t="str">
        <f>VLOOKUP($O29,Eco_DEM_Data!$D$1:$AC$643,11,False)</f>
        <v>Tropical &amp; Subtropical Moist Broadleaf Forests</v>
      </c>
    </row>
    <row r="30">
      <c r="A30" s="33" t="s">
        <v>267</v>
      </c>
      <c r="B30" s="33" t="s">
        <v>2258</v>
      </c>
      <c r="C30" s="34">
        <v>5.0</v>
      </c>
      <c r="D30" s="33" t="s">
        <v>268</v>
      </c>
      <c r="E30" s="34">
        <v>1992.0</v>
      </c>
      <c r="F30" s="33" t="s">
        <v>269</v>
      </c>
      <c r="G30" s="45" t="s">
        <v>270</v>
      </c>
      <c r="H30" s="46"/>
      <c r="I30" s="33"/>
      <c r="J30" s="33" t="s">
        <v>271</v>
      </c>
      <c r="K30" s="34">
        <v>62.0</v>
      </c>
      <c r="L30" s="33"/>
      <c r="M30" s="6" t="s">
        <v>272</v>
      </c>
      <c r="N30" s="35" t="s">
        <v>60</v>
      </c>
      <c r="O30" s="33" t="s">
        <v>289</v>
      </c>
      <c r="P30" s="36" t="s">
        <v>62</v>
      </c>
      <c r="Q30" s="36" t="s">
        <v>146</v>
      </c>
      <c r="R30" s="36" t="s">
        <v>274</v>
      </c>
      <c r="S30" s="37">
        <v>8.45</v>
      </c>
      <c r="T30" s="37">
        <v>-80.85</v>
      </c>
      <c r="U30" s="36" t="s">
        <v>148</v>
      </c>
      <c r="V30" s="38" t="s">
        <v>149</v>
      </c>
      <c r="W30" s="33" t="s">
        <v>150</v>
      </c>
      <c r="X30" s="1" t="s">
        <v>290</v>
      </c>
      <c r="Y30" s="33" t="s">
        <v>70</v>
      </c>
      <c r="Z30" s="36"/>
      <c r="AA30" s="37">
        <v>12.0</v>
      </c>
      <c r="AB30" s="36"/>
      <c r="AC30" s="36"/>
      <c r="AD30" s="36"/>
      <c r="AE30" s="36"/>
      <c r="AF30" s="36"/>
      <c r="AG30" s="36"/>
      <c r="AH30" s="38" t="s">
        <v>72</v>
      </c>
      <c r="AI30" s="37">
        <v>-12350.0</v>
      </c>
      <c r="AJ30" s="37">
        <v>1950.0</v>
      </c>
      <c r="AK30" s="6" t="s">
        <v>153</v>
      </c>
      <c r="AL30" s="6" t="s">
        <v>60</v>
      </c>
      <c r="AM30" s="6" t="s">
        <v>72</v>
      </c>
      <c r="AN30" s="6" t="s">
        <v>72</v>
      </c>
      <c r="AO30" s="33" t="s">
        <v>280</v>
      </c>
      <c r="AP30" s="6" t="s">
        <v>102</v>
      </c>
      <c r="AQ30" s="33"/>
      <c r="AR30" s="33"/>
      <c r="AS30" s="33"/>
      <c r="AT30" s="6" t="s">
        <v>76</v>
      </c>
      <c r="AU30" s="33"/>
      <c r="AV30" s="33"/>
      <c r="AW30" s="33"/>
      <c r="AX30" s="33"/>
      <c r="AY30" s="40" t="s">
        <v>60</v>
      </c>
      <c r="AZ30" s="6" t="s">
        <v>76</v>
      </c>
      <c r="BA30" s="33"/>
      <c r="BB30" s="33">
        <f>VLOOKUP(O30,Eco_DEM_Data!$D$1:$AC$643,20,False)</f>
        <v>2747</v>
      </c>
      <c r="BC30" s="33">
        <f>VLOOKUP($O30,Eco_DEM_Data!$D$1:$AC$643,20,False)</f>
        <v>2747</v>
      </c>
      <c r="BD30" s="33">
        <f>VLOOKUP($O30,Eco_DEM_Data!$D$1:$AC$643,25,False)</f>
        <v>1232</v>
      </c>
      <c r="BE30" s="33">
        <f>VLOOKUP($O30,Eco_DEM_Data!$D$1:$AC$643,22,False)</f>
        <v>7</v>
      </c>
      <c r="BF30" s="33">
        <f>VLOOKUP($O30,Eco_DEM_Data!$D$1:$AC$643,23,False)</f>
        <v>94</v>
      </c>
      <c r="BG30" s="33">
        <f>VLOOKUP($O30,Eco_DEM_Data!$D$1:$AC$643,21,False)</f>
        <v>7025</v>
      </c>
      <c r="BH30" s="33">
        <f>VLOOKUP($O30,Eco_DEM_Data!$D$1:$AC$643,26,False)</f>
        <v>695</v>
      </c>
      <c r="BI30" s="33" t="str">
        <f>VLOOKUP($O30,Eco_DEM_Data!$D$1:$AC$643,9,False)</f>
        <v>Isthmian-Pacific moist forests</v>
      </c>
      <c r="BJ30" s="33" t="str">
        <f>VLOOKUP($O30,Eco_DEM_Data!$D$1:$AC$643,11,False)</f>
        <v>Tropical &amp; Subtropical Moist Broadleaf Forests</v>
      </c>
    </row>
    <row r="31">
      <c r="A31" s="33" t="s">
        <v>267</v>
      </c>
      <c r="B31" s="33" t="s">
        <v>2258</v>
      </c>
      <c r="C31" s="34">
        <v>5.0</v>
      </c>
      <c r="D31" s="33" t="s">
        <v>268</v>
      </c>
      <c r="E31" s="34">
        <v>1992.0</v>
      </c>
      <c r="F31" s="33" t="s">
        <v>269</v>
      </c>
      <c r="G31" s="45" t="s">
        <v>270</v>
      </c>
      <c r="H31" s="46"/>
      <c r="I31" s="33"/>
      <c r="J31" s="33" t="s">
        <v>271</v>
      </c>
      <c r="K31" s="34">
        <v>62.0</v>
      </c>
      <c r="L31" s="33"/>
      <c r="M31" s="6" t="s">
        <v>272</v>
      </c>
      <c r="N31" s="35" t="s">
        <v>60</v>
      </c>
      <c r="O31" s="33" t="s">
        <v>292</v>
      </c>
      <c r="P31" s="36" t="s">
        <v>62</v>
      </c>
      <c r="Q31" s="36" t="s">
        <v>146</v>
      </c>
      <c r="R31" s="36" t="s">
        <v>274</v>
      </c>
      <c r="S31" s="37">
        <v>8.45</v>
      </c>
      <c r="T31" s="37">
        <v>-80.85</v>
      </c>
      <c r="U31" s="36" t="s">
        <v>148</v>
      </c>
      <c r="V31" s="38" t="s">
        <v>293</v>
      </c>
      <c r="W31" s="5" t="s">
        <v>294</v>
      </c>
      <c r="X31" s="7" t="s">
        <v>295</v>
      </c>
      <c r="Y31" s="41" t="s">
        <v>70</v>
      </c>
      <c r="Z31" s="43"/>
      <c r="AA31" s="42">
        <v>12.0</v>
      </c>
      <c r="AB31" s="43"/>
      <c r="AC31" s="43"/>
      <c r="AD31" s="43"/>
      <c r="AE31" s="43"/>
      <c r="AF31" s="43"/>
      <c r="AG31" s="43"/>
      <c r="AH31" s="38" t="s">
        <v>72</v>
      </c>
      <c r="AI31" s="42">
        <v>-12350.0</v>
      </c>
      <c r="AJ31" s="42">
        <v>1950.0</v>
      </c>
      <c r="AK31" s="5" t="s">
        <v>153</v>
      </c>
      <c r="AL31" s="5" t="s">
        <v>60</v>
      </c>
      <c r="AM31" s="5" t="s">
        <v>72</v>
      </c>
      <c r="AN31" s="5" t="s">
        <v>72</v>
      </c>
      <c r="AO31" s="41" t="s">
        <v>280</v>
      </c>
      <c r="AP31" s="5" t="s">
        <v>102</v>
      </c>
      <c r="AQ31" s="41"/>
      <c r="AR31" s="41"/>
      <c r="AS31" s="41"/>
      <c r="AT31" s="5" t="s">
        <v>60</v>
      </c>
      <c r="AU31" s="33"/>
      <c r="AV31" s="33"/>
      <c r="AW31" s="33"/>
      <c r="AX31" s="33"/>
      <c r="AY31" s="40" t="s">
        <v>60</v>
      </c>
      <c r="AZ31" s="6" t="s">
        <v>76</v>
      </c>
      <c r="BA31" s="33"/>
      <c r="BB31" s="33">
        <f>VLOOKUP(O31,Eco_DEM_Data!$D$1:$AC$643,20,False)</f>
        <v>2747</v>
      </c>
      <c r="BC31" s="33">
        <f>VLOOKUP($O31,Eco_DEM_Data!$D$1:$AC$643,20,False)</f>
        <v>2747</v>
      </c>
      <c r="BD31" s="33">
        <f>VLOOKUP($O31,Eco_DEM_Data!$D$1:$AC$643,25,False)</f>
        <v>1232</v>
      </c>
      <c r="BE31" s="33">
        <f>VLOOKUP($O31,Eco_DEM_Data!$D$1:$AC$643,22,False)</f>
        <v>7</v>
      </c>
      <c r="BF31" s="33">
        <f>VLOOKUP($O31,Eco_DEM_Data!$D$1:$AC$643,23,False)</f>
        <v>94</v>
      </c>
      <c r="BG31" s="33">
        <f>VLOOKUP($O31,Eco_DEM_Data!$D$1:$AC$643,21,False)</f>
        <v>7025</v>
      </c>
      <c r="BH31" s="33">
        <f>VLOOKUP($O31,Eco_DEM_Data!$D$1:$AC$643,26,False)</f>
        <v>695</v>
      </c>
      <c r="BI31" s="33" t="str">
        <f>VLOOKUP($O31,Eco_DEM_Data!$D$1:$AC$643,9,False)</f>
        <v>Isthmian-Pacific moist forests</v>
      </c>
      <c r="BJ31" s="33" t="str">
        <f>VLOOKUP($O31,Eco_DEM_Data!$D$1:$AC$643,11,False)</f>
        <v>Tropical &amp; Subtropical Moist Broadleaf Forests</v>
      </c>
    </row>
    <row r="32">
      <c r="A32" s="33" t="s">
        <v>267</v>
      </c>
      <c r="B32" s="33" t="s">
        <v>2258</v>
      </c>
      <c r="C32" s="34">
        <v>5.0</v>
      </c>
      <c r="D32" s="33" t="s">
        <v>268</v>
      </c>
      <c r="E32" s="34">
        <v>1992.0</v>
      </c>
      <c r="F32" s="33" t="s">
        <v>269</v>
      </c>
      <c r="G32" s="45" t="s">
        <v>270</v>
      </c>
      <c r="H32" s="46"/>
      <c r="I32" s="33"/>
      <c r="J32" s="33" t="s">
        <v>271</v>
      </c>
      <c r="K32" s="34">
        <v>62.0</v>
      </c>
      <c r="L32" s="33"/>
      <c r="M32" s="6" t="s">
        <v>272</v>
      </c>
      <c r="N32" s="35" t="s">
        <v>60</v>
      </c>
      <c r="O32" s="33" t="s">
        <v>273</v>
      </c>
      <c r="P32" s="36" t="s">
        <v>62</v>
      </c>
      <c r="Q32" s="36" t="s">
        <v>146</v>
      </c>
      <c r="R32" s="36" t="s">
        <v>274</v>
      </c>
      <c r="S32" s="37">
        <v>8.45</v>
      </c>
      <c r="T32" s="37">
        <v>-80.85</v>
      </c>
      <c r="U32" s="36" t="s">
        <v>148</v>
      </c>
      <c r="V32" s="6" t="s">
        <v>275</v>
      </c>
      <c r="W32" s="33" t="s">
        <v>276</v>
      </c>
      <c r="X32" s="1" t="s">
        <v>278</v>
      </c>
      <c r="Y32" s="33" t="s">
        <v>279</v>
      </c>
      <c r="Z32" s="36"/>
      <c r="AA32" s="37">
        <v>12.0</v>
      </c>
      <c r="AB32" s="36"/>
      <c r="AC32" s="36"/>
      <c r="AD32" s="36"/>
      <c r="AE32" s="36"/>
      <c r="AF32" s="36"/>
      <c r="AG32" s="36"/>
      <c r="AH32" s="38" t="s">
        <v>72</v>
      </c>
      <c r="AI32" s="37">
        <v>-12350.0</v>
      </c>
      <c r="AJ32" s="37">
        <v>1950.0</v>
      </c>
      <c r="AK32" s="6" t="s">
        <v>153</v>
      </c>
      <c r="AL32" s="6" t="s">
        <v>60</v>
      </c>
      <c r="AM32" s="6" t="s">
        <v>72</v>
      </c>
      <c r="AN32" s="6" t="s">
        <v>72</v>
      </c>
      <c r="AO32" s="33" t="s">
        <v>280</v>
      </c>
      <c r="AP32" s="6" t="s">
        <v>102</v>
      </c>
      <c r="AQ32" s="33"/>
      <c r="AR32" s="33"/>
      <c r="AS32" s="33"/>
      <c r="AT32" s="6" t="s">
        <v>76</v>
      </c>
      <c r="AU32" s="33"/>
      <c r="AV32" s="33"/>
      <c r="AW32" s="33"/>
      <c r="AX32" s="33"/>
      <c r="AY32" s="40" t="s">
        <v>60</v>
      </c>
      <c r="AZ32" s="6" t="s">
        <v>76</v>
      </c>
      <c r="BA32" s="33"/>
      <c r="BB32" s="33">
        <f>VLOOKUP(O32,Eco_DEM_Data!$D$1:$AC$643,20,False)</f>
        <v>2747</v>
      </c>
      <c r="BC32" s="33">
        <f>VLOOKUP($O32,Eco_DEM_Data!$D$1:$AC$643,20,False)</f>
        <v>2747</v>
      </c>
      <c r="BD32" s="33">
        <f>VLOOKUP($O32,Eco_DEM_Data!$D$1:$AC$643,25,False)</f>
        <v>1232</v>
      </c>
      <c r="BE32" s="33">
        <f>VLOOKUP($O32,Eco_DEM_Data!$D$1:$AC$643,22,False)</f>
        <v>7</v>
      </c>
      <c r="BF32" s="33">
        <f>VLOOKUP($O32,Eco_DEM_Data!$D$1:$AC$643,23,False)</f>
        <v>94</v>
      </c>
      <c r="BG32" s="33">
        <f>VLOOKUP($O32,Eco_DEM_Data!$D$1:$AC$643,21,False)</f>
        <v>7025</v>
      </c>
      <c r="BH32" s="33">
        <f>VLOOKUP($O32,Eco_DEM_Data!$D$1:$AC$643,26,False)</f>
        <v>695</v>
      </c>
      <c r="BI32" s="33" t="str">
        <f>VLOOKUP($O32,Eco_DEM_Data!$D$1:$AC$643,9,False)</f>
        <v>Isthmian-Pacific moist forests</v>
      </c>
      <c r="BJ32" s="33" t="str">
        <f>VLOOKUP($O32,Eco_DEM_Data!$D$1:$AC$643,11,False)</f>
        <v>Tropical &amp; Subtropical Moist Broadleaf Forests</v>
      </c>
    </row>
    <row r="33">
      <c r="A33" s="33" t="s">
        <v>267</v>
      </c>
      <c r="B33" s="33" t="s">
        <v>2258</v>
      </c>
      <c r="C33" s="34">
        <v>5.0</v>
      </c>
      <c r="D33" s="33" t="s">
        <v>268</v>
      </c>
      <c r="E33" s="34">
        <v>1992.0</v>
      </c>
      <c r="F33" s="33" t="s">
        <v>269</v>
      </c>
      <c r="G33" s="45" t="s">
        <v>270</v>
      </c>
      <c r="H33" s="46"/>
      <c r="I33" s="33"/>
      <c r="J33" s="33" t="s">
        <v>271</v>
      </c>
      <c r="K33" s="34">
        <v>62.0</v>
      </c>
      <c r="L33" s="33"/>
      <c r="M33" s="6" t="s">
        <v>272</v>
      </c>
      <c r="N33" s="35" t="s">
        <v>60</v>
      </c>
      <c r="O33" s="33" t="s">
        <v>298</v>
      </c>
      <c r="P33" s="36" t="s">
        <v>62</v>
      </c>
      <c r="Q33" s="36" t="s">
        <v>146</v>
      </c>
      <c r="R33" s="36" t="s">
        <v>274</v>
      </c>
      <c r="S33" s="37">
        <v>8.45</v>
      </c>
      <c r="T33" s="37">
        <v>-80.85</v>
      </c>
      <c r="U33" s="36" t="s">
        <v>148</v>
      </c>
      <c r="V33" s="38" t="s">
        <v>194</v>
      </c>
      <c r="W33" s="33" t="s">
        <v>276</v>
      </c>
      <c r="X33" s="1" t="s">
        <v>286</v>
      </c>
      <c r="Y33" s="6" t="s">
        <v>72</v>
      </c>
      <c r="Z33" s="36"/>
      <c r="AA33" s="37">
        <v>12.0</v>
      </c>
      <c r="AB33" s="36"/>
      <c r="AC33" s="36"/>
      <c r="AD33" s="36"/>
      <c r="AE33" s="36"/>
      <c r="AF33" s="36"/>
      <c r="AG33" s="36"/>
      <c r="AH33" s="38" t="s">
        <v>72</v>
      </c>
      <c r="AI33" s="37">
        <v>-12350.0</v>
      </c>
      <c r="AJ33" s="37">
        <v>1950.0</v>
      </c>
      <c r="AK33" s="6" t="s">
        <v>153</v>
      </c>
      <c r="AL33" s="6" t="s">
        <v>60</v>
      </c>
      <c r="AM33" s="6" t="s">
        <v>72</v>
      </c>
      <c r="AN33" s="6" t="s">
        <v>72</v>
      </c>
      <c r="AO33" s="33" t="s">
        <v>280</v>
      </c>
      <c r="AP33" s="6" t="s">
        <v>102</v>
      </c>
      <c r="AQ33" s="33"/>
      <c r="AR33" s="33"/>
      <c r="AS33" s="33"/>
      <c r="AT33" s="6" t="s">
        <v>76</v>
      </c>
      <c r="AU33" s="33"/>
      <c r="AV33" s="33"/>
      <c r="AW33" s="33"/>
      <c r="AX33" s="33"/>
      <c r="AY33" s="40" t="s">
        <v>60</v>
      </c>
      <c r="AZ33" s="6" t="s">
        <v>76</v>
      </c>
      <c r="BA33" s="33"/>
      <c r="BB33" s="33">
        <f>VLOOKUP(O33,Eco_DEM_Data!$D$1:$AC$643,20,False)</f>
        <v>2747</v>
      </c>
      <c r="BC33" s="33">
        <f>VLOOKUP($O33,Eco_DEM_Data!$D$1:$AC$643,20,False)</f>
        <v>2747</v>
      </c>
      <c r="BD33" s="33">
        <f>VLOOKUP($O33,Eco_DEM_Data!$D$1:$AC$643,25,False)</f>
        <v>1232</v>
      </c>
      <c r="BE33" s="33">
        <f>VLOOKUP($O33,Eco_DEM_Data!$D$1:$AC$643,22,False)</f>
        <v>7</v>
      </c>
      <c r="BF33" s="33">
        <f>VLOOKUP($O33,Eco_DEM_Data!$D$1:$AC$643,23,False)</f>
        <v>94</v>
      </c>
      <c r="BG33" s="33">
        <f>VLOOKUP($O33,Eco_DEM_Data!$D$1:$AC$643,21,False)</f>
        <v>7025</v>
      </c>
      <c r="BH33" s="33">
        <f>VLOOKUP($O33,Eco_DEM_Data!$D$1:$AC$643,26,False)</f>
        <v>695</v>
      </c>
      <c r="BI33" s="33" t="str">
        <f>VLOOKUP($O33,Eco_DEM_Data!$D$1:$AC$643,9,False)</f>
        <v>Isthmian-Pacific moist forests</v>
      </c>
      <c r="BJ33" s="33" t="str">
        <f>VLOOKUP($O33,Eco_DEM_Data!$D$1:$AC$643,11,False)</f>
        <v>Tropical &amp; Subtropical Moist Broadleaf Forests</v>
      </c>
    </row>
    <row r="34">
      <c r="A34" s="33" t="s">
        <v>267</v>
      </c>
      <c r="B34" s="33" t="s">
        <v>2258</v>
      </c>
      <c r="C34" s="34">
        <v>5.0</v>
      </c>
      <c r="D34" s="33" t="s">
        <v>268</v>
      </c>
      <c r="E34" s="34">
        <v>1992.0</v>
      </c>
      <c r="F34" s="33" t="s">
        <v>269</v>
      </c>
      <c r="G34" s="45" t="s">
        <v>270</v>
      </c>
      <c r="H34" s="46"/>
      <c r="I34" s="33"/>
      <c r="J34" s="33" t="s">
        <v>271</v>
      </c>
      <c r="K34" s="34">
        <v>62.0</v>
      </c>
      <c r="L34" s="33"/>
      <c r="M34" s="6" t="s">
        <v>272</v>
      </c>
      <c r="N34" s="35" t="s">
        <v>60</v>
      </c>
      <c r="O34" s="33" t="s">
        <v>313</v>
      </c>
      <c r="P34" s="36" t="s">
        <v>62</v>
      </c>
      <c r="Q34" s="36" t="s">
        <v>146</v>
      </c>
      <c r="R34" s="36" t="s">
        <v>274</v>
      </c>
      <c r="S34" s="37">
        <v>8.45</v>
      </c>
      <c r="T34" s="37">
        <v>-80.85</v>
      </c>
      <c r="U34" s="36" t="s">
        <v>148</v>
      </c>
      <c r="V34" s="38" t="s">
        <v>66</v>
      </c>
      <c r="W34" s="6" t="s">
        <v>1073</v>
      </c>
      <c r="X34" s="1" t="s">
        <v>315</v>
      </c>
      <c r="Y34" s="33" t="s">
        <v>70</v>
      </c>
      <c r="Z34" s="36"/>
      <c r="AA34" s="37">
        <v>12.0</v>
      </c>
      <c r="AB34" s="36"/>
      <c r="AC34" s="36"/>
      <c r="AD34" s="36"/>
      <c r="AE34" s="36"/>
      <c r="AF34" s="36"/>
      <c r="AG34" s="36"/>
      <c r="AH34" s="38" t="s">
        <v>72</v>
      </c>
      <c r="AI34" s="37">
        <v>-12350.0</v>
      </c>
      <c r="AJ34" s="37">
        <v>1950.0</v>
      </c>
      <c r="AK34" s="6" t="s">
        <v>153</v>
      </c>
      <c r="AL34" s="6" t="s">
        <v>60</v>
      </c>
      <c r="AM34" s="6" t="s">
        <v>72</v>
      </c>
      <c r="AN34" s="6" t="s">
        <v>72</v>
      </c>
      <c r="AO34" s="33" t="s">
        <v>280</v>
      </c>
      <c r="AP34" s="6" t="s">
        <v>102</v>
      </c>
      <c r="AQ34" s="33"/>
      <c r="AR34" s="33"/>
      <c r="AS34" s="33"/>
      <c r="AT34" s="6" t="s">
        <v>76</v>
      </c>
      <c r="AU34" s="33"/>
      <c r="AV34" s="33"/>
      <c r="AW34" s="33"/>
      <c r="AX34" s="33"/>
      <c r="AY34" s="40" t="s">
        <v>60</v>
      </c>
      <c r="AZ34" s="6" t="s">
        <v>76</v>
      </c>
      <c r="BA34" s="33"/>
      <c r="BB34" s="33">
        <f>VLOOKUP(O34,Eco_DEM_Data!$D$1:$AC$643,20,False)</f>
        <v>2747</v>
      </c>
      <c r="BC34" s="33">
        <f>VLOOKUP($O34,Eco_DEM_Data!$D$1:$AC$643,20,False)</f>
        <v>2747</v>
      </c>
      <c r="BD34" s="33">
        <f>VLOOKUP($O34,Eco_DEM_Data!$D$1:$AC$643,25,False)</f>
        <v>1232</v>
      </c>
      <c r="BE34" s="33">
        <f>VLOOKUP($O34,Eco_DEM_Data!$D$1:$AC$643,22,False)</f>
        <v>7</v>
      </c>
      <c r="BF34" s="33">
        <f>VLOOKUP($O34,Eco_DEM_Data!$D$1:$AC$643,23,False)</f>
        <v>94</v>
      </c>
      <c r="BG34" s="33">
        <f>VLOOKUP($O34,Eco_DEM_Data!$D$1:$AC$643,21,False)</f>
        <v>7025</v>
      </c>
      <c r="BH34" s="33">
        <f>VLOOKUP($O34,Eco_DEM_Data!$D$1:$AC$643,26,False)</f>
        <v>695</v>
      </c>
      <c r="BI34" s="33" t="str">
        <f>VLOOKUP($O34,Eco_DEM_Data!$D$1:$AC$643,9,False)</f>
        <v>Isthmian-Pacific moist forests</v>
      </c>
      <c r="BJ34" s="33" t="str">
        <f>VLOOKUP($O34,Eco_DEM_Data!$D$1:$AC$643,11,False)</f>
        <v>Tropical &amp; Subtropical Moist Broadleaf Forests</v>
      </c>
    </row>
    <row r="35">
      <c r="A35" s="33" t="s">
        <v>267</v>
      </c>
      <c r="B35" s="33" t="s">
        <v>2258</v>
      </c>
      <c r="C35" s="34">
        <v>5.0</v>
      </c>
      <c r="D35" s="33" t="s">
        <v>268</v>
      </c>
      <c r="E35" s="34">
        <v>1992.0</v>
      </c>
      <c r="F35" s="33" t="s">
        <v>269</v>
      </c>
      <c r="G35" s="45" t="s">
        <v>270</v>
      </c>
      <c r="H35" s="46"/>
      <c r="I35" s="33"/>
      <c r="J35" s="33" t="s">
        <v>271</v>
      </c>
      <c r="K35" s="34">
        <v>62.0</v>
      </c>
      <c r="L35" s="33"/>
      <c r="M35" s="6" t="s">
        <v>272</v>
      </c>
      <c r="N35" s="35" t="s">
        <v>60</v>
      </c>
      <c r="O35" s="33" t="s">
        <v>318</v>
      </c>
      <c r="P35" s="36" t="s">
        <v>62</v>
      </c>
      <c r="Q35" s="36" t="s">
        <v>146</v>
      </c>
      <c r="R35" s="36" t="s">
        <v>274</v>
      </c>
      <c r="S35" s="37">
        <v>8.45</v>
      </c>
      <c r="T35" s="37">
        <v>-80.85</v>
      </c>
      <c r="U35" s="36" t="s">
        <v>148</v>
      </c>
      <c r="V35" s="38" t="s">
        <v>523</v>
      </c>
      <c r="W35" s="33" t="s">
        <v>156</v>
      </c>
      <c r="X35" s="1" t="s">
        <v>319</v>
      </c>
      <c r="Y35" s="6" t="s">
        <v>70</v>
      </c>
      <c r="Z35" s="36"/>
      <c r="AA35" s="37">
        <v>12.0</v>
      </c>
      <c r="AB35" s="36"/>
      <c r="AC35" s="36"/>
      <c r="AD35" s="36"/>
      <c r="AE35" s="36"/>
      <c r="AF35" s="36"/>
      <c r="AG35" s="36"/>
      <c r="AH35" s="38" t="s">
        <v>72</v>
      </c>
      <c r="AI35" s="37">
        <v>-12350.0</v>
      </c>
      <c r="AJ35" s="37">
        <v>1950.0</v>
      </c>
      <c r="AK35" s="6" t="s">
        <v>153</v>
      </c>
      <c r="AL35" s="6" t="s">
        <v>60</v>
      </c>
      <c r="AM35" s="6" t="s">
        <v>72</v>
      </c>
      <c r="AN35" s="6" t="s">
        <v>72</v>
      </c>
      <c r="AO35" s="33" t="s">
        <v>280</v>
      </c>
      <c r="AP35" s="6" t="s">
        <v>102</v>
      </c>
      <c r="AQ35" s="33"/>
      <c r="AR35" s="33"/>
      <c r="AS35" s="33"/>
      <c r="AT35" s="6" t="s">
        <v>76</v>
      </c>
      <c r="AU35" s="33"/>
      <c r="AV35" s="33"/>
      <c r="AW35" s="33"/>
      <c r="AX35" s="33"/>
      <c r="AY35" s="40" t="s">
        <v>60</v>
      </c>
      <c r="AZ35" s="6" t="s">
        <v>76</v>
      </c>
      <c r="BA35" s="33"/>
      <c r="BB35" s="33">
        <f>VLOOKUP(O35,Eco_DEM_Data!$D$1:$AC$643,20,False)</f>
        <v>2747</v>
      </c>
      <c r="BC35" s="33">
        <f>VLOOKUP($O35,Eco_DEM_Data!$D$1:$AC$643,20,False)</f>
        <v>2747</v>
      </c>
      <c r="BD35" s="33">
        <f>VLOOKUP($O35,Eco_DEM_Data!$D$1:$AC$643,25,False)</f>
        <v>1232</v>
      </c>
      <c r="BE35" s="33">
        <f>VLOOKUP($O35,Eco_DEM_Data!$D$1:$AC$643,22,False)</f>
        <v>7</v>
      </c>
      <c r="BF35" s="33">
        <f>VLOOKUP($O35,Eco_DEM_Data!$D$1:$AC$643,23,False)</f>
        <v>94</v>
      </c>
      <c r="BG35" s="33">
        <f>VLOOKUP($O35,Eco_DEM_Data!$D$1:$AC$643,21,False)</f>
        <v>7025</v>
      </c>
      <c r="BH35" s="33">
        <f>VLOOKUP($O35,Eco_DEM_Data!$D$1:$AC$643,26,False)</f>
        <v>695</v>
      </c>
      <c r="BI35" s="33" t="str">
        <f>VLOOKUP($O35,Eco_DEM_Data!$D$1:$AC$643,9,False)</f>
        <v>Isthmian-Pacific moist forests</v>
      </c>
      <c r="BJ35" s="33" t="str">
        <f>VLOOKUP($O35,Eco_DEM_Data!$D$1:$AC$643,11,False)</f>
        <v>Tropical &amp; Subtropical Moist Broadleaf Forests</v>
      </c>
    </row>
    <row r="36">
      <c r="A36" s="33" t="s">
        <v>1067</v>
      </c>
      <c r="B36" s="33" t="s">
        <v>2259</v>
      </c>
      <c r="C36" s="34">
        <v>1.0</v>
      </c>
      <c r="D36" s="33" t="s">
        <v>53</v>
      </c>
      <c r="E36" s="47">
        <v>1992.0</v>
      </c>
      <c r="F36" s="48" t="s">
        <v>1068</v>
      </c>
      <c r="G36" s="48" t="s">
        <v>1069</v>
      </c>
      <c r="H36" s="49" t="s">
        <v>827</v>
      </c>
      <c r="I36" s="33"/>
      <c r="J36" s="48" t="s">
        <v>1070</v>
      </c>
      <c r="K36" s="47">
        <v>7.0</v>
      </c>
      <c r="L36" s="34">
        <v>3.0</v>
      </c>
      <c r="M36" s="6" t="s">
        <v>1071</v>
      </c>
      <c r="N36" s="35" t="s">
        <v>76</v>
      </c>
      <c r="O36" s="33" t="s">
        <v>1067</v>
      </c>
      <c r="P36" s="36" t="s">
        <v>62</v>
      </c>
      <c r="Q36" s="36" t="s">
        <v>112</v>
      </c>
      <c r="R36" s="36" t="s">
        <v>1072</v>
      </c>
      <c r="S36" s="37">
        <v>9.683333</v>
      </c>
      <c r="T36" s="37">
        <v>-83.95</v>
      </c>
      <c r="U36" s="36" t="s">
        <v>114</v>
      </c>
      <c r="V36" s="38" t="s">
        <v>66</v>
      </c>
      <c r="W36" s="6" t="s">
        <v>1073</v>
      </c>
      <c r="X36" s="1" t="s">
        <v>1074</v>
      </c>
      <c r="Y36" s="33" t="s">
        <v>70</v>
      </c>
      <c r="Z36" s="37">
        <v>1.0</v>
      </c>
      <c r="AA36" s="37">
        <v>2.0</v>
      </c>
      <c r="AB36" s="36"/>
      <c r="AC36" s="36"/>
      <c r="AD36" s="36"/>
      <c r="AE36" s="36"/>
      <c r="AF36" s="36"/>
      <c r="AG36" s="36"/>
      <c r="AH36" s="38" t="s">
        <v>72</v>
      </c>
      <c r="AI36" s="37">
        <v>-78050.0</v>
      </c>
      <c r="AJ36" s="37">
        <v>560.0</v>
      </c>
      <c r="AK36" s="6" t="s">
        <v>100</v>
      </c>
      <c r="AL36" s="6" t="s">
        <v>72</v>
      </c>
      <c r="AM36" s="33" t="s">
        <v>1075</v>
      </c>
      <c r="AN36" s="6" t="s">
        <v>72</v>
      </c>
      <c r="AO36" s="33"/>
      <c r="AP36" s="6" t="s">
        <v>75</v>
      </c>
      <c r="AQ36" s="33"/>
      <c r="AR36" s="33"/>
      <c r="AS36" s="33"/>
      <c r="AT36" s="6" t="s">
        <v>76</v>
      </c>
      <c r="AU36" s="33"/>
      <c r="AV36" s="33"/>
      <c r="AW36" s="33"/>
      <c r="AX36" s="33"/>
      <c r="AY36" s="40" t="s">
        <v>60</v>
      </c>
      <c r="AZ36" s="6" t="s">
        <v>76</v>
      </c>
      <c r="BA36" s="33"/>
      <c r="BB36" s="33">
        <f>VLOOKUP(O36,Eco_DEM_Data!$D$1:$AC$643,20,False)</f>
        <v>2384</v>
      </c>
      <c r="BC36" s="33">
        <f>VLOOKUP($O36,Eco_DEM_Data!$D$1:$AC$643,20,False)</f>
        <v>2384</v>
      </c>
      <c r="BD36" s="33">
        <f>VLOOKUP($O36,Eco_DEM_Data!$D$1:$AC$643,25,False)</f>
        <v>1211</v>
      </c>
      <c r="BE36" s="33">
        <f>VLOOKUP($O36,Eco_DEM_Data!$D$1:$AC$643,22,False)</f>
        <v>13</v>
      </c>
      <c r="BF36" s="33">
        <f>VLOOKUP($O36,Eco_DEM_Data!$D$1:$AC$643,23,False)</f>
        <v>51</v>
      </c>
      <c r="BG36" s="33">
        <f>VLOOKUP($O36,Eco_DEM_Data!$D$1:$AC$643,21,False)</f>
        <v>8299</v>
      </c>
      <c r="BH36" s="33">
        <f>VLOOKUP($O36,Eco_DEM_Data!$D$1:$AC$643,26,False)</f>
        <v>2279</v>
      </c>
      <c r="BI36" s="33" t="str">
        <f>VLOOKUP($O36,Eco_DEM_Data!$D$1:$AC$643,9,False)</f>
        <v>Costa Rican seasonal moist forests</v>
      </c>
      <c r="BJ36" s="33" t="str">
        <f>VLOOKUP($O36,Eco_DEM_Data!$D$1:$AC$643,11,False)</f>
        <v>Tropical &amp; Subtropical Moist Broadleaf Forests</v>
      </c>
    </row>
    <row r="37">
      <c r="A37" s="33" t="s">
        <v>300</v>
      </c>
      <c r="B37" s="33" t="s">
        <v>2259</v>
      </c>
      <c r="C37" s="34">
        <v>5.0</v>
      </c>
      <c r="D37" s="33" t="s">
        <v>53</v>
      </c>
      <c r="E37" s="47">
        <v>1993.0</v>
      </c>
      <c r="F37" s="48" t="s">
        <v>301</v>
      </c>
      <c r="G37" s="48" t="s">
        <v>302</v>
      </c>
      <c r="H37" s="48" t="s">
        <v>303</v>
      </c>
      <c r="I37" s="50" t="s">
        <v>304</v>
      </c>
      <c r="J37" s="48" t="s">
        <v>305</v>
      </c>
      <c r="K37" s="47">
        <v>40.0</v>
      </c>
      <c r="L37" s="34">
        <v>1.0</v>
      </c>
      <c r="M37" s="51" t="s">
        <v>306</v>
      </c>
      <c r="N37" s="35" t="s">
        <v>60</v>
      </c>
      <c r="O37" s="33" t="s">
        <v>1521</v>
      </c>
      <c r="P37" s="36" t="s">
        <v>62</v>
      </c>
      <c r="Q37" s="36" t="s">
        <v>112</v>
      </c>
      <c r="R37" s="36" t="s">
        <v>308</v>
      </c>
      <c r="S37" s="37">
        <v>9.483333</v>
      </c>
      <c r="T37" s="37">
        <v>-83.483333</v>
      </c>
      <c r="U37" s="36" t="s">
        <v>148</v>
      </c>
      <c r="V37" s="6" t="s">
        <v>80</v>
      </c>
      <c r="W37" s="33" t="s">
        <v>156</v>
      </c>
      <c r="X37" s="1" t="s">
        <v>319</v>
      </c>
      <c r="Y37" s="33" t="s">
        <v>1522</v>
      </c>
      <c r="Z37" s="36"/>
      <c r="AA37" s="37">
        <v>6.0</v>
      </c>
      <c r="AB37" s="36"/>
      <c r="AC37" s="36"/>
      <c r="AD37" s="36"/>
      <c r="AE37" s="36"/>
      <c r="AF37" s="36"/>
      <c r="AG37" s="36"/>
      <c r="AH37" s="38" t="s">
        <v>72</v>
      </c>
      <c r="AI37" s="37">
        <v>-8190.0</v>
      </c>
      <c r="AJ37" s="37">
        <v>1989.0</v>
      </c>
      <c r="AK37" s="6" t="s">
        <v>73</v>
      </c>
      <c r="AL37" s="6" t="s">
        <v>72</v>
      </c>
      <c r="AM37" s="6" t="s">
        <v>72</v>
      </c>
      <c r="AN37" s="6" t="s">
        <v>72</v>
      </c>
      <c r="AO37" s="33" t="s">
        <v>280</v>
      </c>
      <c r="AP37" s="6" t="s">
        <v>102</v>
      </c>
      <c r="AQ37" s="33"/>
      <c r="AR37" s="33"/>
      <c r="AS37" s="33"/>
      <c r="AT37" s="6" t="s">
        <v>76</v>
      </c>
      <c r="AU37" s="33"/>
      <c r="AV37" s="33"/>
      <c r="AW37" s="33"/>
      <c r="AX37" s="33"/>
      <c r="AY37" s="40" t="s">
        <v>60</v>
      </c>
      <c r="AZ37" s="6" t="s">
        <v>76</v>
      </c>
      <c r="BA37" s="33"/>
      <c r="BB37" s="33">
        <f>VLOOKUP(O37,Eco_DEM_Data!$D$1:$AC$643,20,False)</f>
        <v>2460</v>
      </c>
      <c r="BC37" s="33">
        <f>VLOOKUP($O37,Eco_DEM_Data!$D$1:$AC$643,20,False)</f>
        <v>2460</v>
      </c>
      <c r="BD37" s="33">
        <f>VLOOKUP($O37,Eco_DEM_Data!$D$1:$AC$643,25,False)</f>
        <v>1018</v>
      </c>
      <c r="BE37" s="33">
        <f>VLOOKUP($O37,Eco_DEM_Data!$D$1:$AC$643,22,False)</f>
        <v>19</v>
      </c>
      <c r="BF37" s="33">
        <f>VLOOKUP($O37,Eco_DEM_Data!$D$1:$AC$643,23,False)</f>
        <v>83</v>
      </c>
      <c r="BG37" s="33">
        <f>VLOOKUP($O37,Eco_DEM_Data!$D$1:$AC$643,21,False)</f>
        <v>6914</v>
      </c>
      <c r="BH37" s="33">
        <f>VLOOKUP($O37,Eco_DEM_Data!$D$1:$AC$643,26,False)</f>
        <v>3512</v>
      </c>
      <c r="BI37" s="33" t="str">
        <f>VLOOKUP($O37,Eco_DEM_Data!$D$1:$AC$643,9,False)</f>
        <v>Talamancan montane forests</v>
      </c>
      <c r="BJ37" s="33" t="str">
        <f>VLOOKUP($O37,Eco_DEM_Data!$D$1:$AC$643,11,False)</f>
        <v>Tropical &amp; Subtropical Moist Broadleaf Forests</v>
      </c>
    </row>
    <row r="38">
      <c r="A38" s="33" t="s">
        <v>300</v>
      </c>
      <c r="B38" s="33" t="s">
        <v>2259</v>
      </c>
      <c r="C38" s="34">
        <v>5.0</v>
      </c>
      <c r="D38" s="33" t="s">
        <v>53</v>
      </c>
      <c r="E38" s="47">
        <v>1993.0</v>
      </c>
      <c r="F38" s="48" t="s">
        <v>301</v>
      </c>
      <c r="G38" s="48" t="s">
        <v>302</v>
      </c>
      <c r="H38" s="48" t="s">
        <v>303</v>
      </c>
      <c r="I38" s="50" t="s">
        <v>304</v>
      </c>
      <c r="J38" s="48" t="s">
        <v>305</v>
      </c>
      <c r="K38" s="47">
        <v>40.0</v>
      </c>
      <c r="L38" s="34">
        <v>1.0</v>
      </c>
      <c r="M38" s="6" t="s">
        <v>306</v>
      </c>
      <c r="N38" s="35" t="s">
        <v>60</v>
      </c>
      <c r="O38" s="33" t="s">
        <v>307</v>
      </c>
      <c r="P38" s="36" t="s">
        <v>62</v>
      </c>
      <c r="Q38" s="36" t="s">
        <v>112</v>
      </c>
      <c r="R38" s="36" t="s">
        <v>308</v>
      </c>
      <c r="S38" s="37">
        <v>9.483333</v>
      </c>
      <c r="T38" s="37">
        <v>-83.483333</v>
      </c>
      <c r="U38" s="36" t="s">
        <v>148</v>
      </c>
      <c r="V38" s="6" t="s">
        <v>189</v>
      </c>
      <c r="W38" s="33" t="s">
        <v>72</v>
      </c>
      <c r="X38" s="1" t="s">
        <v>284</v>
      </c>
      <c r="Y38" s="33" t="s">
        <v>70</v>
      </c>
      <c r="Z38" s="36"/>
      <c r="AA38" s="37">
        <v>6.0</v>
      </c>
      <c r="AB38" s="36"/>
      <c r="AC38" s="36"/>
      <c r="AD38" s="36"/>
      <c r="AE38" s="36"/>
      <c r="AF38" s="36"/>
      <c r="AG38" s="36"/>
      <c r="AH38" s="38" t="s">
        <v>72</v>
      </c>
      <c r="AI38" s="37">
        <v>-8190.0</v>
      </c>
      <c r="AJ38" s="37">
        <v>1989.0</v>
      </c>
      <c r="AK38" s="6" t="s">
        <v>73</v>
      </c>
      <c r="AL38" s="6" t="s">
        <v>72</v>
      </c>
      <c r="AM38" s="6" t="s">
        <v>72</v>
      </c>
      <c r="AN38" s="6" t="s">
        <v>72</v>
      </c>
      <c r="AO38" s="33" t="s">
        <v>280</v>
      </c>
      <c r="AP38" s="6" t="s">
        <v>102</v>
      </c>
      <c r="AQ38" s="33"/>
      <c r="AR38" s="33"/>
      <c r="AS38" s="33"/>
      <c r="AT38" s="6" t="s">
        <v>76</v>
      </c>
      <c r="AU38" s="33"/>
      <c r="AV38" s="33"/>
      <c r="AW38" s="33"/>
      <c r="AX38" s="33"/>
      <c r="AY38" s="40" t="s">
        <v>60</v>
      </c>
      <c r="AZ38" s="6" t="s">
        <v>76</v>
      </c>
      <c r="BA38" s="33"/>
      <c r="BB38" s="33">
        <f>VLOOKUP(O38,Eco_DEM_Data!$D$1:$AC$643,20,False)</f>
        <v>2460</v>
      </c>
      <c r="BC38" s="33">
        <f>VLOOKUP($O38,Eco_DEM_Data!$D$1:$AC$643,20,False)</f>
        <v>2460</v>
      </c>
      <c r="BD38" s="33">
        <f>VLOOKUP($O38,Eco_DEM_Data!$D$1:$AC$643,25,False)</f>
        <v>1018</v>
      </c>
      <c r="BE38" s="33">
        <f>VLOOKUP($O38,Eco_DEM_Data!$D$1:$AC$643,22,False)</f>
        <v>19</v>
      </c>
      <c r="BF38" s="33">
        <f>VLOOKUP($O38,Eco_DEM_Data!$D$1:$AC$643,23,False)</f>
        <v>83</v>
      </c>
      <c r="BG38" s="33">
        <f>VLOOKUP($O38,Eco_DEM_Data!$D$1:$AC$643,21,False)</f>
        <v>6914</v>
      </c>
      <c r="BH38" s="33">
        <f>VLOOKUP($O38,Eco_DEM_Data!$D$1:$AC$643,26,False)</f>
        <v>3512</v>
      </c>
      <c r="BI38" s="33" t="str">
        <f>VLOOKUP($O38,Eco_DEM_Data!$D$1:$AC$643,9,False)</f>
        <v>Talamancan montane forests</v>
      </c>
      <c r="BJ38" s="33" t="str">
        <f>VLOOKUP($O38,Eco_DEM_Data!$D$1:$AC$643,11,False)</f>
        <v>Tropical &amp; Subtropical Moist Broadleaf Forests</v>
      </c>
    </row>
    <row r="39">
      <c r="A39" s="33" t="s">
        <v>300</v>
      </c>
      <c r="B39" s="33" t="s">
        <v>2259</v>
      </c>
      <c r="C39" s="34">
        <v>5.0</v>
      </c>
      <c r="D39" s="33" t="s">
        <v>53</v>
      </c>
      <c r="E39" s="47">
        <v>1993.0</v>
      </c>
      <c r="F39" s="48" t="s">
        <v>301</v>
      </c>
      <c r="G39" s="48" t="s">
        <v>302</v>
      </c>
      <c r="H39" s="48" t="s">
        <v>303</v>
      </c>
      <c r="I39" s="50" t="s">
        <v>304</v>
      </c>
      <c r="J39" s="48" t="s">
        <v>305</v>
      </c>
      <c r="K39" s="47">
        <v>40.0</v>
      </c>
      <c r="L39" s="34">
        <v>1.0</v>
      </c>
      <c r="M39" s="6" t="s">
        <v>306</v>
      </c>
      <c r="N39" s="35" t="s">
        <v>60</v>
      </c>
      <c r="O39" s="33" t="s">
        <v>309</v>
      </c>
      <c r="P39" s="36" t="s">
        <v>62</v>
      </c>
      <c r="Q39" s="36" t="s">
        <v>112</v>
      </c>
      <c r="R39" s="36" t="s">
        <v>308</v>
      </c>
      <c r="S39" s="37">
        <v>9.483333</v>
      </c>
      <c r="T39" s="37">
        <v>-83.483333</v>
      </c>
      <c r="U39" s="36" t="s">
        <v>148</v>
      </c>
      <c r="V39" s="6" t="s">
        <v>275</v>
      </c>
      <c r="W39" s="33" t="s">
        <v>310</v>
      </c>
      <c r="X39" s="1" t="s">
        <v>278</v>
      </c>
      <c r="Y39" s="33" t="s">
        <v>279</v>
      </c>
      <c r="Z39" s="36"/>
      <c r="AA39" s="37">
        <v>6.0</v>
      </c>
      <c r="AB39" s="36"/>
      <c r="AC39" s="36"/>
      <c r="AD39" s="36"/>
      <c r="AE39" s="36"/>
      <c r="AF39" s="36"/>
      <c r="AG39" s="36"/>
      <c r="AH39" s="38" t="s">
        <v>72</v>
      </c>
      <c r="AI39" s="37">
        <v>-8190.0</v>
      </c>
      <c r="AJ39" s="37">
        <v>1989.0</v>
      </c>
      <c r="AK39" s="6" t="s">
        <v>73</v>
      </c>
      <c r="AL39" s="6" t="s">
        <v>72</v>
      </c>
      <c r="AM39" s="6" t="s">
        <v>72</v>
      </c>
      <c r="AN39" s="6" t="s">
        <v>72</v>
      </c>
      <c r="AO39" s="33" t="s">
        <v>280</v>
      </c>
      <c r="AP39" s="6" t="s">
        <v>102</v>
      </c>
      <c r="AQ39" s="33"/>
      <c r="AR39" s="33"/>
      <c r="AS39" s="33"/>
      <c r="AT39" s="6" t="s">
        <v>76</v>
      </c>
      <c r="AU39" s="33"/>
      <c r="AV39" s="33"/>
      <c r="AW39" s="33"/>
      <c r="AX39" s="33"/>
      <c r="AY39" s="40" t="s">
        <v>60</v>
      </c>
      <c r="AZ39" s="6" t="s">
        <v>76</v>
      </c>
      <c r="BA39" s="33"/>
      <c r="BB39" s="33">
        <f>VLOOKUP(O39,Eco_DEM_Data!$D$1:$AC$643,20,False)</f>
        <v>2460</v>
      </c>
      <c r="BC39" s="33">
        <f>VLOOKUP($O39,Eco_DEM_Data!$D$1:$AC$643,20,False)</f>
        <v>2460</v>
      </c>
      <c r="BD39" s="33">
        <f>VLOOKUP($O39,Eco_DEM_Data!$D$1:$AC$643,25,False)</f>
        <v>1018</v>
      </c>
      <c r="BE39" s="33">
        <f>VLOOKUP($O39,Eco_DEM_Data!$D$1:$AC$643,22,False)</f>
        <v>19</v>
      </c>
      <c r="BF39" s="33">
        <f>VLOOKUP($O39,Eco_DEM_Data!$D$1:$AC$643,23,False)</f>
        <v>83</v>
      </c>
      <c r="BG39" s="33">
        <f>VLOOKUP($O39,Eco_DEM_Data!$D$1:$AC$643,21,False)</f>
        <v>6914</v>
      </c>
      <c r="BH39" s="33">
        <f>VLOOKUP($O39,Eco_DEM_Data!$D$1:$AC$643,26,False)</f>
        <v>3512</v>
      </c>
      <c r="BI39" s="33" t="str">
        <f>VLOOKUP($O39,Eco_DEM_Data!$D$1:$AC$643,9,False)</f>
        <v>Talamancan montane forests</v>
      </c>
      <c r="BJ39" s="33" t="str">
        <f>VLOOKUP($O39,Eco_DEM_Data!$D$1:$AC$643,11,False)</f>
        <v>Tropical &amp; Subtropical Moist Broadleaf Forests</v>
      </c>
    </row>
    <row r="40">
      <c r="A40" s="33" t="s">
        <v>300</v>
      </c>
      <c r="B40" s="33" t="s">
        <v>2259</v>
      </c>
      <c r="C40" s="34">
        <v>5.0</v>
      </c>
      <c r="D40" s="33" t="s">
        <v>53</v>
      </c>
      <c r="E40" s="47">
        <v>1993.0</v>
      </c>
      <c r="F40" s="48" t="s">
        <v>301</v>
      </c>
      <c r="G40" s="48" t="s">
        <v>302</v>
      </c>
      <c r="H40" s="48" t="s">
        <v>303</v>
      </c>
      <c r="I40" s="50" t="s">
        <v>304</v>
      </c>
      <c r="J40" s="48" t="s">
        <v>305</v>
      </c>
      <c r="K40" s="47">
        <v>40.0</v>
      </c>
      <c r="L40" s="34">
        <v>1.0</v>
      </c>
      <c r="M40" s="51" t="s">
        <v>306</v>
      </c>
      <c r="N40" s="35" t="s">
        <v>60</v>
      </c>
      <c r="O40" s="33" t="s">
        <v>311</v>
      </c>
      <c r="P40" s="36" t="s">
        <v>62</v>
      </c>
      <c r="Q40" s="36" t="s">
        <v>112</v>
      </c>
      <c r="R40" s="36" t="s">
        <v>308</v>
      </c>
      <c r="S40" s="37">
        <v>9.483333</v>
      </c>
      <c r="T40" s="37">
        <v>-83.483333</v>
      </c>
      <c r="U40" s="36" t="s">
        <v>148</v>
      </c>
      <c r="V40" s="38" t="s">
        <v>194</v>
      </c>
      <c r="W40" s="33" t="s">
        <v>72</v>
      </c>
      <c r="X40" s="1" t="s">
        <v>286</v>
      </c>
      <c r="Y40" s="33" t="s">
        <v>70</v>
      </c>
      <c r="Z40" s="36"/>
      <c r="AA40" s="37">
        <v>6.0</v>
      </c>
      <c r="AB40" s="36"/>
      <c r="AC40" s="36"/>
      <c r="AD40" s="36"/>
      <c r="AE40" s="36"/>
      <c r="AF40" s="36"/>
      <c r="AG40" s="36"/>
      <c r="AH40" s="38" t="s">
        <v>72</v>
      </c>
      <c r="AI40" s="37">
        <v>-8190.0</v>
      </c>
      <c r="AJ40" s="37">
        <v>1989.0</v>
      </c>
      <c r="AK40" s="6" t="s">
        <v>73</v>
      </c>
      <c r="AL40" s="6" t="s">
        <v>72</v>
      </c>
      <c r="AM40" s="6" t="s">
        <v>72</v>
      </c>
      <c r="AN40" s="6" t="s">
        <v>72</v>
      </c>
      <c r="AO40" s="33" t="s">
        <v>280</v>
      </c>
      <c r="AP40" s="6" t="s">
        <v>102</v>
      </c>
      <c r="AQ40" s="33"/>
      <c r="AR40" s="33"/>
      <c r="AS40" s="33"/>
      <c r="AT40" s="6" t="s">
        <v>76</v>
      </c>
      <c r="AU40" s="33"/>
      <c r="AV40" s="33"/>
      <c r="AW40" s="33"/>
      <c r="AX40" s="33"/>
      <c r="AY40" s="40" t="s">
        <v>60</v>
      </c>
      <c r="AZ40" s="6" t="s">
        <v>76</v>
      </c>
      <c r="BA40" s="33"/>
      <c r="BB40" s="33">
        <f>VLOOKUP(O40,Eco_DEM_Data!$D$1:$AC$643,20,False)</f>
        <v>2460</v>
      </c>
      <c r="BC40" s="33">
        <f>VLOOKUP($O40,Eco_DEM_Data!$D$1:$AC$643,20,False)</f>
        <v>2460</v>
      </c>
      <c r="BD40" s="33">
        <f>VLOOKUP($O40,Eco_DEM_Data!$D$1:$AC$643,25,False)</f>
        <v>1018</v>
      </c>
      <c r="BE40" s="33">
        <f>VLOOKUP($O40,Eco_DEM_Data!$D$1:$AC$643,22,False)</f>
        <v>19</v>
      </c>
      <c r="BF40" s="33">
        <f>VLOOKUP($O40,Eco_DEM_Data!$D$1:$AC$643,23,False)</f>
        <v>83</v>
      </c>
      <c r="BG40" s="33">
        <f>VLOOKUP($O40,Eco_DEM_Data!$D$1:$AC$643,21,False)</f>
        <v>6914</v>
      </c>
      <c r="BH40" s="33">
        <f>VLOOKUP($O40,Eco_DEM_Data!$D$1:$AC$643,26,False)</f>
        <v>3512</v>
      </c>
      <c r="BI40" s="33" t="str">
        <f>VLOOKUP($O40,Eco_DEM_Data!$D$1:$AC$643,9,False)</f>
        <v>Talamancan montane forests</v>
      </c>
      <c r="BJ40" s="33" t="str">
        <f>VLOOKUP($O40,Eco_DEM_Data!$D$1:$AC$643,11,False)</f>
        <v>Tropical &amp; Subtropical Moist Broadleaf Forests</v>
      </c>
    </row>
    <row r="41">
      <c r="A41" s="33" t="s">
        <v>300</v>
      </c>
      <c r="B41" s="33" t="s">
        <v>2259</v>
      </c>
      <c r="C41" s="34">
        <v>5.0</v>
      </c>
      <c r="D41" s="33" t="s">
        <v>53</v>
      </c>
      <c r="E41" s="47">
        <v>1993.0</v>
      </c>
      <c r="F41" s="48" t="s">
        <v>301</v>
      </c>
      <c r="G41" s="48" t="s">
        <v>302</v>
      </c>
      <c r="H41" s="48" t="s">
        <v>303</v>
      </c>
      <c r="I41" s="50" t="s">
        <v>304</v>
      </c>
      <c r="J41" s="48" t="s">
        <v>305</v>
      </c>
      <c r="K41" s="47">
        <v>40.0</v>
      </c>
      <c r="L41" s="34">
        <v>1.0</v>
      </c>
      <c r="M41" s="51" t="s">
        <v>306</v>
      </c>
      <c r="N41" s="35" t="s">
        <v>60</v>
      </c>
      <c r="O41" s="33" t="s">
        <v>1523</v>
      </c>
      <c r="P41" s="36" t="s">
        <v>62</v>
      </c>
      <c r="Q41" s="36" t="s">
        <v>112</v>
      </c>
      <c r="R41" s="36" t="s">
        <v>308</v>
      </c>
      <c r="S41" s="37">
        <v>9.483333</v>
      </c>
      <c r="T41" s="37">
        <v>-83.483333</v>
      </c>
      <c r="U41" s="36" t="s">
        <v>148</v>
      </c>
      <c r="V41" s="38" t="s">
        <v>66</v>
      </c>
      <c r="W41" s="5" t="s">
        <v>1524</v>
      </c>
      <c r="X41" s="7" t="s">
        <v>1525</v>
      </c>
      <c r="Y41" s="41" t="s">
        <v>70</v>
      </c>
      <c r="Z41" s="43"/>
      <c r="AA41" s="42">
        <v>6.0</v>
      </c>
      <c r="AB41" s="43"/>
      <c r="AC41" s="43"/>
      <c r="AD41" s="43"/>
      <c r="AE41" s="43"/>
      <c r="AF41" s="43"/>
      <c r="AG41" s="43"/>
      <c r="AH41" s="38" t="s">
        <v>72</v>
      </c>
      <c r="AI41" s="42">
        <v>-8190.0</v>
      </c>
      <c r="AJ41" s="42">
        <v>1989.0</v>
      </c>
      <c r="AK41" s="5" t="s">
        <v>73</v>
      </c>
      <c r="AL41" s="5" t="s">
        <v>72</v>
      </c>
      <c r="AM41" s="5" t="s">
        <v>72</v>
      </c>
      <c r="AN41" s="5" t="s">
        <v>72</v>
      </c>
      <c r="AO41" s="41" t="s">
        <v>280</v>
      </c>
      <c r="AP41" s="5" t="s">
        <v>102</v>
      </c>
      <c r="AQ41" s="41"/>
      <c r="AR41" s="41"/>
      <c r="AS41" s="41"/>
      <c r="AT41" s="5" t="s">
        <v>76</v>
      </c>
      <c r="AU41" s="33"/>
      <c r="AV41" s="33"/>
      <c r="AW41" s="33"/>
      <c r="AX41" s="33"/>
      <c r="AY41" s="40" t="s">
        <v>60</v>
      </c>
      <c r="AZ41" s="6" t="s">
        <v>76</v>
      </c>
      <c r="BA41" s="33"/>
      <c r="BB41" s="33">
        <f>VLOOKUP(O41,Eco_DEM_Data!$D$1:$AC$643,20,False)</f>
        <v>2460</v>
      </c>
      <c r="BC41" s="33">
        <f>VLOOKUP($O41,Eco_DEM_Data!$D$1:$AC$643,20,False)</f>
        <v>2460</v>
      </c>
      <c r="BD41" s="33">
        <f>VLOOKUP($O41,Eco_DEM_Data!$D$1:$AC$643,25,False)</f>
        <v>1018</v>
      </c>
      <c r="BE41" s="33">
        <f>VLOOKUP($O41,Eco_DEM_Data!$D$1:$AC$643,22,False)</f>
        <v>19</v>
      </c>
      <c r="BF41" s="33">
        <f>VLOOKUP($O41,Eco_DEM_Data!$D$1:$AC$643,23,False)</f>
        <v>83</v>
      </c>
      <c r="BG41" s="33">
        <f>VLOOKUP($O41,Eco_DEM_Data!$D$1:$AC$643,21,False)</f>
        <v>6914</v>
      </c>
      <c r="BH41" s="33">
        <f>VLOOKUP($O41,Eco_DEM_Data!$D$1:$AC$643,26,False)</f>
        <v>3512</v>
      </c>
      <c r="BI41" s="33" t="str">
        <f>VLOOKUP($O41,Eco_DEM_Data!$D$1:$AC$643,9,False)</f>
        <v>Talamancan montane forests</v>
      </c>
      <c r="BJ41" s="33" t="str">
        <f>VLOOKUP($O41,Eco_DEM_Data!$D$1:$AC$643,11,False)</f>
        <v>Tropical &amp; Subtropical Moist Broadleaf Forests</v>
      </c>
    </row>
    <row r="42">
      <c r="A42" s="33" t="s">
        <v>1526</v>
      </c>
      <c r="B42" s="33" t="s">
        <v>2258</v>
      </c>
      <c r="C42" s="34">
        <v>4.0</v>
      </c>
      <c r="D42" s="33" t="s">
        <v>53</v>
      </c>
      <c r="E42" s="34">
        <v>1994.0</v>
      </c>
      <c r="F42" s="33" t="s">
        <v>1527</v>
      </c>
      <c r="G42" s="33" t="s">
        <v>1528</v>
      </c>
      <c r="H42" s="33" t="s">
        <v>303</v>
      </c>
      <c r="I42" s="33" t="s">
        <v>1529</v>
      </c>
      <c r="J42" s="33" t="s">
        <v>1530</v>
      </c>
      <c r="K42" s="34">
        <v>41.0</v>
      </c>
      <c r="L42" s="34">
        <v>1.0</v>
      </c>
      <c r="M42" s="6" t="s">
        <v>1531</v>
      </c>
      <c r="N42" s="35" t="s">
        <v>60</v>
      </c>
      <c r="O42" s="33" t="s">
        <v>1532</v>
      </c>
      <c r="P42" s="36" t="s">
        <v>62</v>
      </c>
      <c r="Q42" s="36" t="s">
        <v>187</v>
      </c>
      <c r="R42" s="36" t="s">
        <v>188</v>
      </c>
      <c r="S42" s="37">
        <v>17.937719</v>
      </c>
      <c r="T42" s="37">
        <v>-88.366374</v>
      </c>
      <c r="U42" s="36" t="s">
        <v>114</v>
      </c>
      <c r="V42" s="38" t="s">
        <v>927</v>
      </c>
      <c r="W42" s="33" t="s">
        <v>1533</v>
      </c>
      <c r="X42" s="1" t="s">
        <v>1534</v>
      </c>
      <c r="Y42" s="33" t="s">
        <v>70</v>
      </c>
      <c r="Z42" s="36"/>
      <c r="AA42" s="37">
        <v>5.0</v>
      </c>
      <c r="AB42" s="36"/>
      <c r="AC42" s="36"/>
      <c r="AD42" s="36"/>
      <c r="AE42" s="36"/>
      <c r="AF42" s="36"/>
      <c r="AG42" s="36"/>
      <c r="AH42" s="38" t="s">
        <v>72</v>
      </c>
      <c r="AI42" s="37">
        <v>-5340.0</v>
      </c>
      <c r="AJ42" s="37">
        <v>1950.0</v>
      </c>
      <c r="AK42" s="6" t="s">
        <v>73</v>
      </c>
      <c r="AL42" s="6" t="s">
        <v>72</v>
      </c>
      <c r="AM42" s="6" t="s">
        <v>72</v>
      </c>
      <c r="AN42" s="6" t="s">
        <v>72</v>
      </c>
      <c r="AO42" s="33"/>
      <c r="AP42" s="6" t="s">
        <v>75</v>
      </c>
      <c r="AQ42" s="33"/>
      <c r="AR42" s="33"/>
      <c r="AS42" s="33"/>
      <c r="AT42" s="6" t="s">
        <v>76</v>
      </c>
      <c r="AU42" s="33"/>
      <c r="AV42" s="33"/>
      <c r="AW42" s="33"/>
      <c r="AX42" s="33"/>
      <c r="AY42" s="33"/>
      <c r="AZ42" s="6" t="s">
        <v>76</v>
      </c>
      <c r="BA42" s="33"/>
      <c r="BB42" s="33">
        <f>VLOOKUP(O42,Eco_DEM_Data!$D$1:$AC$643,20,False)</f>
        <v>1641</v>
      </c>
      <c r="BC42" s="33">
        <f>VLOOKUP($O42,Eco_DEM_Data!$D$1:$AC$643,20,False)</f>
        <v>1641</v>
      </c>
      <c r="BD42" s="33">
        <f>VLOOKUP($O42,Eco_DEM_Data!$D$1:$AC$643,25,False)</f>
        <v>627</v>
      </c>
      <c r="BE42" s="33">
        <f>VLOOKUP($O42,Eco_DEM_Data!$D$1:$AC$643,22,False)</f>
        <v>42</v>
      </c>
      <c r="BF42" s="33">
        <f>VLOOKUP($O42,Eco_DEM_Data!$D$1:$AC$643,23,False)</f>
        <v>136</v>
      </c>
      <c r="BG42" s="33">
        <f>VLOOKUP($O42,Eco_DEM_Data!$D$1:$AC$643,21,False)</f>
        <v>5337</v>
      </c>
      <c r="BH42" s="33">
        <f>VLOOKUP($O42,Eco_DEM_Data!$D$1:$AC$643,26,False)</f>
        <v>15</v>
      </c>
      <c r="BI42" s="33" t="str">
        <f>VLOOKUP($O42,Eco_DEM_Data!$D$1:$AC$643,9,False)</f>
        <v>Petén-Veracruz moist forests</v>
      </c>
      <c r="BJ42" s="33" t="str">
        <f>VLOOKUP($O42,Eco_DEM_Data!$D$1:$AC$643,11,False)</f>
        <v>Tropical &amp; Subtropical Moist Broadleaf Forests</v>
      </c>
    </row>
    <row r="43">
      <c r="A43" s="33" t="s">
        <v>1526</v>
      </c>
      <c r="B43" s="33" t="s">
        <v>2258</v>
      </c>
      <c r="C43" s="34">
        <v>4.0</v>
      </c>
      <c r="D43" s="33" t="s">
        <v>53</v>
      </c>
      <c r="E43" s="34">
        <v>1994.0</v>
      </c>
      <c r="F43" s="33" t="s">
        <v>1527</v>
      </c>
      <c r="G43" s="33" t="s">
        <v>1528</v>
      </c>
      <c r="H43" s="33" t="s">
        <v>303</v>
      </c>
      <c r="I43" s="33" t="s">
        <v>1529</v>
      </c>
      <c r="J43" s="33" t="s">
        <v>1530</v>
      </c>
      <c r="K43" s="34">
        <v>41.0</v>
      </c>
      <c r="L43" s="34">
        <v>1.0</v>
      </c>
      <c r="M43" s="6" t="s">
        <v>1531</v>
      </c>
      <c r="N43" s="35" t="s">
        <v>60</v>
      </c>
      <c r="O43" s="33" t="s">
        <v>1535</v>
      </c>
      <c r="P43" s="36" t="s">
        <v>62</v>
      </c>
      <c r="Q43" s="36" t="s">
        <v>187</v>
      </c>
      <c r="R43" s="36" t="s">
        <v>188</v>
      </c>
      <c r="S43" s="37">
        <v>17.937719</v>
      </c>
      <c r="T43" s="37">
        <v>-88.366374</v>
      </c>
      <c r="U43" s="36" t="s">
        <v>114</v>
      </c>
      <c r="V43" s="38" t="s">
        <v>204</v>
      </c>
      <c r="W43" s="33" t="s">
        <v>1533</v>
      </c>
      <c r="X43" s="1" t="s">
        <v>1534</v>
      </c>
      <c r="Y43" s="33" t="s">
        <v>70</v>
      </c>
      <c r="Z43" s="36"/>
      <c r="AA43" s="37">
        <v>5.0</v>
      </c>
      <c r="AB43" s="36"/>
      <c r="AC43" s="36"/>
      <c r="AD43" s="36"/>
      <c r="AE43" s="36"/>
      <c r="AF43" s="36"/>
      <c r="AG43" s="36"/>
      <c r="AH43" s="38" t="s">
        <v>72</v>
      </c>
      <c r="AI43" s="37">
        <v>-5340.0</v>
      </c>
      <c r="AJ43" s="37">
        <v>1950.0</v>
      </c>
      <c r="AK43" s="6" t="s">
        <v>73</v>
      </c>
      <c r="AL43" s="6" t="s">
        <v>72</v>
      </c>
      <c r="AM43" s="6" t="s">
        <v>72</v>
      </c>
      <c r="AN43" s="6" t="s">
        <v>72</v>
      </c>
      <c r="AO43" s="33"/>
      <c r="AP43" s="6" t="s">
        <v>75</v>
      </c>
      <c r="AQ43" s="33"/>
      <c r="AR43" s="33"/>
      <c r="AS43" s="33"/>
      <c r="AT43" s="6" t="s">
        <v>76</v>
      </c>
      <c r="AU43" s="33"/>
      <c r="AV43" s="33"/>
      <c r="AW43" s="33"/>
      <c r="AX43" s="33"/>
      <c r="AY43" s="33"/>
      <c r="AZ43" s="6" t="s">
        <v>76</v>
      </c>
      <c r="BA43" s="33"/>
      <c r="BB43" s="33">
        <f>VLOOKUP(O43,Eco_DEM_Data!$D$1:$AC$643,20,False)</f>
        <v>1641</v>
      </c>
      <c r="BC43" s="33">
        <f>VLOOKUP($O43,Eco_DEM_Data!$D$1:$AC$643,20,False)</f>
        <v>1641</v>
      </c>
      <c r="BD43" s="33">
        <f>VLOOKUP($O43,Eco_DEM_Data!$D$1:$AC$643,25,False)</f>
        <v>627</v>
      </c>
      <c r="BE43" s="33">
        <f>VLOOKUP($O43,Eco_DEM_Data!$D$1:$AC$643,22,False)</f>
        <v>42</v>
      </c>
      <c r="BF43" s="33">
        <f>VLOOKUP($O43,Eco_DEM_Data!$D$1:$AC$643,23,False)</f>
        <v>136</v>
      </c>
      <c r="BG43" s="33">
        <f>VLOOKUP($O43,Eco_DEM_Data!$D$1:$AC$643,21,False)</f>
        <v>5337</v>
      </c>
      <c r="BH43" s="33">
        <f>VLOOKUP($O43,Eco_DEM_Data!$D$1:$AC$643,26,False)</f>
        <v>15</v>
      </c>
      <c r="BI43" s="33" t="str">
        <f>VLOOKUP($O43,Eco_DEM_Data!$D$1:$AC$643,9,False)</f>
        <v>Petén-Veracruz moist forests</v>
      </c>
      <c r="BJ43" s="33" t="str">
        <f>VLOOKUP($O43,Eco_DEM_Data!$D$1:$AC$643,11,False)</f>
        <v>Tropical &amp; Subtropical Moist Broadleaf Forests</v>
      </c>
    </row>
    <row r="44">
      <c r="A44" s="33" t="s">
        <v>1526</v>
      </c>
      <c r="B44" s="33" t="s">
        <v>2258</v>
      </c>
      <c r="C44" s="34">
        <v>4.0</v>
      </c>
      <c r="D44" s="33" t="s">
        <v>53</v>
      </c>
      <c r="E44" s="34">
        <v>1994.0</v>
      </c>
      <c r="F44" s="33" t="s">
        <v>1527</v>
      </c>
      <c r="G44" s="33" t="s">
        <v>1528</v>
      </c>
      <c r="H44" s="33" t="s">
        <v>303</v>
      </c>
      <c r="I44" s="33" t="s">
        <v>1529</v>
      </c>
      <c r="J44" s="33" t="s">
        <v>1530</v>
      </c>
      <c r="K44" s="34">
        <v>41.0</v>
      </c>
      <c r="L44" s="34">
        <v>1.0</v>
      </c>
      <c r="M44" s="6" t="s">
        <v>1531</v>
      </c>
      <c r="N44" s="35" t="s">
        <v>60</v>
      </c>
      <c r="O44" s="33" t="s">
        <v>1536</v>
      </c>
      <c r="P44" s="36" t="s">
        <v>62</v>
      </c>
      <c r="Q44" s="36" t="s">
        <v>187</v>
      </c>
      <c r="R44" s="36" t="s">
        <v>188</v>
      </c>
      <c r="S44" s="37">
        <v>17.937719</v>
      </c>
      <c r="T44" s="37">
        <v>-88.366374</v>
      </c>
      <c r="U44" s="36" t="s">
        <v>114</v>
      </c>
      <c r="V44" s="6" t="s">
        <v>275</v>
      </c>
      <c r="W44" s="33" t="s">
        <v>276</v>
      </c>
      <c r="X44" s="1" t="s">
        <v>278</v>
      </c>
      <c r="Y44" s="33" t="s">
        <v>279</v>
      </c>
      <c r="Z44" s="36"/>
      <c r="AA44" s="37">
        <v>5.0</v>
      </c>
      <c r="AB44" s="36"/>
      <c r="AC44" s="36"/>
      <c r="AD44" s="36"/>
      <c r="AE44" s="36"/>
      <c r="AF44" s="36"/>
      <c r="AG44" s="36"/>
      <c r="AH44" s="38" t="s">
        <v>72</v>
      </c>
      <c r="AI44" s="37">
        <v>-5340.0</v>
      </c>
      <c r="AJ44" s="37">
        <v>1950.0</v>
      </c>
      <c r="AK44" s="6" t="s">
        <v>73</v>
      </c>
      <c r="AL44" s="6" t="s">
        <v>72</v>
      </c>
      <c r="AM44" s="6" t="s">
        <v>72</v>
      </c>
      <c r="AN44" s="6" t="s">
        <v>72</v>
      </c>
      <c r="AO44" s="33"/>
      <c r="AP44" s="6" t="s">
        <v>75</v>
      </c>
      <c r="AQ44" s="33"/>
      <c r="AR44" s="33"/>
      <c r="AS44" s="33"/>
      <c r="AT44" s="6" t="s">
        <v>76</v>
      </c>
      <c r="AU44" s="33"/>
      <c r="AV44" s="33"/>
      <c r="AW44" s="33"/>
      <c r="AX44" s="33"/>
      <c r="AY44" s="33"/>
      <c r="AZ44" s="6" t="s">
        <v>76</v>
      </c>
      <c r="BA44" s="33"/>
      <c r="BB44" s="33">
        <f>VLOOKUP(O44,Eco_DEM_Data!$D$1:$AC$643,20,False)</f>
        <v>1641</v>
      </c>
      <c r="BC44" s="33">
        <f>VLOOKUP($O44,Eco_DEM_Data!$D$1:$AC$643,20,False)</f>
        <v>1641</v>
      </c>
      <c r="BD44" s="33">
        <f>VLOOKUP($O44,Eco_DEM_Data!$D$1:$AC$643,25,False)</f>
        <v>627</v>
      </c>
      <c r="BE44" s="33">
        <f>VLOOKUP($O44,Eco_DEM_Data!$D$1:$AC$643,22,False)</f>
        <v>42</v>
      </c>
      <c r="BF44" s="33">
        <f>VLOOKUP($O44,Eco_DEM_Data!$D$1:$AC$643,23,False)</f>
        <v>136</v>
      </c>
      <c r="BG44" s="33">
        <f>VLOOKUP($O44,Eco_DEM_Data!$D$1:$AC$643,21,False)</f>
        <v>5337</v>
      </c>
      <c r="BH44" s="33">
        <f>VLOOKUP($O44,Eco_DEM_Data!$D$1:$AC$643,26,False)</f>
        <v>15</v>
      </c>
      <c r="BI44" s="33" t="str">
        <f>VLOOKUP($O44,Eco_DEM_Data!$D$1:$AC$643,9,False)</f>
        <v>Petén-Veracruz moist forests</v>
      </c>
      <c r="BJ44" s="33" t="str">
        <f>VLOOKUP($O44,Eco_DEM_Data!$D$1:$AC$643,11,False)</f>
        <v>Tropical &amp; Subtropical Moist Broadleaf Forests</v>
      </c>
    </row>
    <row r="45">
      <c r="A45" s="33" t="s">
        <v>1526</v>
      </c>
      <c r="B45" s="33" t="s">
        <v>2258</v>
      </c>
      <c r="C45" s="34">
        <v>4.0</v>
      </c>
      <c r="D45" s="33" t="s">
        <v>53</v>
      </c>
      <c r="E45" s="34">
        <v>1994.0</v>
      </c>
      <c r="F45" s="33" t="s">
        <v>1527</v>
      </c>
      <c r="G45" s="33" t="s">
        <v>1528</v>
      </c>
      <c r="H45" s="33" t="s">
        <v>303</v>
      </c>
      <c r="I45" s="33" t="s">
        <v>1529</v>
      </c>
      <c r="J45" s="33" t="s">
        <v>1530</v>
      </c>
      <c r="K45" s="34">
        <v>41.0</v>
      </c>
      <c r="L45" s="34">
        <v>1.0</v>
      </c>
      <c r="M45" s="6" t="s">
        <v>1531</v>
      </c>
      <c r="N45" s="35" t="s">
        <v>60</v>
      </c>
      <c r="O45" s="33" t="s">
        <v>1537</v>
      </c>
      <c r="P45" s="36" t="s">
        <v>62</v>
      </c>
      <c r="Q45" s="36" t="s">
        <v>187</v>
      </c>
      <c r="R45" s="36" t="s">
        <v>188</v>
      </c>
      <c r="S45" s="37">
        <v>17.937719</v>
      </c>
      <c r="T45" s="37">
        <v>-88.366374</v>
      </c>
      <c r="U45" s="36" t="s">
        <v>114</v>
      </c>
      <c r="V45" s="38" t="s">
        <v>614</v>
      </c>
      <c r="W45" s="33" t="s">
        <v>1533</v>
      </c>
      <c r="X45" s="1" t="s">
        <v>1534</v>
      </c>
      <c r="Y45" s="33" t="s">
        <v>70</v>
      </c>
      <c r="Z45" s="36"/>
      <c r="AA45" s="37">
        <v>5.0</v>
      </c>
      <c r="AB45" s="36"/>
      <c r="AC45" s="36"/>
      <c r="AD45" s="36"/>
      <c r="AE45" s="36"/>
      <c r="AF45" s="36"/>
      <c r="AG45" s="36"/>
      <c r="AH45" s="38" t="s">
        <v>72</v>
      </c>
      <c r="AI45" s="37">
        <v>-5340.0</v>
      </c>
      <c r="AJ45" s="37">
        <v>1950.0</v>
      </c>
      <c r="AK45" s="6" t="s">
        <v>73</v>
      </c>
      <c r="AL45" s="6" t="s">
        <v>72</v>
      </c>
      <c r="AM45" s="6" t="s">
        <v>72</v>
      </c>
      <c r="AN45" s="6" t="s">
        <v>72</v>
      </c>
      <c r="AO45" s="33"/>
      <c r="AP45" s="6" t="s">
        <v>75</v>
      </c>
      <c r="AQ45" s="33"/>
      <c r="AR45" s="33"/>
      <c r="AS45" s="33"/>
      <c r="AT45" s="6" t="s">
        <v>76</v>
      </c>
      <c r="AU45" s="33"/>
      <c r="AV45" s="33"/>
      <c r="AW45" s="33"/>
      <c r="AX45" s="33"/>
      <c r="AY45" s="33"/>
      <c r="AZ45" s="6" t="s">
        <v>76</v>
      </c>
      <c r="BA45" s="33"/>
      <c r="BB45" s="33">
        <f>VLOOKUP(O45,Eco_DEM_Data!$D$1:$AC$643,20,False)</f>
        <v>1641</v>
      </c>
      <c r="BC45" s="33">
        <f>VLOOKUP($O45,Eco_DEM_Data!$D$1:$AC$643,20,False)</f>
        <v>1641</v>
      </c>
      <c r="BD45" s="33">
        <f>VLOOKUP($O45,Eco_DEM_Data!$D$1:$AC$643,25,False)</f>
        <v>627</v>
      </c>
      <c r="BE45" s="33">
        <f>VLOOKUP($O45,Eco_DEM_Data!$D$1:$AC$643,22,False)</f>
        <v>42</v>
      </c>
      <c r="BF45" s="33">
        <f>VLOOKUP($O45,Eco_DEM_Data!$D$1:$AC$643,23,False)</f>
        <v>136</v>
      </c>
      <c r="BG45" s="33">
        <f>VLOOKUP($O45,Eco_DEM_Data!$D$1:$AC$643,21,False)</f>
        <v>5337</v>
      </c>
      <c r="BH45" s="33">
        <f>VLOOKUP($O45,Eco_DEM_Data!$D$1:$AC$643,26,False)</f>
        <v>15</v>
      </c>
      <c r="BI45" s="33" t="str">
        <f>VLOOKUP($O45,Eco_DEM_Data!$D$1:$AC$643,9,False)</f>
        <v>Petén-Veracruz moist forests</v>
      </c>
      <c r="BJ45" s="33" t="str">
        <f>VLOOKUP($O45,Eco_DEM_Data!$D$1:$AC$643,11,False)</f>
        <v>Tropical &amp; Subtropical Moist Broadleaf Forests</v>
      </c>
    </row>
    <row r="46">
      <c r="A46" s="33" t="s">
        <v>1920</v>
      </c>
      <c r="B46" s="33" t="s">
        <v>2258</v>
      </c>
      <c r="C46" s="34">
        <v>3.0</v>
      </c>
      <c r="D46" s="33" t="s">
        <v>268</v>
      </c>
      <c r="E46" s="34">
        <v>1994.0</v>
      </c>
      <c r="F46" s="33" t="s">
        <v>1921</v>
      </c>
      <c r="G46" s="45" t="s">
        <v>1922</v>
      </c>
      <c r="H46" s="46"/>
      <c r="I46" s="33"/>
      <c r="J46" s="33" t="s">
        <v>1924</v>
      </c>
      <c r="K46" s="34">
        <v>75.0</v>
      </c>
      <c r="L46" s="33"/>
      <c r="M46" s="6" t="s">
        <v>1925</v>
      </c>
      <c r="N46" s="35" t="s">
        <v>60</v>
      </c>
      <c r="O46" s="33" t="s">
        <v>1926</v>
      </c>
      <c r="P46" s="36" t="s">
        <v>62</v>
      </c>
      <c r="Q46" s="36" t="s">
        <v>146</v>
      </c>
      <c r="R46" s="36" t="s">
        <v>1927</v>
      </c>
      <c r="S46" s="37">
        <v>7.75</v>
      </c>
      <c r="T46" s="37">
        <v>-77.583333</v>
      </c>
      <c r="U46" s="36" t="s">
        <v>148</v>
      </c>
      <c r="V46" s="38" t="s">
        <v>149</v>
      </c>
      <c r="W46" s="6" t="s">
        <v>727</v>
      </c>
      <c r="X46" s="1" t="s">
        <v>1928</v>
      </c>
      <c r="Y46" s="33" t="s">
        <v>70</v>
      </c>
      <c r="Z46" s="36"/>
      <c r="AA46" s="37">
        <v>7.0</v>
      </c>
      <c r="AB46" s="36"/>
      <c r="AC46" s="36"/>
      <c r="AD46" s="36"/>
      <c r="AE46" s="36"/>
      <c r="AF46" s="36"/>
      <c r="AG46" s="36"/>
      <c r="AH46" s="38" t="s">
        <v>72</v>
      </c>
      <c r="AI46" s="37">
        <v>-1960.0</v>
      </c>
      <c r="AJ46" s="37">
        <v>1640.0</v>
      </c>
      <c r="AK46" s="52" t="s">
        <v>100</v>
      </c>
      <c r="AL46" s="52" t="s">
        <v>72</v>
      </c>
      <c r="AM46" s="6" t="s">
        <v>72</v>
      </c>
      <c r="AN46" s="52" t="s">
        <v>72</v>
      </c>
      <c r="AO46" s="33"/>
      <c r="AP46" s="6" t="s">
        <v>75</v>
      </c>
      <c r="AQ46" s="33"/>
      <c r="AR46" s="33"/>
      <c r="AS46" s="33"/>
      <c r="AT46" s="6" t="s">
        <v>76</v>
      </c>
      <c r="AU46" s="33"/>
      <c r="AV46" s="33"/>
      <c r="AW46" s="33"/>
      <c r="AX46" s="33"/>
      <c r="AY46" s="33"/>
      <c r="AZ46" s="6" t="s">
        <v>76</v>
      </c>
      <c r="BA46" s="33"/>
      <c r="BB46" s="33">
        <f>VLOOKUP(O46,Eco_DEM_Data!$D$1:$AC$643,20,False)</f>
        <v>2886</v>
      </c>
      <c r="BC46" s="33">
        <f>VLOOKUP($O46,Eco_DEM_Data!$D$1:$AC$643,20,False)</f>
        <v>2886</v>
      </c>
      <c r="BD46" s="33">
        <f>VLOOKUP($O46,Eco_DEM_Data!$D$1:$AC$643,25,False)</f>
        <v>1202</v>
      </c>
      <c r="BE46" s="33">
        <f>VLOOKUP($O46,Eco_DEM_Data!$D$1:$AC$643,22,False)</f>
        <v>22</v>
      </c>
      <c r="BF46" s="33">
        <f>VLOOKUP($O46,Eco_DEM_Data!$D$1:$AC$643,23,False)</f>
        <v>120</v>
      </c>
      <c r="BG46" s="33">
        <f>VLOOKUP($O46,Eco_DEM_Data!$D$1:$AC$643,21,False)</f>
        <v>6329</v>
      </c>
      <c r="BH46" s="33">
        <f>VLOOKUP($O46,Eco_DEM_Data!$D$1:$AC$643,26,False)</f>
        <v>415</v>
      </c>
      <c r="BI46" s="33" t="str">
        <f>VLOOKUP($O46,Eco_DEM_Data!$D$1:$AC$643,9,False)</f>
        <v>Chocó-Darién moist forests</v>
      </c>
      <c r="BJ46" s="33" t="str">
        <f>VLOOKUP($O46,Eco_DEM_Data!$D$1:$AC$643,11,False)</f>
        <v>Tropical &amp; Subtropical Moist Broadleaf Forests</v>
      </c>
    </row>
    <row r="47">
      <c r="A47" s="33" t="s">
        <v>1920</v>
      </c>
      <c r="B47" s="33" t="s">
        <v>2258</v>
      </c>
      <c r="C47" s="34">
        <v>3.0</v>
      </c>
      <c r="D47" s="33" t="s">
        <v>268</v>
      </c>
      <c r="E47" s="34">
        <v>1994.0</v>
      </c>
      <c r="F47" s="33" t="s">
        <v>1921</v>
      </c>
      <c r="G47" s="45" t="s">
        <v>1922</v>
      </c>
      <c r="H47" s="46"/>
      <c r="I47" s="33"/>
      <c r="J47" s="33" t="s">
        <v>1924</v>
      </c>
      <c r="K47" s="34">
        <v>75.0</v>
      </c>
      <c r="L47" s="33"/>
      <c r="M47" s="6" t="s">
        <v>1925</v>
      </c>
      <c r="N47" s="35" t="s">
        <v>60</v>
      </c>
      <c r="O47" s="33" t="s">
        <v>1930</v>
      </c>
      <c r="P47" s="36" t="s">
        <v>62</v>
      </c>
      <c r="Q47" s="36" t="s">
        <v>146</v>
      </c>
      <c r="R47" s="36" t="s">
        <v>1927</v>
      </c>
      <c r="S47" s="37">
        <v>7.75</v>
      </c>
      <c r="T47" s="37">
        <v>-77.583333</v>
      </c>
      <c r="U47" s="36" t="s">
        <v>148</v>
      </c>
      <c r="V47" s="38" t="s">
        <v>66</v>
      </c>
      <c r="W47" s="41" t="s">
        <v>823</v>
      </c>
      <c r="X47" s="7" t="s">
        <v>1931</v>
      </c>
      <c r="Y47" s="41" t="s">
        <v>70</v>
      </c>
      <c r="Z47" s="43"/>
      <c r="AA47" s="42">
        <v>7.0</v>
      </c>
      <c r="AB47" s="43"/>
      <c r="AC47" s="43"/>
      <c r="AD47" s="43"/>
      <c r="AE47" s="43"/>
      <c r="AF47" s="43"/>
      <c r="AG47" s="43"/>
      <c r="AH47" s="38" t="s">
        <v>72</v>
      </c>
      <c r="AI47" s="42">
        <v>-1960.0</v>
      </c>
      <c r="AJ47" s="42">
        <v>1640.0</v>
      </c>
      <c r="AK47" s="53" t="s">
        <v>100</v>
      </c>
      <c r="AL47" s="53" t="s">
        <v>72</v>
      </c>
      <c r="AM47" s="6" t="s">
        <v>72</v>
      </c>
      <c r="AN47" s="53" t="s">
        <v>72</v>
      </c>
      <c r="AO47" s="41"/>
      <c r="AP47" s="5" t="s">
        <v>75</v>
      </c>
      <c r="AQ47" s="41"/>
      <c r="AR47" s="41"/>
      <c r="AS47" s="41"/>
      <c r="AT47" s="5" t="s">
        <v>60</v>
      </c>
      <c r="AU47" s="33"/>
      <c r="AV47" s="33"/>
      <c r="AW47" s="33"/>
      <c r="AX47" s="33"/>
      <c r="AY47" s="33"/>
      <c r="AZ47" s="6" t="s">
        <v>76</v>
      </c>
      <c r="BA47" s="33"/>
      <c r="BB47" s="33">
        <f>VLOOKUP(O47,Eco_DEM_Data!$D$1:$AC$643,20,False)</f>
        <v>2886</v>
      </c>
      <c r="BC47" s="33">
        <f>VLOOKUP($O47,Eco_DEM_Data!$D$1:$AC$643,20,False)</f>
        <v>2886</v>
      </c>
      <c r="BD47" s="33">
        <f>VLOOKUP($O47,Eco_DEM_Data!$D$1:$AC$643,25,False)</f>
        <v>1202</v>
      </c>
      <c r="BE47" s="33">
        <f>VLOOKUP($O47,Eco_DEM_Data!$D$1:$AC$643,22,False)</f>
        <v>22</v>
      </c>
      <c r="BF47" s="33">
        <f>VLOOKUP($O47,Eco_DEM_Data!$D$1:$AC$643,23,False)</f>
        <v>120</v>
      </c>
      <c r="BG47" s="33">
        <f>VLOOKUP($O47,Eco_DEM_Data!$D$1:$AC$643,21,False)</f>
        <v>6329</v>
      </c>
      <c r="BH47" s="33">
        <f>VLOOKUP($O47,Eco_DEM_Data!$D$1:$AC$643,26,False)</f>
        <v>415</v>
      </c>
      <c r="BI47" s="33" t="str">
        <f>VLOOKUP($O47,Eco_DEM_Data!$D$1:$AC$643,9,False)</f>
        <v>Chocó-Darién moist forests</v>
      </c>
      <c r="BJ47" s="33" t="str">
        <f>VLOOKUP($O47,Eco_DEM_Data!$D$1:$AC$643,11,False)</f>
        <v>Tropical &amp; Subtropical Moist Broadleaf Forests</v>
      </c>
    </row>
    <row r="48">
      <c r="A48" s="33" t="s">
        <v>1920</v>
      </c>
      <c r="B48" s="33" t="s">
        <v>2258</v>
      </c>
      <c r="C48" s="34">
        <v>3.0</v>
      </c>
      <c r="D48" s="33" t="s">
        <v>268</v>
      </c>
      <c r="E48" s="34">
        <v>1994.0</v>
      </c>
      <c r="F48" s="33" t="s">
        <v>1921</v>
      </c>
      <c r="G48" s="45" t="s">
        <v>1922</v>
      </c>
      <c r="H48" s="46"/>
      <c r="I48" s="33"/>
      <c r="J48" s="33" t="s">
        <v>1924</v>
      </c>
      <c r="K48" s="34">
        <v>75.0</v>
      </c>
      <c r="L48" s="33"/>
      <c r="M48" s="6" t="s">
        <v>1925</v>
      </c>
      <c r="N48" s="35" t="s">
        <v>60</v>
      </c>
      <c r="O48" s="33" t="s">
        <v>1932</v>
      </c>
      <c r="P48" s="36" t="s">
        <v>62</v>
      </c>
      <c r="Q48" s="36" t="s">
        <v>146</v>
      </c>
      <c r="R48" s="36" t="s">
        <v>1933</v>
      </c>
      <c r="S48" s="37">
        <v>7.75</v>
      </c>
      <c r="T48" s="37">
        <v>-77.583333</v>
      </c>
      <c r="U48" s="36" t="s">
        <v>114</v>
      </c>
      <c r="V48" s="38" t="s">
        <v>66</v>
      </c>
      <c r="W48" s="41" t="s">
        <v>823</v>
      </c>
      <c r="X48" s="7" t="s">
        <v>1931</v>
      </c>
      <c r="Y48" s="41" t="s">
        <v>70</v>
      </c>
      <c r="Z48" s="43"/>
      <c r="AA48" s="42">
        <v>1.0</v>
      </c>
      <c r="AB48" s="43"/>
      <c r="AC48" s="43"/>
      <c r="AD48" s="43"/>
      <c r="AE48" s="43"/>
      <c r="AF48" s="43"/>
      <c r="AG48" s="43"/>
      <c r="AH48" s="38" t="s">
        <v>72</v>
      </c>
      <c r="AI48" s="42">
        <v>-1790.0</v>
      </c>
      <c r="AJ48" s="53" t="s">
        <v>72</v>
      </c>
      <c r="AK48" s="53" t="s">
        <v>100</v>
      </c>
      <c r="AL48" s="53" t="s">
        <v>72</v>
      </c>
      <c r="AM48" s="6" t="s">
        <v>72</v>
      </c>
      <c r="AN48" s="53" t="s">
        <v>72</v>
      </c>
      <c r="AO48" s="41"/>
      <c r="AP48" s="5" t="s">
        <v>75</v>
      </c>
      <c r="AQ48" s="41"/>
      <c r="AR48" s="41"/>
      <c r="AS48" s="41"/>
      <c r="AT48" s="5" t="s">
        <v>60</v>
      </c>
      <c r="AU48" s="33"/>
      <c r="AV48" s="33"/>
      <c r="AW48" s="33"/>
      <c r="AX48" s="33"/>
      <c r="AY48" s="33"/>
      <c r="AZ48" s="6" t="s">
        <v>76</v>
      </c>
      <c r="BA48" s="33"/>
      <c r="BB48" s="33">
        <f>VLOOKUP(O48,Eco_DEM_Data!$D$1:$AC$643,20,False)</f>
        <v>2886</v>
      </c>
      <c r="BC48" s="33">
        <f>VLOOKUP($O48,Eco_DEM_Data!$D$1:$AC$643,20,False)</f>
        <v>2886</v>
      </c>
      <c r="BD48" s="33">
        <f>VLOOKUP($O48,Eco_DEM_Data!$D$1:$AC$643,25,False)</f>
        <v>1202</v>
      </c>
      <c r="BE48" s="33">
        <f>VLOOKUP($O48,Eco_DEM_Data!$D$1:$AC$643,22,False)</f>
        <v>22</v>
      </c>
      <c r="BF48" s="33">
        <f>VLOOKUP($O48,Eco_DEM_Data!$D$1:$AC$643,23,False)</f>
        <v>120</v>
      </c>
      <c r="BG48" s="33">
        <f>VLOOKUP($O48,Eco_DEM_Data!$D$1:$AC$643,21,False)</f>
        <v>6329</v>
      </c>
      <c r="BH48" s="33">
        <f>VLOOKUP($O48,Eco_DEM_Data!$D$1:$AC$643,26,False)</f>
        <v>415</v>
      </c>
      <c r="BI48" s="33" t="str">
        <f>VLOOKUP($O48,Eco_DEM_Data!$D$1:$AC$643,9,False)</f>
        <v>Chocó-Darién moist forests</v>
      </c>
      <c r="BJ48" s="33" t="str">
        <f>VLOOKUP($O48,Eco_DEM_Data!$D$1:$AC$643,11,False)</f>
        <v>Tropical &amp; Subtropical Moist Broadleaf Forests</v>
      </c>
    </row>
    <row r="49">
      <c r="A49" s="33" t="s">
        <v>1354</v>
      </c>
      <c r="B49" s="33" t="s">
        <v>2259</v>
      </c>
      <c r="C49" s="34">
        <v>1.0</v>
      </c>
      <c r="D49" s="33" t="s">
        <v>53</v>
      </c>
      <c r="E49" s="34">
        <v>1994.0</v>
      </c>
      <c r="F49" s="33" t="s">
        <v>1355</v>
      </c>
      <c r="G49" s="33" t="s">
        <v>1356</v>
      </c>
      <c r="H49" s="33" t="s">
        <v>1357</v>
      </c>
      <c r="I49" s="33" t="s">
        <v>1358</v>
      </c>
      <c r="J49" s="33" t="s">
        <v>1359</v>
      </c>
      <c r="K49" s="34">
        <v>18.0</v>
      </c>
      <c r="L49" s="34">
        <v>1.0</v>
      </c>
      <c r="M49" s="6" t="s">
        <v>1360</v>
      </c>
      <c r="N49" s="35" t="s">
        <v>76</v>
      </c>
      <c r="O49" s="33" t="s">
        <v>1354</v>
      </c>
      <c r="P49" s="36" t="s">
        <v>62</v>
      </c>
      <c r="Q49" s="36" t="s">
        <v>187</v>
      </c>
      <c r="R49" s="36" t="s">
        <v>188</v>
      </c>
      <c r="S49" s="37">
        <v>17.937719</v>
      </c>
      <c r="T49" s="37">
        <v>-88.366374</v>
      </c>
      <c r="U49" s="36" t="s">
        <v>114</v>
      </c>
      <c r="V49" s="38" t="s">
        <v>66</v>
      </c>
      <c r="W49" s="41" t="s">
        <v>1287</v>
      </c>
      <c r="X49" s="7" t="s">
        <v>364</v>
      </c>
      <c r="Y49" s="5" t="s">
        <v>83</v>
      </c>
      <c r="Z49" s="42">
        <v>1.0</v>
      </c>
      <c r="AA49" s="42">
        <v>2.0</v>
      </c>
      <c r="AB49" s="43"/>
      <c r="AC49" s="43"/>
      <c r="AD49" s="43"/>
      <c r="AE49" s="43"/>
      <c r="AF49" s="43"/>
      <c r="AG49" s="43"/>
      <c r="AH49" s="54" t="s">
        <v>72</v>
      </c>
      <c r="AI49" s="42">
        <v>-2641.0</v>
      </c>
      <c r="AJ49" s="42">
        <v>-606.0</v>
      </c>
      <c r="AK49" s="5" t="s">
        <v>100</v>
      </c>
      <c r="AL49" s="5" t="s">
        <v>76</v>
      </c>
      <c r="AM49" s="6" t="s">
        <v>72</v>
      </c>
      <c r="AN49" s="5" t="s">
        <v>72</v>
      </c>
      <c r="AO49" s="41"/>
      <c r="AP49" s="5" t="s">
        <v>75</v>
      </c>
      <c r="AQ49" s="5" t="s">
        <v>101</v>
      </c>
      <c r="AR49" s="5" t="s">
        <v>101</v>
      </c>
      <c r="AS49" s="5" t="s">
        <v>101</v>
      </c>
      <c r="AT49" s="5" t="s">
        <v>60</v>
      </c>
      <c r="AU49" s="33" t="s">
        <v>2261</v>
      </c>
      <c r="AV49" s="34">
        <v>-2500.0</v>
      </c>
      <c r="AW49" s="33"/>
      <c r="AX49" s="33"/>
      <c r="AY49" s="40" t="s">
        <v>60</v>
      </c>
      <c r="AZ49" s="6" t="s">
        <v>76</v>
      </c>
      <c r="BA49" s="33"/>
      <c r="BB49" s="33">
        <f>VLOOKUP(O49,Eco_DEM_Data!$D$1:$AC$643,20,False)</f>
        <v>1641</v>
      </c>
      <c r="BC49" s="33">
        <f>VLOOKUP($O49,Eco_DEM_Data!$D$1:$AC$643,20,False)</f>
        <v>1641</v>
      </c>
      <c r="BD49" s="33">
        <f>VLOOKUP($O49,Eco_DEM_Data!$D$1:$AC$643,25,False)</f>
        <v>627</v>
      </c>
      <c r="BE49" s="33">
        <f>VLOOKUP($O49,Eco_DEM_Data!$D$1:$AC$643,22,False)</f>
        <v>42</v>
      </c>
      <c r="BF49" s="33">
        <f>VLOOKUP($O49,Eco_DEM_Data!$D$1:$AC$643,23,False)</f>
        <v>136</v>
      </c>
      <c r="BG49" s="33">
        <f>VLOOKUP($O49,Eco_DEM_Data!$D$1:$AC$643,21,False)</f>
        <v>5337</v>
      </c>
      <c r="BH49" s="33">
        <f>VLOOKUP($O49,Eco_DEM_Data!$D$1:$AC$643,26,False)</f>
        <v>15</v>
      </c>
      <c r="BI49" s="33" t="str">
        <f>VLOOKUP($O49,Eco_DEM_Data!$D$1:$AC$643,9,False)</f>
        <v>Petén-Veracruz moist forests</v>
      </c>
      <c r="BJ49" s="33" t="str">
        <f>VLOOKUP($O49,Eco_DEM_Data!$D$1:$AC$643,11,False)</f>
        <v>Tropical &amp; Subtropical Moist Broadleaf Forests</v>
      </c>
    </row>
    <row r="50">
      <c r="A50" s="33" t="s">
        <v>1235</v>
      </c>
      <c r="B50" s="33" t="s">
        <v>2259</v>
      </c>
      <c r="C50" s="34">
        <v>4.0</v>
      </c>
      <c r="D50" s="33" t="s">
        <v>53</v>
      </c>
      <c r="E50" s="34">
        <v>1995.0</v>
      </c>
      <c r="F50" s="33" t="s">
        <v>1236</v>
      </c>
      <c r="G50" s="33" t="s">
        <v>1237</v>
      </c>
      <c r="H50" s="33" t="s">
        <v>1224</v>
      </c>
      <c r="I50" s="33"/>
      <c r="J50" s="33" t="s">
        <v>1238</v>
      </c>
      <c r="K50" s="34">
        <v>375.0</v>
      </c>
      <c r="L50" s="34">
        <v>6530.0</v>
      </c>
      <c r="M50" s="6" t="s">
        <v>1239</v>
      </c>
      <c r="N50" s="35" t="s">
        <v>60</v>
      </c>
      <c r="O50" s="33" t="s">
        <v>1240</v>
      </c>
      <c r="P50" s="36" t="s">
        <v>62</v>
      </c>
      <c r="Q50" s="36" t="s">
        <v>92</v>
      </c>
      <c r="R50" s="36" t="s">
        <v>466</v>
      </c>
      <c r="S50" s="37">
        <v>19.833333</v>
      </c>
      <c r="T50" s="37">
        <v>-88.75</v>
      </c>
      <c r="U50" s="36" t="s">
        <v>148</v>
      </c>
      <c r="V50" s="6" t="s">
        <v>189</v>
      </c>
      <c r="W50" s="6" t="s">
        <v>96</v>
      </c>
      <c r="X50" s="1" t="s">
        <v>191</v>
      </c>
      <c r="Y50" s="55" t="s">
        <v>256</v>
      </c>
      <c r="Z50" s="37">
        <v>1.0</v>
      </c>
      <c r="AA50" s="37">
        <v>14.0</v>
      </c>
      <c r="AB50" s="36"/>
      <c r="AC50" s="36"/>
      <c r="AD50" s="36"/>
      <c r="AE50" s="36"/>
      <c r="AF50" s="36"/>
      <c r="AG50" s="36"/>
      <c r="AH50" s="36" t="s">
        <v>1241</v>
      </c>
      <c r="AI50" s="37">
        <v>-8050.0</v>
      </c>
      <c r="AJ50" s="37">
        <v>1950.0</v>
      </c>
      <c r="AK50" s="6" t="s">
        <v>100</v>
      </c>
      <c r="AL50" s="6" t="s">
        <v>72</v>
      </c>
      <c r="AM50" s="6" t="s">
        <v>72</v>
      </c>
      <c r="AN50" s="6" t="s">
        <v>60</v>
      </c>
      <c r="AO50" s="33"/>
      <c r="AP50" s="6" t="s">
        <v>102</v>
      </c>
      <c r="AQ50" s="33"/>
      <c r="AR50" s="33"/>
      <c r="AS50" s="33"/>
      <c r="AT50" s="6" t="s">
        <v>76</v>
      </c>
      <c r="AU50" s="33"/>
      <c r="AV50" s="33"/>
      <c r="AW50" s="33"/>
      <c r="AX50" s="33"/>
      <c r="AY50" s="33"/>
      <c r="AZ50" s="6" t="s">
        <v>76</v>
      </c>
      <c r="BA50" s="33"/>
      <c r="BB50" s="33">
        <f>VLOOKUP(O50,Eco_DEM_Data!$D$1:$AC$643,20,False)</f>
        <v>1264</v>
      </c>
      <c r="BC50" s="33">
        <f>VLOOKUP($O50,Eco_DEM_Data!$D$1:$AC$643,20,False)</f>
        <v>1264</v>
      </c>
      <c r="BD50" s="33">
        <f>VLOOKUP($O50,Eco_DEM_Data!$D$1:$AC$643,25,False)</f>
        <v>553</v>
      </c>
      <c r="BE50" s="33">
        <f>VLOOKUP($O50,Eco_DEM_Data!$D$1:$AC$643,22,False)</f>
        <v>31</v>
      </c>
      <c r="BF50" s="33">
        <f>VLOOKUP($O50,Eco_DEM_Data!$D$1:$AC$643,23,False)</f>
        <v>108</v>
      </c>
      <c r="BG50" s="33">
        <f>VLOOKUP($O50,Eco_DEM_Data!$D$1:$AC$643,21,False)</f>
        <v>6202</v>
      </c>
      <c r="BH50" s="33">
        <f>VLOOKUP($O50,Eco_DEM_Data!$D$1:$AC$643,26,False)</f>
        <v>42</v>
      </c>
      <c r="BI50" s="33" t="str">
        <f>VLOOKUP($O50,Eco_DEM_Data!$D$1:$AC$643,9,False)</f>
        <v>Yucatán moist forests</v>
      </c>
      <c r="BJ50" s="33" t="str">
        <f>VLOOKUP($O50,Eco_DEM_Data!$D$1:$AC$643,11,False)</f>
        <v>Tropical &amp; Subtropical Moist Broadleaf Forests</v>
      </c>
    </row>
    <row r="51">
      <c r="A51" s="33" t="s">
        <v>1235</v>
      </c>
      <c r="B51" s="33" t="s">
        <v>2259</v>
      </c>
      <c r="C51" s="34">
        <v>4.0</v>
      </c>
      <c r="D51" s="33" t="s">
        <v>53</v>
      </c>
      <c r="E51" s="34">
        <v>1995.0</v>
      </c>
      <c r="F51" s="33" t="s">
        <v>1236</v>
      </c>
      <c r="G51" s="33" t="s">
        <v>1237</v>
      </c>
      <c r="H51" s="33" t="s">
        <v>1224</v>
      </c>
      <c r="I51" s="33"/>
      <c r="J51" s="33" t="s">
        <v>1238</v>
      </c>
      <c r="K51" s="34">
        <v>375.0</v>
      </c>
      <c r="L51" s="34">
        <v>6530.0</v>
      </c>
      <c r="M51" s="6" t="s">
        <v>1239</v>
      </c>
      <c r="N51" s="35" t="s">
        <v>60</v>
      </c>
      <c r="O51" s="33" t="s">
        <v>1242</v>
      </c>
      <c r="P51" s="36" t="s">
        <v>62</v>
      </c>
      <c r="Q51" s="36" t="s">
        <v>92</v>
      </c>
      <c r="R51" s="36" t="s">
        <v>466</v>
      </c>
      <c r="S51" s="37">
        <v>19.833333</v>
      </c>
      <c r="T51" s="37">
        <v>-88.75</v>
      </c>
      <c r="U51" s="36" t="s">
        <v>148</v>
      </c>
      <c r="V51" s="6" t="s">
        <v>95</v>
      </c>
      <c r="W51" s="6" t="s">
        <v>96</v>
      </c>
      <c r="X51" s="3" t="s">
        <v>72</v>
      </c>
      <c r="Y51" s="55" t="s">
        <v>256</v>
      </c>
      <c r="Z51" s="37">
        <v>1.0</v>
      </c>
      <c r="AA51" s="37">
        <v>14.0</v>
      </c>
      <c r="AB51" s="36"/>
      <c r="AC51" s="36"/>
      <c r="AD51" s="36"/>
      <c r="AE51" s="36"/>
      <c r="AF51" s="36"/>
      <c r="AG51" s="36"/>
      <c r="AH51" s="36" t="s">
        <v>1241</v>
      </c>
      <c r="AI51" s="37">
        <v>-8050.0</v>
      </c>
      <c r="AJ51" s="37">
        <v>1950.0</v>
      </c>
      <c r="AK51" s="6" t="s">
        <v>100</v>
      </c>
      <c r="AL51" s="6" t="s">
        <v>72</v>
      </c>
      <c r="AM51" s="6" t="s">
        <v>72</v>
      </c>
      <c r="AN51" s="6" t="s">
        <v>60</v>
      </c>
      <c r="AO51" s="33"/>
      <c r="AP51" s="6" t="s">
        <v>102</v>
      </c>
      <c r="AQ51" s="33"/>
      <c r="AR51" s="33"/>
      <c r="AS51" s="33"/>
      <c r="AT51" s="6" t="s">
        <v>76</v>
      </c>
      <c r="AU51" s="33"/>
      <c r="AV51" s="33"/>
      <c r="AW51" s="33"/>
      <c r="AX51" s="33"/>
      <c r="AY51" s="33"/>
      <c r="AZ51" s="6" t="s">
        <v>76</v>
      </c>
      <c r="BA51" s="33"/>
      <c r="BB51" s="33">
        <f>VLOOKUP(O51,Eco_DEM_Data!$D$1:$AC$643,20,False)</f>
        <v>1264</v>
      </c>
      <c r="BC51" s="33">
        <f>VLOOKUP($O51,Eco_DEM_Data!$D$1:$AC$643,20,False)</f>
        <v>1264</v>
      </c>
      <c r="BD51" s="33">
        <f>VLOOKUP($O51,Eco_DEM_Data!$D$1:$AC$643,25,False)</f>
        <v>553</v>
      </c>
      <c r="BE51" s="33">
        <f>VLOOKUP($O51,Eco_DEM_Data!$D$1:$AC$643,22,False)</f>
        <v>31</v>
      </c>
      <c r="BF51" s="33">
        <f>VLOOKUP($O51,Eco_DEM_Data!$D$1:$AC$643,23,False)</f>
        <v>108</v>
      </c>
      <c r="BG51" s="33">
        <f>VLOOKUP($O51,Eco_DEM_Data!$D$1:$AC$643,21,False)</f>
        <v>6202</v>
      </c>
      <c r="BH51" s="33">
        <f>VLOOKUP($O51,Eco_DEM_Data!$D$1:$AC$643,26,False)</f>
        <v>42</v>
      </c>
      <c r="BI51" s="33" t="str">
        <f>VLOOKUP($O51,Eco_DEM_Data!$D$1:$AC$643,9,False)</f>
        <v>Yucatán moist forests</v>
      </c>
      <c r="BJ51" s="33" t="str">
        <f>VLOOKUP($O51,Eco_DEM_Data!$D$1:$AC$643,11,False)</f>
        <v>Tropical &amp; Subtropical Moist Broadleaf Forests</v>
      </c>
    </row>
    <row r="52">
      <c r="A52" s="33" t="s">
        <v>1235</v>
      </c>
      <c r="B52" s="33" t="s">
        <v>2259</v>
      </c>
      <c r="C52" s="34">
        <v>4.0</v>
      </c>
      <c r="D52" s="33" t="s">
        <v>53</v>
      </c>
      <c r="E52" s="34">
        <v>1995.0</v>
      </c>
      <c r="F52" s="33" t="s">
        <v>1236</v>
      </c>
      <c r="G52" s="33" t="s">
        <v>1237</v>
      </c>
      <c r="H52" s="33" t="s">
        <v>1224</v>
      </c>
      <c r="I52" s="33"/>
      <c r="J52" s="33" t="s">
        <v>1238</v>
      </c>
      <c r="K52" s="34">
        <v>375.0</v>
      </c>
      <c r="L52" s="34">
        <v>6530.0</v>
      </c>
      <c r="M52" s="6" t="s">
        <v>1239</v>
      </c>
      <c r="N52" s="35" t="s">
        <v>60</v>
      </c>
      <c r="O52" s="33" t="s">
        <v>1243</v>
      </c>
      <c r="P52" s="36" t="s">
        <v>62</v>
      </c>
      <c r="Q52" s="36" t="s">
        <v>92</v>
      </c>
      <c r="R52" s="36" t="s">
        <v>466</v>
      </c>
      <c r="S52" s="37">
        <v>19.833333</v>
      </c>
      <c r="T52" s="37">
        <v>-88.75</v>
      </c>
      <c r="U52" s="36" t="s">
        <v>148</v>
      </c>
      <c r="V52" s="6" t="s">
        <v>95</v>
      </c>
      <c r="W52" s="6" t="s">
        <v>96</v>
      </c>
      <c r="X52" s="3" t="s">
        <v>72</v>
      </c>
      <c r="Y52" s="55" t="s">
        <v>256</v>
      </c>
      <c r="Z52" s="37">
        <v>1.0</v>
      </c>
      <c r="AA52" s="37">
        <v>14.0</v>
      </c>
      <c r="AB52" s="36"/>
      <c r="AC52" s="36"/>
      <c r="AD52" s="36"/>
      <c r="AE52" s="36"/>
      <c r="AF52" s="36"/>
      <c r="AG52" s="36"/>
      <c r="AH52" s="36" t="s">
        <v>1241</v>
      </c>
      <c r="AI52" s="37">
        <v>-8050.0</v>
      </c>
      <c r="AJ52" s="37">
        <v>1950.0</v>
      </c>
      <c r="AK52" s="6" t="s">
        <v>100</v>
      </c>
      <c r="AL52" s="6" t="s">
        <v>72</v>
      </c>
      <c r="AM52" s="6" t="s">
        <v>72</v>
      </c>
      <c r="AN52" s="6" t="s">
        <v>60</v>
      </c>
      <c r="AO52" s="33"/>
      <c r="AP52" s="6" t="s">
        <v>102</v>
      </c>
      <c r="AQ52" s="33"/>
      <c r="AR52" s="33"/>
      <c r="AS52" s="33"/>
      <c r="AT52" s="6" t="s">
        <v>76</v>
      </c>
      <c r="AU52" s="33"/>
      <c r="AV52" s="33"/>
      <c r="AW52" s="33"/>
      <c r="AX52" s="33"/>
      <c r="AY52" s="33"/>
      <c r="AZ52" s="6" t="s">
        <v>76</v>
      </c>
      <c r="BA52" s="33"/>
      <c r="BB52" s="33">
        <f>VLOOKUP(O52,Eco_DEM_Data!$D$1:$AC$643,20,False)</f>
        <v>1264</v>
      </c>
      <c r="BC52" s="33">
        <f>VLOOKUP($O52,Eco_DEM_Data!$D$1:$AC$643,20,False)</f>
        <v>1264</v>
      </c>
      <c r="BD52" s="33">
        <f>VLOOKUP($O52,Eco_DEM_Data!$D$1:$AC$643,25,False)</f>
        <v>553</v>
      </c>
      <c r="BE52" s="33">
        <f>VLOOKUP($O52,Eco_DEM_Data!$D$1:$AC$643,22,False)</f>
        <v>31</v>
      </c>
      <c r="BF52" s="33">
        <f>VLOOKUP($O52,Eco_DEM_Data!$D$1:$AC$643,23,False)</f>
        <v>108</v>
      </c>
      <c r="BG52" s="33">
        <f>VLOOKUP($O52,Eco_DEM_Data!$D$1:$AC$643,21,False)</f>
        <v>6202</v>
      </c>
      <c r="BH52" s="33">
        <f>VLOOKUP($O52,Eco_DEM_Data!$D$1:$AC$643,26,False)</f>
        <v>42</v>
      </c>
      <c r="BI52" s="33" t="str">
        <f>VLOOKUP($O52,Eco_DEM_Data!$D$1:$AC$643,9,False)</f>
        <v>Yucatán moist forests</v>
      </c>
      <c r="BJ52" s="33" t="str">
        <f>VLOOKUP($O52,Eco_DEM_Data!$D$1:$AC$643,11,False)</f>
        <v>Tropical &amp; Subtropical Moist Broadleaf Forests</v>
      </c>
    </row>
    <row r="53">
      <c r="A53" s="33" t="s">
        <v>1272</v>
      </c>
      <c r="B53" s="33" t="s">
        <v>2259</v>
      </c>
      <c r="C53" s="34">
        <v>1.0</v>
      </c>
      <c r="D53" s="33" t="s">
        <v>53</v>
      </c>
      <c r="E53" s="34">
        <v>1995.0</v>
      </c>
      <c r="F53" s="33" t="s">
        <v>1273</v>
      </c>
      <c r="G53" s="33" t="s">
        <v>1274</v>
      </c>
      <c r="H53" s="33" t="s">
        <v>793</v>
      </c>
      <c r="I53" s="33" t="s">
        <v>1275</v>
      </c>
      <c r="J53" s="33" t="s">
        <v>1276</v>
      </c>
      <c r="K53" s="34">
        <v>117.0</v>
      </c>
      <c r="L53" s="56">
        <v>43862.0</v>
      </c>
      <c r="M53" s="6" t="s">
        <v>1277</v>
      </c>
      <c r="N53" s="35" t="s">
        <v>76</v>
      </c>
      <c r="O53" s="33" t="s">
        <v>1272</v>
      </c>
      <c r="P53" s="36" t="s">
        <v>62</v>
      </c>
      <c r="Q53" s="36" t="s">
        <v>112</v>
      </c>
      <c r="R53" s="36" t="s">
        <v>1072</v>
      </c>
      <c r="S53" s="37">
        <v>9.683333</v>
      </c>
      <c r="T53" s="37">
        <v>-83.95</v>
      </c>
      <c r="U53" s="36" t="s">
        <v>148</v>
      </c>
      <c r="V53" s="38" t="s">
        <v>66</v>
      </c>
      <c r="W53" s="5" t="s">
        <v>137</v>
      </c>
      <c r="X53" s="10" t="s">
        <v>72</v>
      </c>
      <c r="Y53" s="41" t="s">
        <v>70</v>
      </c>
      <c r="Z53" s="43"/>
      <c r="AA53" s="42">
        <v>2.0</v>
      </c>
      <c r="AB53" s="43"/>
      <c r="AC53" s="43"/>
      <c r="AD53" s="43"/>
      <c r="AE53" s="43"/>
      <c r="AF53" s="43"/>
      <c r="AG53" s="43"/>
      <c r="AH53" s="38" t="s">
        <v>72</v>
      </c>
      <c r="AI53" s="42">
        <v>-9120.0</v>
      </c>
      <c r="AJ53" s="42">
        <v>-7850.0</v>
      </c>
      <c r="AK53" s="5" t="s">
        <v>1278</v>
      </c>
      <c r="AL53" s="5" t="s">
        <v>60</v>
      </c>
      <c r="AM53" s="5" t="s">
        <v>72</v>
      </c>
      <c r="AN53" s="5" t="s">
        <v>72</v>
      </c>
      <c r="AO53" s="41" t="s">
        <v>1279</v>
      </c>
      <c r="AP53" s="5" t="s">
        <v>75</v>
      </c>
      <c r="AQ53" s="5" t="s">
        <v>101</v>
      </c>
      <c r="AR53" s="5" t="s">
        <v>101</v>
      </c>
      <c r="AS53" s="5" t="s">
        <v>101</v>
      </c>
      <c r="AT53" s="5" t="s">
        <v>76</v>
      </c>
      <c r="AU53" s="33"/>
      <c r="AV53" s="33"/>
      <c r="AW53" s="6" t="s">
        <v>76</v>
      </c>
      <c r="AX53" s="33"/>
      <c r="AY53" s="40" t="s">
        <v>60</v>
      </c>
      <c r="AZ53" s="6" t="s">
        <v>76</v>
      </c>
      <c r="BA53" s="33"/>
      <c r="BB53" s="33">
        <f>VLOOKUP(O53,Eco_DEM_Data!$D$1:$AC$643,20,False)</f>
        <v>2384</v>
      </c>
      <c r="BC53" s="33">
        <f>VLOOKUP($O53,Eco_DEM_Data!$D$1:$AC$643,20,False)</f>
        <v>2384</v>
      </c>
      <c r="BD53" s="33">
        <f>VLOOKUP($O53,Eco_DEM_Data!$D$1:$AC$643,25,False)</f>
        <v>1211</v>
      </c>
      <c r="BE53" s="33">
        <f>VLOOKUP($O53,Eco_DEM_Data!$D$1:$AC$643,22,False)</f>
        <v>13</v>
      </c>
      <c r="BF53" s="33">
        <f>VLOOKUP($O53,Eco_DEM_Data!$D$1:$AC$643,23,False)</f>
        <v>51</v>
      </c>
      <c r="BG53" s="33">
        <f>VLOOKUP($O53,Eco_DEM_Data!$D$1:$AC$643,21,False)</f>
        <v>8299</v>
      </c>
      <c r="BH53" s="33">
        <f>VLOOKUP($O53,Eco_DEM_Data!$D$1:$AC$643,26,False)</f>
        <v>2279</v>
      </c>
      <c r="BI53" s="33" t="str">
        <f>VLOOKUP($O53,Eco_DEM_Data!$D$1:$AC$643,9,False)</f>
        <v>Costa Rican seasonal moist forests</v>
      </c>
      <c r="BJ53" s="33" t="str">
        <f>VLOOKUP($O53,Eco_DEM_Data!$D$1:$AC$643,11,False)</f>
        <v>Tropical &amp; Subtropical Moist Broadleaf Forests</v>
      </c>
    </row>
    <row r="54">
      <c r="A54" s="33" t="s">
        <v>743</v>
      </c>
      <c r="B54" s="33" t="s">
        <v>2259</v>
      </c>
      <c r="C54" s="34">
        <v>1.0</v>
      </c>
      <c r="D54" s="33" t="s">
        <v>53</v>
      </c>
      <c r="E54" s="34">
        <v>1995.0</v>
      </c>
      <c r="F54" s="33" t="s">
        <v>744</v>
      </c>
      <c r="G54" s="33" t="s">
        <v>745</v>
      </c>
      <c r="H54" s="33" t="s">
        <v>746</v>
      </c>
      <c r="I54" s="33" t="s">
        <v>747</v>
      </c>
      <c r="J54" s="33" t="s">
        <v>748</v>
      </c>
      <c r="K54" s="34">
        <v>22.0</v>
      </c>
      <c r="L54" s="34">
        <v>2.0</v>
      </c>
      <c r="M54" s="6" t="s">
        <v>749</v>
      </c>
      <c r="N54" s="35" t="s">
        <v>76</v>
      </c>
      <c r="O54" s="33" t="s">
        <v>743</v>
      </c>
      <c r="P54" s="36" t="s">
        <v>62</v>
      </c>
      <c r="Q54" s="36" t="s">
        <v>187</v>
      </c>
      <c r="R54" s="36" t="s">
        <v>188</v>
      </c>
      <c r="S54" s="37">
        <v>17.937719</v>
      </c>
      <c r="T54" s="37">
        <v>-88.366374</v>
      </c>
      <c r="U54" s="36" t="s">
        <v>114</v>
      </c>
      <c r="V54" s="6" t="s">
        <v>275</v>
      </c>
      <c r="W54" s="33" t="s">
        <v>116</v>
      </c>
      <c r="X54" s="1" t="s">
        <v>278</v>
      </c>
      <c r="Y54" s="33" t="s">
        <v>279</v>
      </c>
      <c r="Z54" s="37">
        <v>1.0</v>
      </c>
      <c r="AA54" s="37">
        <v>6.0</v>
      </c>
      <c r="AB54" s="36"/>
      <c r="AC54" s="36"/>
      <c r="AD54" s="36"/>
      <c r="AE54" s="36"/>
      <c r="AF54" s="36"/>
      <c r="AG54" s="36"/>
      <c r="AH54" s="36" t="s">
        <v>750</v>
      </c>
      <c r="AI54" s="52" t="s">
        <v>72</v>
      </c>
      <c r="AJ54" s="52" t="s">
        <v>72</v>
      </c>
      <c r="AK54" s="6" t="s">
        <v>100</v>
      </c>
      <c r="AL54" s="6" t="s">
        <v>72</v>
      </c>
      <c r="AM54" s="33" t="s">
        <v>192</v>
      </c>
      <c r="AN54" s="6" t="s">
        <v>72</v>
      </c>
      <c r="AO54" s="33"/>
      <c r="AP54" s="6" t="s">
        <v>75</v>
      </c>
      <c r="AQ54" s="33"/>
      <c r="AR54" s="33"/>
      <c r="AS54" s="33"/>
      <c r="AT54" s="6" t="s">
        <v>76</v>
      </c>
      <c r="AU54" s="33"/>
      <c r="AV54" s="33"/>
      <c r="AW54" s="33"/>
      <c r="AX54" s="33"/>
      <c r="AY54" s="33"/>
      <c r="AZ54" s="6" t="s">
        <v>60</v>
      </c>
      <c r="BA54" s="33"/>
      <c r="BB54" s="33">
        <f>VLOOKUP(O54,Eco_DEM_Data!$D$1:$AC$643,20,False)</f>
        <v>1641</v>
      </c>
      <c r="BC54" s="33">
        <f>VLOOKUP($O54,Eco_DEM_Data!$D$1:$AC$643,20,False)</f>
        <v>1641</v>
      </c>
      <c r="BD54" s="33">
        <f>VLOOKUP($O54,Eco_DEM_Data!$D$1:$AC$643,25,False)</f>
        <v>627</v>
      </c>
      <c r="BE54" s="33">
        <f>VLOOKUP($O54,Eco_DEM_Data!$D$1:$AC$643,22,False)</f>
        <v>42</v>
      </c>
      <c r="BF54" s="33">
        <f>VLOOKUP($O54,Eco_DEM_Data!$D$1:$AC$643,23,False)</f>
        <v>136</v>
      </c>
      <c r="BG54" s="33">
        <f>VLOOKUP($O54,Eco_DEM_Data!$D$1:$AC$643,21,False)</f>
        <v>5337</v>
      </c>
      <c r="BH54" s="33">
        <f>VLOOKUP($O54,Eco_DEM_Data!$D$1:$AC$643,26,False)</f>
        <v>15</v>
      </c>
      <c r="BI54" s="33" t="str">
        <f>VLOOKUP($O54,Eco_DEM_Data!$D$1:$AC$643,9,False)</f>
        <v>Petén-Veracruz moist forests</v>
      </c>
      <c r="BJ54" s="33" t="str">
        <f>VLOOKUP($O54,Eco_DEM_Data!$D$1:$AC$643,11,False)</f>
        <v>Tropical &amp; Subtropical Moist Broadleaf Forests</v>
      </c>
    </row>
    <row r="55">
      <c r="A55" s="33" t="s">
        <v>1538</v>
      </c>
      <c r="B55" s="33" t="s">
        <v>2258</v>
      </c>
      <c r="C55" s="34">
        <v>3.0</v>
      </c>
      <c r="D55" s="33" t="s">
        <v>53</v>
      </c>
      <c r="E55" s="34">
        <v>1996.0</v>
      </c>
      <c r="F55" s="33" t="s">
        <v>1539</v>
      </c>
      <c r="G55" s="33" t="s">
        <v>1540</v>
      </c>
      <c r="H55" s="33" t="s">
        <v>303</v>
      </c>
      <c r="I55" s="33" t="s">
        <v>1541</v>
      </c>
      <c r="J55" s="33" t="s">
        <v>1542</v>
      </c>
      <c r="K55" s="34">
        <v>46.0</v>
      </c>
      <c r="L55" s="34">
        <v>1.0</v>
      </c>
      <c r="M55" s="6" t="s">
        <v>1543</v>
      </c>
      <c r="N55" s="35" t="s">
        <v>60</v>
      </c>
      <c r="O55" s="33" t="s">
        <v>1544</v>
      </c>
      <c r="P55" s="36" t="s">
        <v>62</v>
      </c>
      <c r="Q55" s="36" t="s">
        <v>92</v>
      </c>
      <c r="R55" s="36" t="s">
        <v>235</v>
      </c>
      <c r="S55" s="37">
        <v>20.633333</v>
      </c>
      <c r="T55" s="37">
        <v>-87.616667</v>
      </c>
      <c r="U55" s="36" t="s">
        <v>148</v>
      </c>
      <c r="V55" s="6" t="s">
        <v>95</v>
      </c>
      <c r="W55" s="6" t="s">
        <v>96</v>
      </c>
      <c r="X55" s="1" t="s">
        <v>1545</v>
      </c>
      <c r="Y55" s="33" t="s">
        <v>728</v>
      </c>
      <c r="Z55" s="36"/>
      <c r="AA55" s="37">
        <v>9.0</v>
      </c>
      <c r="AB55" s="36"/>
      <c r="AC55" s="36"/>
      <c r="AD55" s="36"/>
      <c r="AE55" s="36"/>
      <c r="AF55" s="36"/>
      <c r="AG55" s="36"/>
      <c r="AH55" s="36" t="s">
        <v>1546</v>
      </c>
      <c r="AI55" s="37">
        <v>-1550.0</v>
      </c>
      <c r="AJ55" s="37">
        <v>1950.0</v>
      </c>
      <c r="AK55" s="6" t="s">
        <v>100</v>
      </c>
      <c r="AL55" s="6" t="s">
        <v>76</v>
      </c>
      <c r="AM55" s="33" t="s">
        <v>74</v>
      </c>
      <c r="AN55" s="6" t="s">
        <v>60</v>
      </c>
      <c r="AO55" s="33"/>
      <c r="AP55" s="6" t="s">
        <v>102</v>
      </c>
      <c r="AQ55" s="33"/>
      <c r="AR55" s="33"/>
      <c r="AS55" s="33"/>
      <c r="AT55" s="6" t="s">
        <v>76</v>
      </c>
      <c r="AU55" s="33"/>
      <c r="AV55" s="33"/>
      <c r="AW55" s="33"/>
      <c r="AX55" s="33"/>
      <c r="AY55" s="33"/>
      <c r="AZ55" s="6" t="s">
        <v>76</v>
      </c>
      <c r="BA55" s="33"/>
      <c r="BB55" s="33">
        <f>VLOOKUP(O55,Eco_DEM_Data!$D$1:$AC$643,20,False)</f>
        <v>1188</v>
      </c>
      <c r="BC55" s="33">
        <f>VLOOKUP($O55,Eco_DEM_Data!$D$1:$AC$643,20,False)</f>
        <v>1188</v>
      </c>
      <c r="BD55" s="33">
        <f>VLOOKUP($O55,Eco_DEM_Data!$D$1:$AC$643,25,False)</f>
        <v>508</v>
      </c>
      <c r="BE55" s="33">
        <f>VLOOKUP($O55,Eco_DEM_Data!$D$1:$AC$643,22,False)</f>
        <v>44</v>
      </c>
      <c r="BF55" s="33">
        <f>VLOOKUP($O55,Eco_DEM_Data!$D$1:$AC$643,23,False)</f>
        <v>136</v>
      </c>
      <c r="BG55" s="33">
        <f>VLOOKUP($O55,Eco_DEM_Data!$D$1:$AC$643,21,False)</f>
        <v>5407</v>
      </c>
      <c r="BH55" s="33">
        <f>VLOOKUP($O55,Eco_DEM_Data!$D$1:$AC$643,26,False)</f>
        <v>20</v>
      </c>
      <c r="BI55" s="33" t="str">
        <f>VLOOKUP($O55,Eco_DEM_Data!$D$1:$AC$643,9,False)</f>
        <v>Yucatán moist forests</v>
      </c>
      <c r="BJ55" s="33" t="str">
        <f>VLOOKUP($O55,Eco_DEM_Data!$D$1:$AC$643,11,False)</f>
        <v>Tropical &amp; Subtropical Moist Broadleaf Forests</v>
      </c>
    </row>
    <row r="56">
      <c r="A56" s="33" t="s">
        <v>1538</v>
      </c>
      <c r="B56" s="33" t="s">
        <v>2258</v>
      </c>
      <c r="C56" s="34">
        <v>3.0</v>
      </c>
      <c r="D56" s="33" t="s">
        <v>53</v>
      </c>
      <c r="E56" s="34">
        <v>1996.0</v>
      </c>
      <c r="F56" s="33" t="s">
        <v>1539</v>
      </c>
      <c r="G56" s="33" t="s">
        <v>1540</v>
      </c>
      <c r="H56" s="33" t="s">
        <v>303</v>
      </c>
      <c r="I56" s="33" t="s">
        <v>1541</v>
      </c>
      <c r="J56" s="33" t="s">
        <v>1542</v>
      </c>
      <c r="K56" s="34">
        <v>46.0</v>
      </c>
      <c r="L56" s="34">
        <v>1.0</v>
      </c>
      <c r="M56" s="6" t="s">
        <v>1543</v>
      </c>
      <c r="N56" s="35" t="s">
        <v>60</v>
      </c>
      <c r="O56" s="33" t="s">
        <v>1547</v>
      </c>
      <c r="P56" s="36" t="s">
        <v>62</v>
      </c>
      <c r="Q56" s="36" t="s">
        <v>92</v>
      </c>
      <c r="R56" s="36" t="s">
        <v>235</v>
      </c>
      <c r="S56" s="37">
        <v>20.633333</v>
      </c>
      <c r="T56" s="37">
        <v>-87.616667</v>
      </c>
      <c r="U56" s="36" t="s">
        <v>148</v>
      </c>
      <c r="V56" s="6" t="s">
        <v>95</v>
      </c>
      <c r="W56" s="6" t="s">
        <v>96</v>
      </c>
      <c r="X56" s="1" t="s">
        <v>1545</v>
      </c>
      <c r="Y56" s="33" t="s">
        <v>728</v>
      </c>
      <c r="Z56" s="36"/>
      <c r="AA56" s="37">
        <v>9.0</v>
      </c>
      <c r="AB56" s="36"/>
      <c r="AC56" s="36"/>
      <c r="AD56" s="36"/>
      <c r="AE56" s="36"/>
      <c r="AF56" s="36"/>
      <c r="AG56" s="36"/>
      <c r="AH56" s="36" t="s">
        <v>1546</v>
      </c>
      <c r="AI56" s="37">
        <v>-1550.0</v>
      </c>
      <c r="AJ56" s="37">
        <v>1950.0</v>
      </c>
      <c r="AK56" s="6" t="s">
        <v>100</v>
      </c>
      <c r="AL56" s="6" t="s">
        <v>76</v>
      </c>
      <c r="AM56" s="33" t="s">
        <v>74</v>
      </c>
      <c r="AN56" s="6" t="s">
        <v>60</v>
      </c>
      <c r="AO56" s="33"/>
      <c r="AP56" s="6" t="s">
        <v>102</v>
      </c>
      <c r="AQ56" s="33"/>
      <c r="AR56" s="33"/>
      <c r="AS56" s="33"/>
      <c r="AT56" s="6" t="s">
        <v>76</v>
      </c>
      <c r="AU56" s="33"/>
      <c r="AV56" s="33"/>
      <c r="AW56" s="33"/>
      <c r="AX56" s="33"/>
      <c r="AY56" s="33"/>
      <c r="AZ56" s="6" t="s">
        <v>76</v>
      </c>
      <c r="BA56" s="33"/>
      <c r="BB56" s="33">
        <f>VLOOKUP(O56,Eco_DEM_Data!$D$1:$AC$643,20,False)</f>
        <v>1188</v>
      </c>
      <c r="BC56" s="33">
        <f>VLOOKUP($O56,Eco_DEM_Data!$D$1:$AC$643,20,False)</f>
        <v>1188</v>
      </c>
      <c r="BD56" s="33">
        <f>VLOOKUP($O56,Eco_DEM_Data!$D$1:$AC$643,25,False)</f>
        <v>508</v>
      </c>
      <c r="BE56" s="33">
        <f>VLOOKUP($O56,Eco_DEM_Data!$D$1:$AC$643,22,False)</f>
        <v>44</v>
      </c>
      <c r="BF56" s="33">
        <f>VLOOKUP($O56,Eco_DEM_Data!$D$1:$AC$643,23,False)</f>
        <v>136</v>
      </c>
      <c r="BG56" s="33">
        <f>VLOOKUP($O56,Eco_DEM_Data!$D$1:$AC$643,21,False)</f>
        <v>5407</v>
      </c>
      <c r="BH56" s="33">
        <f>VLOOKUP($O56,Eco_DEM_Data!$D$1:$AC$643,26,False)</f>
        <v>20</v>
      </c>
      <c r="BI56" s="33" t="str">
        <f>VLOOKUP($O56,Eco_DEM_Data!$D$1:$AC$643,9,False)</f>
        <v>Yucatán moist forests</v>
      </c>
      <c r="BJ56" s="33" t="str">
        <f>VLOOKUP($O56,Eco_DEM_Data!$D$1:$AC$643,11,False)</f>
        <v>Tropical &amp; Subtropical Moist Broadleaf Forests</v>
      </c>
    </row>
    <row r="57">
      <c r="A57" s="33" t="s">
        <v>1538</v>
      </c>
      <c r="B57" s="33" t="s">
        <v>2258</v>
      </c>
      <c r="C57" s="34">
        <v>3.0</v>
      </c>
      <c r="D57" s="33" t="s">
        <v>53</v>
      </c>
      <c r="E57" s="34">
        <v>1996.0</v>
      </c>
      <c r="F57" s="33" t="s">
        <v>1539</v>
      </c>
      <c r="G57" s="33" t="s">
        <v>1540</v>
      </c>
      <c r="H57" s="33" t="s">
        <v>303</v>
      </c>
      <c r="I57" s="33" t="s">
        <v>1541</v>
      </c>
      <c r="J57" s="33" t="s">
        <v>1542</v>
      </c>
      <c r="K57" s="34">
        <v>46.0</v>
      </c>
      <c r="L57" s="34">
        <v>1.0</v>
      </c>
      <c r="M57" s="6" t="s">
        <v>1543</v>
      </c>
      <c r="N57" s="35" t="s">
        <v>60</v>
      </c>
      <c r="O57" s="33" t="s">
        <v>1548</v>
      </c>
      <c r="P57" s="36" t="s">
        <v>62</v>
      </c>
      <c r="Q57" s="36" t="s">
        <v>92</v>
      </c>
      <c r="R57" s="36" t="s">
        <v>235</v>
      </c>
      <c r="S57" s="37">
        <v>20.633333</v>
      </c>
      <c r="T57" s="37">
        <v>-87.616667</v>
      </c>
      <c r="U57" s="36" t="s">
        <v>148</v>
      </c>
      <c r="V57" s="6" t="s">
        <v>95</v>
      </c>
      <c r="W57" s="6" t="s">
        <v>96</v>
      </c>
      <c r="X57" s="1" t="s">
        <v>1545</v>
      </c>
      <c r="Y57" s="33" t="s">
        <v>728</v>
      </c>
      <c r="Z57" s="36"/>
      <c r="AA57" s="37">
        <v>9.0</v>
      </c>
      <c r="AB57" s="36"/>
      <c r="AC57" s="36"/>
      <c r="AD57" s="36"/>
      <c r="AE57" s="36"/>
      <c r="AF57" s="36"/>
      <c r="AG57" s="36"/>
      <c r="AH57" s="36" t="s">
        <v>1546</v>
      </c>
      <c r="AI57" s="37">
        <v>-1550.0</v>
      </c>
      <c r="AJ57" s="37">
        <v>1950.0</v>
      </c>
      <c r="AK57" s="6" t="s">
        <v>100</v>
      </c>
      <c r="AL57" s="6" t="s">
        <v>76</v>
      </c>
      <c r="AM57" s="33" t="s">
        <v>74</v>
      </c>
      <c r="AN57" s="6" t="s">
        <v>60</v>
      </c>
      <c r="AO57" s="33"/>
      <c r="AP57" s="6" t="s">
        <v>102</v>
      </c>
      <c r="AQ57" s="33"/>
      <c r="AR57" s="33"/>
      <c r="AS57" s="33"/>
      <c r="AT57" s="6" t="s">
        <v>76</v>
      </c>
      <c r="AU57" s="33"/>
      <c r="AV57" s="33"/>
      <c r="AW57" s="33"/>
      <c r="AX57" s="33"/>
      <c r="AY57" s="33"/>
      <c r="AZ57" s="6" t="s">
        <v>76</v>
      </c>
      <c r="BA57" s="33"/>
      <c r="BB57" s="33">
        <f>VLOOKUP(O57,Eco_DEM_Data!$D$1:$AC$643,20,False)</f>
        <v>1188</v>
      </c>
      <c r="BC57" s="33">
        <f>VLOOKUP($O57,Eco_DEM_Data!$D$1:$AC$643,20,False)</f>
        <v>1188</v>
      </c>
      <c r="BD57" s="33">
        <f>VLOOKUP($O57,Eco_DEM_Data!$D$1:$AC$643,25,False)</f>
        <v>508</v>
      </c>
      <c r="BE57" s="33">
        <f>VLOOKUP($O57,Eco_DEM_Data!$D$1:$AC$643,22,False)</f>
        <v>44</v>
      </c>
      <c r="BF57" s="33">
        <f>VLOOKUP($O57,Eco_DEM_Data!$D$1:$AC$643,23,False)</f>
        <v>136</v>
      </c>
      <c r="BG57" s="33">
        <f>VLOOKUP($O57,Eco_DEM_Data!$D$1:$AC$643,21,False)</f>
        <v>5407</v>
      </c>
      <c r="BH57" s="33">
        <f>VLOOKUP($O57,Eco_DEM_Data!$D$1:$AC$643,26,False)</f>
        <v>20</v>
      </c>
      <c r="BI57" s="33" t="str">
        <f>VLOOKUP($O57,Eco_DEM_Data!$D$1:$AC$643,9,False)</f>
        <v>Yucatán moist forests</v>
      </c>
      <c r="BJ57" s="33" t="str">
        <f>VLOOKUP($O57,Eco_DEM_Data!$D$1:$AC$643,11,False)</f>
        <v>Tropical &amp; Subtropical Moist Broadleaf Forests</v>
      </c>
    </row>
    <row r="58">
      <c r="A58" s="33" t="s">
        <v>1944</v>
      </c>
      <c r="B58" s="33" t="s">
        <v>2259</v>
      </c>
      <c r="C58" s="34">
        <v>3.0</v>
      </c>
      <c r="D58" s="33" t="s">
        <v>268</v>
      </c>
      <c r="E58" s="34">
        <v>1996.0</v>
      </c>
      <c r="F58" s="33" t="s">
        <v>1945</v>
      </c>
      <c r="G58" s="45" t="s">
        <v>1946</v>
      </c>
      <c r="H58" s="46"/>
      <c r="I58" s="33"/>
      <c r="J58" s="33" t="s">
        <v>1948</v>
      </c>
      <c r="K58" s="34">
        <v>6.0</v>
      </c>
      <c r="L58" s="33"/>
      <c r="M58" s="6" t="s">
        <v>1949</v>
      </c>
      <c r="N58" s="35" t="s">
        <v>60</v>
      </c>
      <c r="O58" s="33" t="s">
        <v>1950</v>
      </c>
      <c r="P58" s="36" t="s">
        <v>62</v>
      </c>
      <c r="Q58" s="36" t="s">
        <v>167</v>
      </c>
      <c r="R58" s="36" t="s">
        <v>512</v>
      </c>
      <c r="S58" s="37">
        <v>16.916667</v>
      </c>
      <c r="T58" s="37">
        <v>-89.833333</v>
      </c>
      <c r="U58" s="36" t="s">
        <v>148</v>
      </c>
      <c r="V58" s="6" t="s">
        <v>189</v>
      </c>
      <c r="W58" s="33" t="s">
        <v>116</v>
      </c>
      <c r="X58" s="1" t="s">
        <v>1951</v>
      </c>
      <c r="Y58" s="33" t="s">
        <v>70</v>
      </c>
      <c r="Z58" s="36"/>
      <c r="AA58" s="37">
        <v>7.0</v>
      </c>
      <c r="AB58" s="36"/>
      <c r="AC58" s="36"/>
      <c r="AD58" s="36"/>
      <c r="AE58" s="36"/>
      <c r="AF58" s="36"/>
      <c r="AG58" s="36"/>
      <c r="AH58" s="38" t="s">
        <v>72</v>
      </c>
      <c r="AI58" s="37">
        <v>-6890.0</v>
      </c>
      <c r="AJ58" s="37">
        <v>1950.0</v>
      </c>
      <c r="AK58" s="6" t="s">
        <v>73</v>
      </c>
      <c r="AL58" s="6" t="s">
        <v>60</v>
      </c>
      <c r="AM58" s="6" t="s">
        <v>72</v>
      </c>
      <c r="AN58" s="6" t="s">
        <v>72</v>
      </c>
      <c r="AO58" s="33"/>
      <c r="AP58" s="6" t="s">
        <v>75</v>
      </c>
      <c r="AQ58" s="33"/>
      <c r="AR58" s="33"/>
      <c r="AS58" s="33"/>
      <c r="AT58" s="6" t="s">
        <v>76</v>
      </c>
      <c r="AU58" s="33"/>
      <c r="AV58" s="33"/>
      <c r="AW58" s="33"/>
      <c r="AX58" s="33"/>
      <c r="AY58" s="33"/>
      <c r="AZ58" s="6" t="s">
        <v>76</v>
      </c>
      <c r="BA58" s="33"/>
      <c r="BB58" s="33">
        <f>VLOOKUP(O58,Eco_DEM_Data!$D$1:$AC$643,20,False)</f>
        <v>1738</v>
      </c>
      <c r="BC58" s="33">
        <f>VLOOKUP($O58,Eco_DEM_Data!$D$1:$AC$643,20,False)</f>
        <v>1738</v>
      </c>
      <c r="BD58" s="33">
        <f>VLOOKUP($O58,Eco_DEM_Data!$D$1:$AC$643,25,False)</f>
        <v>690</v>
      </c>
      <c r="BE58" s="33">
        <f>VLOOKUP($O58,Eco_DEM_Data!$D$1:$AC$643,22,False)</f>
        <v>36</v>
      </c>
      <c r="BF58" s="33">
        <f>VLOOKUP($O58,Eco_DEM_Data!$D$1:$AC$643,23,False)</f>
        <v>144</v>
      </c>
      <c r="BG58" s="33">
        <f>VLOOKUP($O58,Eco_DEM_Data!$D$1:$AC$643,21,False)</f>
        <v>5677</v>
      </c>
      <c r="BH58" s="33">
        <f>VLOOKUP($O58,Eco_DEM_Data!$D$1:$AC$643,26,False)</f>
        <v>131</v>
      </c>
      <c r="BI58" s="33" t="str">
        <f>VLOOKUP($O58,Eco_DEM_Data!$D$1:$AC$643,9,False)</f>
        <v>Petén-Veracruz moist forests</v>
      </c>
      <c r="BJ58" s="33" t="str">
        <f>VLOOKUP($O58,Eco_DEM_Data!$D$1:$AC$643,11,False)</f>
        <v>Tropical &amp; Subtropical Moist Broadleaf Forests</v>
      </c>
    </row>
    <row r="59">
      <c r="A59" s="33" t="s">
        <v>1944</v>
      </c>
      <c r="B59" s="33" t="s">
        <v>2259</v>
      </c>
      <c r="C59" s="34">
        <v>3.0</v>
      </c>
      <c r="D59" s="33" t="s">
        <v>268</v>
      </c>
      <c r="E59" s="34">
        <v>1996.0</v>
      </c>
      <c r="F59" s="33" t="s">
        <v>1945</v>
      </c>
      <c r="G59" s="45" t="s">
        <v>1946</v>
      </c>
      <c r="H59" s="46"/>
      <c r="I59" s="33"/>
      <c r="J59" s="33" t="s">
        <v>1948</v>
      </c>
      <c r="K59" s="34">
        <v>6.0</v>
      </c>
      <c r="L59" s="33"/>
      <c r="M59" s="6" t="s">
        <v>1949</v>
      </c>
      <c r="N59" s="35" t="s">
        <v>60</v>
      </c>
      <c r="O59" s="33" t="s">
        <v>1952</v>
      </c>
      <c r="P59" s="36" t="s">
        <v>62</v>
      </c>
      <c r="Q59" s="36" t="s">
        <v>167</v>
      </c>
      <c r="R59" s="36" t="s">
        <v>512</v>
      </c>
      <c r="S59" s="37">
        <v>16.916667</v>
      </c>
      <c r="T59" s="37">
        <v>-89.833333</v>
      </c>
      <c r="U59" s="36" t="s">
        <v>148</v>
      </c>
      <c r="V59" s="38" t="s">
        <v>66</v>
      </c>
      <c r="W59" s="41" t="s">
        <v>823</v>
      </c>
      <c r="X59" s="7" t="s">
        <v>1953</v>
      </c>
      <c r="Y59" s="41" t="s">
        <v>70</v>
      </c>
      <c r="Z59" s="43"/>
      <c r="AA59" s="42">
        <v>7.0</v>
      </c>
      <c r="AB59" s="43"/>
      <c r="AC59" s="43"/>
      <c r="AD59" s="43"/>
      <c r="AE59" s="43"/>
      <c r="AF59" s="43"/>
      <c r="AG59" s="43"/>
      <c r="AH59" s="38" t="s">
        <v>72</v>
      </c>
      <c r="AI59" s="42">
        <v>-6890.0</v>
      </c>
      <c r="AJ59" s="42">
        <v>1950.0</v>
      </c>
      <c r="AK59" s="5" t="s">
        <v>73</v>
      </c>
      <c r="AL59" s="5" t="s">
        <v>60</v>
      </c>
      <c r="AM59" s="5" t="s">
        <v>72</v>
      </c>
      <c r="AN59" s="5" t="s">
        <v>72</v>
      </c>
      <c r="AO59" s="41"/>
      <c r="AP59" s="5" t="s">
        <v>75</v>
      </c>
      <c r="AQ59" s="41"/>
      <c r="AR59" s="41"/>
      <c r="AS59" s="41"/>
      <c r="AT59" s="5" t="s">
        <v>60</v>
      </c>
      <c r="AU59" s="33"/>
      <c r="AV59" s="33"/>
      <c r="AW59" s="33"/>
      <c r="AX59" s="33"/>
      <c r="AY59" s="33"/>
      <c r="AZ59" s="6" t="s">
        <v>76</v>
      </c>
      <c r="BA59" s="33"/>
      <c r="BB59" s="33">
        <f>VLOOKUP(O59,Eco_DEM_Data!$D$1:$AC$643,20,False)</f>
        <v>1738</v>
      </c>
      <c r="BC59" s="33">
        <f>VLOOKUP($O59,Eco_DEM_Data!$D$1:$AC$643,20,False)</f>
        <v>1738</v>
      </c>
      <c r="BD59" s="33">
        <f>VLOOKUP($O59,Eco_DEM_Data!$D$1:$AC$643,25,False)</f>
        <v>690</v>
      </c>
      <c r="BE59" s="33">
        <f>VLOOKUP($O59,Eco_DEM_Data!$D$1:$AC$643,22,False)</f>
        <v>36</v>
      </c>
      <c r="BF59" s="33">
        <f>VLOOKUP($O59,Eco_DEM_Data!$D$1:$AC$643,23,False)</f>
        <v>144</v>
      </c>
      <c r="BG59" s="33">
        <f>VLOOKUP($O59,Eco_DEM_Data!$D$1:$AC$643,21,False)</f>
        <v>5677</v>
      </c>
      <c r="BH59" s="33">
        <f>VLOOKUP($O59,Eco_DEM_Data!$D$1:$AC$643,26,False)</f>
        <v>131</v>
      </c>
      <c r="BI59" s="33" t="str">
        <f>VLOOKUP($O59,Eco_DEM_Data!$D$1:$AC$643,9,False)</f>
        <v>Petén-Veracruz moist forests</v>
      </c>
      <c r="BJ59" s="33" t="str">
        <f>VLOOKUP($O59,Eco_DEM_Data!$D$1:$AC$643,11,False)</f>
        <v>Tropical &amp; Subtropical Moist Broadleaf Forests</v>
      </c>
    </row>
    <row r="60">
      <c r="A60" s="33" t="s">
        <v>1944</v>
      </c>
      <c r="B60" s="33" t="s">
        <v>2259</v>
      </c>
      <c r="C60" s="34">
        <v>3.0</v>
      </c>
      <c r="D60" s="33" t="s">
        <v>268</v>
      </c>
      <c r="E60" s="34">
        <v>1996.0</v>
      </c>
      <c r="F60" s="33" t="s">
        <v>1945</v>
      </c>
      <c r="G60" s="45" t="s">
        <v>1946</v>
      </c>
      <c r="H60" s="46"/>
      <c r="I60" s="33"/>
      <c r="J60" s="33" t="s">
        <v>1948</v>
      </c>
      <c r="K60" s="34">
        <v>6.0</v>
      </c>
      <c r="L60" s="33"/>
      <c r="M60" s="6" t="s">
        <v>1949</v>
      </c>
      <c r="N60" s="35" t="s">
        <v>60</v>
      </c>
      <c r="O60" s="33" t="s">
        <v>1954</v>
      </c>
      <c r="P60" s="36" t="s">
        <v>62</v>
      </c>
      <c r="Q60" s="36" t="s">
        <v>167</v>
      </c>
      <c r="R60" s="36" t="s">
        <v>512</v>
      </c>
      <c r="S60" s="37">
        <v>16.916667</v>
      </c>
      <c r="T60" s="37">
        <v>-89.833333</v>
      </c>
      <c r="U60" s="36" t="s">
        <v>148</v>
      </c>
      <c r="V60" s="38" t="s">
        <v>194</v>
      </c>
      <c r="W60" s="6" t="s">
        <v>190</v>
      </c>
      <c r="X60" s="1" t="s">
        <v>286</v>
      </c>
      <c r="Y60" s="33" t="s">
        <v>70</v>
      </c>
      <c r="Z60" s="36"/>
      <c r="AA60" s="37">
        <v>7.0</v>
      </c>
      <c r="AB60" s="36"/>
      <c r="AC60" s="36"/>
      <c r="AD60" s="36"/>
      <c r="AE60" s="36"/>
      <c r="AF60" s="36"/>
      <c r="AG60" s="36"/>
      <c r="AH60" s="38" t="s">
        <v>72</v>
      </c>
      <c r="AI60" s="37">
        <v>-6890.0</v>
      </c>
      <c r="AJ60" s="37">
        <v>1950.0</v>
      </c>
      <c r="AK60" s="6" t="s">
        <v>73</v>
      </c>
      <c r="AL60" s="6" t="s">
        <v>60</v>
      </c>
      <c r="AM60" s="6" t="s">
        <v>72</v>
      </c>
      <c r="AN60" s="6" t="s">
        <v>72</v>
      </c>
      <c r="AO60" s="33"/>
      <c r="AP60" s="6" t="s">
        <v>75</v>
      </c>
      <c r="AQ60" s="33"/>
      <c r="AR60" s="33"/>
      <c r="AS60" s="33"/>
      <c r="AT60" s="6" t="s">
        <v>76</v>
      </c>
      <c r="AU60" s="33"/>
      <c r="AV60" s="33"/>
      <c r="AW60" s="33"/>
      <c r="AX60" s="33"/>
      <c r="AY60" s="33"/>
      <c r="AZ60" s="6" t="s">
        <v>76</v>
      </c>
      <c r="BA60" s="33"/>
      <c r="BB60" s="33">
        <f>VLOOKUP(O60,Eco_DEM_Data!$D$1:$AC$643,20,False)</f>
        <v>1738</v>
      </c>
      <c r="BC60" s="33">
        <f>VLOOKUP($O60,Eco_DEM_Data!$D$1:$AC$643,20,False)</f>
        <v>1738</v>
      </c>
      <c r="BD60" s="33">
        <f>VLOOKUP($O60,Eco_DEM_Data!$D$1:$AC$643,25,False)</f>
        <v>690</v>
      </c>
      <c r="BE60" s="33">
        <f>VLOOKUP($O60,Eco_DEM_Data!$D$1:$AC$643,22,False)</f>
        <v>36</v>
      </c>
      <c r="BF60" s="33">
        <f>VLOOKUP($O60,Eco_DEM_Data!$D$1:$AC$643,23,False)</f>
        <v>144</v>
      </c>
      <c r="BG60" s="33">
        <f>VLOOKUP($O60,Eco_DEM_Data!$D$1:$AC$643,21,False)</f>
        <v>5677</v>
      </c>
      <c r="BH60" s="33">
        <f>VLOOKUP($O60,Eco_DEM_Data!$D$1:$AC$643,26,False)</f>
        <v>131</v>
      </c>
      <c r="BI60" s="33" t="str">
        <f>VLOOKUP($O60,Eco_DEM_Data!$D$1:$AC$643,9,False)</f>
        <v>Petén-Veracruz moist forests</v>
      </c>
      <c r="BJ60" s="33" t="str">
        <f>VLOOKUP($O60,Eco_DEM_Data!$D$1:$AC$643,11,False)</f>
        <v>Tropical &amp; Subtropical Moist Broadleaf Forests</v>
      </c>
    </row>
    <row r="61">
      <c r="A61" s="33" t="s">
        <v>1871</v>
      </c>
      <c r="B61" s="33" t="s">
        <v>2259</v>
      </c>
      <c r="C61" s="34">
        <v>2.0</v>
      </c>
      <c r="D61" s="33" t="s">
        <v>53</v>
      </c>
      <c r="E61" s="34">
        <v>1996.0</v>
      </c>
      <c r="F61" s="33" t="s">
        <v>1872</v>
      </c>
      <c r="G61" s="33" t="s">
        <v>1873</v>
      </c>
      <c r="H61" s="33" t="s">
        <v>1874</v>
      </c>
      <c r="I61" s="50" t="s">
        <v>1875</v>
      </c>
      <c r="J61" s="33" t="s">
        <v>1876</v>
      </c>
      <c r="K61" s="34">
        <v>124.0</v>
      </c>
      <c r="L61" s="33"/>
      <c r="M61" s="6" t="s">
        <v>1877</v>
      </c>
      <c r="N61" s="35" t="s">
        <v>60</v>
      </c>
      <c r="O61" s="33" t="s">
        <v>1878</v>
      </c>
      <c r="P61" s="36" t="s">
        <v>62</v>
      </c>
      <c r="Q61" s="36" t="s">
        <v>112</v>
      </c>
      <c r="R61" s="36" t="s">
        <v>1644</v>
      </c>
      <c r="S61" s="37">
        <v>9.833333</v>
      </c>
      <c r="T61" s="37">
        <v>-84.0</v>
      </c>
      <c r="U61" s="36" t="s">
        <v>148</v>
      </c>
      <c r="V61" s="38" t="s">
        <v>66</v>
      </c>
      <c r="W61" s="41" t="s">
        <v>1287</v>
      </c>
      <c r="X61" s="7" t="s">
        <v>1879</v>
      </c>
      <c r="Y61" s="5" t="s">
        <v>83</v>
      </c>
      <c r="Z61" s="42">
        <v>1.0</v>
      </c>
      <c r="AA61" s="42"/>
      <c r="AB61" s="43"/>
      <c r="AC61" s="43"/>
      <c r="AD61" s="43"/>
      <c r="AE61" s="43"/>
      <c r="AF61" s="43"/>
      <c r="AG61" s="43"/>
      <c r="AH61" s="38" t="s">
        <v>72</v>
      </c>
      <c r="AI61" s="53" t="s">
        <v>72</v>
      </c>
      <c r="AJ61" s="53" t="s">
        <v>72</v>
      </c>
      <c r="AK61" s="5" t="s">
        <v>100</v>
      </c>
      <c r="AL61" s="5" t="s">
        <v>72</v>
      </c>
      <c r="AM61" s="5" t="s">
        <v>72</v>
      </c>
      <c r="AN61" s="5" t="s">
        <v>72</v>
      </c>
      <c r="AO61" s="41"/>
      <c r="AP61" s="5" t="s">
        <v>75</v>
      </c>
      <c r="AQ61" s="41"/>
      <c r="AR61" s="41"/>
      <c r="AS61" s="41"/>
      <c r="AT61" s="5" t="s">
        <v>76</v>
      </c>
      <c r="AU61" s="33"/>
      <c r="AV61" s="33"/>
      <c r="AW61" s="33"/>
      <c r="AX61" s="33"/>
      <c r="AY61" s="40" t="s">
        <v>60</v>
      </c>
      <c r="AZ61" s="6" t="s">
        <v>76</v>
      </c>
      <c r="BA61" s="33"/>
      <c r="BB61" s="33">
        <f>VLOOKUP(O61,Eco_DEM_Data!$D$1:$AC$643,20,False)</f>
        <v>2289</v>
      </c>
      <c r="BC61" s="33">
        <f>VLOOKUP($O61,Eco_DEM_Data!$D$1:$AC$643,20,False)</f>
        <v>2289</v>
      </c>
      <c r="BD61" s="33">
        <f>VLOOKUP($O61,Eco_DEM_Data!$D$1:$AC$643,25,False)</f>
        <v>927</v>
      </c>
      <c r="BE61" s="33">
        <f>VLOOKUP($O61,Eco_DEM_Data!$D$1:$AC$643,22,False)</f>
        <v>22</v>
      </c>
      <c r="BF61" s="33">
        <f>VLOOKUP($O61,Eco_DEM_Data!$D$1:$AC$643,23,False)</f>
        <v>134</v>
      </c>
      <c r="BG61" s="33">
        <f>VLOOKUP($O61,Eco_DEM_Data!$D$1:$AC$643,21,False)</f>
        <v>6580</v>
      </c>
      <c r="BH61" s="33">
        <f>VLOOKUP($O61,Eco_DEM_Data!$D$1:$AC$643,26,False)</f>
        <v>1577</v>
      </c>
      <c r="BI61" s="33" t="str">
        <f>VLOOKUP($O61,Eco_DEM_Data!$D$1:$AC$643,9,False)</f>
        <v>Costa Rican seasonal moist forests</v>
      </c>
      <c r="BJ61" s="33" t="str">
        <f>VLOOKUP($O61,Eco_DEM_Data!$D$1:$AC$643,11,False)</f>
        <v>Tropical &amp; Subtropical Moist Broadleaf Forests</v>
      </c>
    </row>
    <row r="62">
      <c r="A62" s="33" t="s">
        <v>1871</v>
      </c>
      <c r="B62" s="33" t="s">
        <v>2259</v>
      </c>
      <c r="C62" s="34">
        <v>2.0</v>
      </c>
      <c r="D62" s="33" t="s">
        <v>53</v>
      </c>
      <c r="E62" s="34">
        <v>1996.0</v>
      </c>
      <c r="F62" s="33" t="s">
        <v>1872</v>
      </c>
      <c r="G62" s="33" t="s">
        <v>1873</v>
      </c>
      <c r="H62" s="33" t="s">
        <v>1874</v>
      </c>
      <c r="I62" s="50" t="s">
        <v>1875</v>
      </c>
      <c r="J62" s="33" t="s">
        <v>1876</v>
      </c>
      <c r="K62" s="34">
        <v>124.0</v>
      </c>
      <c r="L62" s="33"/>
      <c r="M62" s="6" t="s">
        <v>1877</v>
      </c>
      <c r="N62" s="35" t="s">
        <v>60</v>
      </c>
      <c r="O62" s="33" t="s">
        <v>1880</v>
      </c>
      <c r="P62" s="36" t="s">
        <v>62</v>
      </c>
      <c r="Q62" s="36" t="s">
        <v>112</v>
      </c>
      <c r="R62" s="36" t="s">
        <v>1072</v>
      </c>
      <c r="S62" s="37">
        <v>9.683333</v>
      </c>
      <c r="T62" s="37">
        <v>-83.95</v>
      </c>
      <c r="U62" s="36" t="s">
        <v>148</v>
      </c>
      <c r="V62" s="38" t="s">
        <v>66</v>
      </c>
      <c r="W62" s="41" t="s">
        <v>1287</v>
      </c>
      <c r="X62" s="7" t="s">
        <v>1879</v>
      </c>
      <c r="Y62" s="57" t="s">
        <v>83</v>
      </c>
      <c r="Z62" s="43"/>
      <c r="AA62" s="42">
        <v>5.0</v>
      </c>
      <c r="AB62" s="43"/>
      <c r="AC62" s="43"/>
      <c r="AD62" s="43"/>
      <c r="AE62" s="43"/>
      <c r="AF62" s="43"/>
      <c r="AG62" s="43"/>
      <c r="AH62" s="38" t="s">
        <v>72</v>
      </c>
      <c r="AI62" s="42">
        <v>-7550.0</v>
      </c>
      <c r="AJ62" s="42">
        <v>450.0</v>
      </c>
      <c r="AK62" s="5" t="s">
        <v>100</v>
      </c>
      <c r="AL62" s="5" t="s">
        <v>72</v>
      </c>
      <c r="AM62" s="5" t="s">
        <v>72</v>
      </c>
      <c r="AN62" s="5" t="s">
        <v>72</v>
      </c>
      <c r="AO62" s="41"/>
      <c r="AP62" s="5" t="s">
        <v>75</v>
      </c>
      <c r="AQ62" s="41"/>
      <c r="AR62" s="41"/>
      <c r="AS62" s="41"/>
      <c r="AT62" s="5" t="s">
        <v>76</v>
      </c>
      <c r="AU62" s="33"/>
      <c r="AV62" s="33"/>
      <c r="AW62" s="33"/>
      <c r="AX62" s="33"/>
      <c r="AY62" s="40" t="s">
        <v>60</v>
      </c>
      <c r="AZ62" s="6" t="s">
        <v>76</v>
      </c>
      <c r="BA62" s="33"/>
      <c r="BB62" s="33">
        <f>VLOOKUP(O62,Eco_DEM_Data!$D$1:$AC$643,20,False)</f>
        <v>2384</v>
      </c>
      <c r="BC62" s="33">
        <f>VLOOKUP($O62,Eco_DEM_Data!$D$1:$AC$643,20,False)</f>
        <v>2384</v>
      </c>
      <c r="BD62" s="33">
        <f>VLOOKUP($O62,Eco_DEM_Data!$D$1:$AC$643,25,False)</f>
        <v>1211</v>
      </c>
      <c r="BE62" s="33">
        <f>VLOOKUP($O62,Eco_DEM_Data!$D$1:$AC$643,22,False)</f>
        <v>13</v>
      </c>
      <c r="BF62" s="33">
        <f>VLOOKUP($O62,Eco_DEM_Data!$D$1:$AC$643,23,False)</f>
        <v>51</v>
      </c>
      <c r="BG62" s="33">
        <f>VLOOKUP($O62,Eco_DEM_Data!$D$1:$AC$643,21,False)</f>
        <v>8299</v>
      </c>
      <c r="BH62" s="33">
        <f>VLOOKUP($O62,Eco_DEM_Data!$D$1:$AC$643,26,False)</f>
        <v>2279</v>
      </c>
      <c r="BI62" s="33" t="str">
        <f>VLOOKUP($O62,Eco_DEM_Data!$D$1:$AC$643,9,False)</f>
        <v>Costa Rican seasonal moist forests</v>
      </c>
      <c r="BJ62" s="33" t="str">
        <f>VLOOKUP($O62,Eco_DEM_Data!$D$1:$AC$643,11,False)</f>
        <v>Tropical &amp; Subtropical Moist Broadleaf Forests</v>
      </c>
    </row>
    <row r="63">
      <c r="A63" s="33" t="s">
        <v>179</v>
      </c>
      <c r="B63" s="33" t="s">
        <v>2259</v>
      </c>
      <c r="C63" s="34">
        <v>2.0</v>
      </c>
      <c r="D63" s="33" t="s">
        <v>53</v>
      </c>
      <c r="E63" s="34">
        <v>1996.0</v>
      </c>
      <c r="F63" s="33" t="s">
        <v>180</v>
      </c>
      <c r="G63" s="33" t="s">
        <v>181</v>
      </c>
      <c r="H63" s="33" t="s">
        <v>182</v>
      </c>
      <c r="I63" s="33" t="s">
        <v>183</v>
      </c>
      <c r="J63" s="33" t="s">
        <v>184</v>
      </c>
      <c r="K63" s="34">
        <v>108.0</v>
      </c>
      <c r="L63" s="34">
        <v>7.0</v>
      </c>
      <c r="M63" s="6" t="s">
        <v>185</v>
      </c>
      <c r="N63" s="35" t="s">
        <v>60</v>
      </c>
      <c r="O63" s="33" t="s">
        <v>186</v>
      </c>
      <c r="P63" s="36" t="s">
        <v>62</v>
      </c>
      <c r="Q63" s="36" t="s">
        <v>187</v>
      </c>
      <c r="R63" s="36" t="s">
        <v>188</v>
      </c>
      <c r="S63" s="37">
        <v>17.937719</v>
      </c>
      <c r="T63" s="37">
        <v>-88.366374</v>
      </c>
      <c r="U63" s="36" t="s">
        <v>114</v>
      </c>
      <c r="V63" s="6" t="s">
        <v>189</v>
      </c>
      <c r="W63" s="6" t="s">
        <v>190</v>
      </c>
      <c r="X63" s="1" t="s">
        <v>191</v>
      </c>
      <c r="Y63" s="33" t="s">
        <v>70</v>
      </c>
      <c r="Z63" s="37">
        <v>1.0</v>
      </c>
      <c r="AA63" s="37"/>
      <c r="AB63" s="36"/>
      <c r="AC63" s="36"/>
      <c r="AD63" s="36"/>
      <c r="AE63" s="36"/>
      <c r="AF63" s="36"/>
      <c r="AG63" s="36"/>
      <c r="AH63" s="38" t="s">
        <v>72</v>
      </c>
      <c r="AI63" s="52" t="s">
        <v>72</v>
      </c>
      <c r="AJ63" s="52" t="s">
        <v>72</v>
      </c>
      <c r="AK63" s="6" t="s">
        <v>100</v>
      </c>
      <c r="AL63" s="6" t="s">
        <v>72</v>
      </c>
      <c r="AM63" s="33" t="s">
        <v>192</v>
      </c>
      <c r="AN63" s="6" t="s">
        <v>72</v>
      </c>
      <c r="AO63" s="33"/>
      <c r="AP63" s="6" t="s">
        <v>75</v>
      </c>
      <c r="AQ63" s="33"/>
      <c r="AR63" s="33"/>
      <c r="AS63" s="33"/>
      <c r="AT63" s="6" t="s">
        <v>76</v>
      </c>
      <c r="AU63" s="33"/>
      <c r="AV63" s="33"/>
      <c r="AW63" s="33"/>
      <c r="AX63" s="33"/>
      <c r="AY63" s="33"/>
      <c r="AZ63" s="6" t="s">
        <v>76</v>
      </c>
      <c r="BA63" s="33"/>
      <c r="BB63" s="33">
        <f>VLOOKUP(O63,Eco_DEM_Data!$D$1:$AC$643,20,False)</f>
        <v>1641</v>
      </c>
      <c r="BC63" s="33">
        <f>VLOOKUP($O63,Eco_DEM_Data!$D$1:$AC$643,20,False)</f>
        <v>1641</v>
      </c>
      <c r="BD63" s="33">
        <f>VLOOKUP($O63,Eco_DEM_Data!$D$1:$AC$643,25,False)</f>
        <v>627</v>
      </c>
      <c r="BE63" s="33">
        <f>VLOOKUP($O63,Eco_DEM_Data!$D$1:$AC$643,22,False)</f>
        <v>42</v>
      </c>
      <c r="BF63" s="33">
        <f>VLOOKUP($O63,Eco_DEM_Data!$D$1:$AC$643,23,False)</f>
        <v>136</v>
      </c>
      <c r="BG63" s="33">
        <f>VLOOKUP($O63,Eco_DEM_Data!$D$1:$AC$643,21,False)</f>
        <v>5337</v>
      </c>
      <c r="BH63" s="33">
        <f>VLOOKUP($O63,Eco_DEM_Data!$D$1:$AC$643,26,False)</f>
        <v>15</v>
      </c>
      <c r="BI63" s="33" t="str">
        <f>VLOOKUP($O63,Eco_DEM_Data!$D$1:$AC$643,9,False)</f>
        <v>Petén-Veracruz moist forests</v>
      </c>
      <c r="BJ63" s="33" t="str">
        <f>VLOOKUP($O63,Eco_DEM_Data!$D$1:$AC$643,11,False)</f>
        <v>Tropical &amp; Subtropical Moist Broadleaf Forests</v>
      </c>
    </row>
    <row r="64">
      <c r="A64" s="33" t="s">
        <v>179</v>
      </c>
      <c r="B64" s="33" t="s">
        <v>2259</v>
      </c>
      <c r="C64" s="34">
        <v>2.0</v>
      </c>
      <c r="D64" s="33" t="s">
        <v>53</v>
      </c>
      <c r="E64" s="34">
        <v>1996.0</v>
      </c>
      <c r="F64" s="33" t="s">
        <v>180</v>
      </c>
      <c r="G64" s="33" t="s">
        <v>181</v>
      </c>
      <c r="H64" s="33" t="s">
        <v>182</v>
      </c>
      <c r="I64" s="33" t="s">
        <v>183</v>
      </c>
      <c r="J64" s="33" t="s">
        <v>184</v>
      </c>
      <c r="K64" s="34">
        <v>108.0</v>
      </c>
      <c r="L64" s="34">
        <v>7.0</v>
      </c>
      <c r="M64" s="6" t="s">
        <v>185</v>
      </c>
      <c r="N64" s="35" t="s">
        <v>60</v>
      </c>
      <c r="O64" s="33" t="s">
        <v>193</v>
      </c>
      <c r="P64" s="36" t="s">
        <v>62</v>
      </c>
      <c r="Q64" s="36" t="s">
        <v>187</v>
      </c>
      <c r="R64" s="36" t="s">
        <v>188</v>
      </c>
      <c r="S64" s="37">
        <v>17.937719</v>
      </c>
      <c r="T64" s="37">
        <v>-88.366374</v>
      </c>
      <c r="U64" s="36" t="s">
        <v>114</v>
      </c>
      <c r="V64" s="38" t="s">
        <v>194</v>
      </c>
      <c r="W64" s="6" t="s">
        <v>190</v>
      </c>
      <c r="X64" s="1" t="s">
        <v>191</v>
      </c>
      <c r="Y64" s="33" t="s">
        <v>70</v>
      </c>
      <c r="Z64" s="37">
        <v>1.0</v>
      </c>
      <c r="AA64" s="37"/>
      <c r="AB64" s="36"/>
      <c r="AC64" s="36"/>
      <c r="AD64" s="36"/>
      <c r="AE64" s="36"/>
      <c r="AF64" s="36"/>
      <c r="AG64" s="36"/>
      <c r="AH64" s="38" t="s">
        <v>72</v>
      </c>
      <c r="AI64" s="52" t="s">
        <v>72</v>
      </c>
      <c r="AJ64" s="52" t="s">
        <v>72</v>
      </c>
      <c r="AK64" s="6" t="s">
        <v>100</v>
      </c>
      <c r="AL64" s="6" t="s">
        <v>72</v>
      </c>
      <c r="AM64" s="33" t="s">
        <v>192</v>
      </c>
      <c r="AN64" s="6" t="s">
        <v>72</v>
      </c>
      <c r="AO64" s="33"/>
      <c r="AP64" s="6" t="s">
        <v>75</v>
      </c>
      <c r="AQ64" s="33"/>
      <c r="AR64" s="33"/>
      <c r="AS64" s="33"/>
      <c r="AT64" s="6" t="s">
        <v>76</v>
      </c>
      <c r="AU64" s="33"/>
      <c r="AV64" s="33"/>
      <c r="AW64" s="33"/>
      <c r="AX64" s="33"/>
      <c r="AY64" s="33"/>
      <c r="AZ64" s="6" t="s">
        <v>76</v>
      </c>
      <c r="BA64" s="33"/>
      <c r="BB64" s="33">
        <f>VLOOKUP(O64,Eco_DEM_Data!$D$1:$AC$643,20,False)</f>
        <v>1641</v>
      </c>
      <c r="BC64" s="33">
        <f>VLOOKUP($O64,Eco_DEM_Data!$D$1:$AC$643,20,False)</f>
        <v>1641</v>
      </c>
      <c r="BD64" s="33">
        <f>VLOOKUP($O64,Eco_DEM_Data!$D$1:$AC$643,25,False)</f>
        <v>627</v>
      </c>
      <c r="BE64" s="33">
        <f>VLOOKUP($O64,Eco_DEM_Data!$D$1:$AC$643,22,False)</f>
        <v>42</v>
      </c>
      <c r="BF64" s="33">
        <f>VLOOKUP($O64,Eco_DEM_Data!$D$1:$AC$643,23,False)</f>
        <v>136</v>
      </c>
      <c r="BG64" s="33">
        <f>VLOOKUP($O64,Eco_DEM_Data!$D$1:$AC$643,21,False)</f>
        <v>5337</v>
      </c>
      <c r="BH64" s="33">
        <f>VLOOKUP($O64,Eco_DEM_Data!$D$1:$AC$643,26,False)</f>
        <v>15</v>
      </c>
      <c r="BI64" s="33" t="str">
        <f>VLOOKUP($O64,Eco_DEM_Data!$D$1:$AC$643,9,False)</f>
        <v>Petén-Veracruz moist forests</v>
      </c>
      <c r="BJ64" s="33" t="str">
        <f>VLOOKUP($O64,Eco_DEM_Data!$D$1:$AC$643,11,False)</f>
        <v>Tropical &amp; Subtropical Moist Broadleaf Forests</v>
      </c>
    </row>
    <row r="65">
      <c r="A65" s="33" t="s">
        <v>418</v>
      </c>
      <c r="B65" s="33" t="s">
        <v>2259</v>
      </c>
      <c r="C65" s="34">
        <v>5.0</v>
      </c>
      <c r="D65" s="33" t="s">
        <v>268</v>
      </c>
      <c r="E65" s="34">
        <v>1996.0</v>
      </c>
      <c r="F65" s="33" t="s">
        <v>419</v>
      </c>
      <c r="G65" s="45" t="s">
        <v>420</v>
      </c>
      <c r="H65" s="46"/>
      <c r="I65" s="33"/>
      <c r="J65" s="33" t="s">
        <v>421</v>
      </c>
      <c r="K65" s="34">
        <v>9.0</v>
      </c>
      <c r="L65" s="33"/>
      <c r="M65" s="6" t="s">
        <v>422</v>
      </c>
      <c r="N65" s="35" t="s">
        <v>60</v>
      </c>
      <c r="O65" s="33" t="s">
        <v>1955</v>
      </c>
      <c r="P65" s="36" t="s">
        <v>62</v>
      </c>
      <c r="Q65" s="36" t="s">
        <v>112</v>
      </c>
      <c r="R65" s="36" t="s">
        <v>424</v>
      </c>
      <c r="S65" s="37">
        <v>9.994167</v>
      </c>
      <c r="T65" s="37">
        <v>-83.613056</v>
      </c>
      <c r="U65" s="36" t="s">
        <v>148</v>
      </c>
      <c r="V65" s="6" t="s">
        <v>80</v>
      </c>
      <c r="W65" s="33" t="s">
        <v>156</v>
      </c>
      <c r="X65" s="1" t="s">
        <v>82</v>
      </c>
      <c r="Y65" s="33" t="s">
        <v>1791</v>
      </c>
      <c r="Z65" s="36"/>
      <c r="AA65" s="37">
        <v>8.0</v>
      </c>
      <c r="AB65" s="36"/>
      <c r="AC65" s="36"/>
      <c r="AD65" s="36"/>
      <c r="AE65" s="36"/>
      <c r="AF65" s="36"/>
      <c r="AG65" s="36"/>
      <c r="AH65" s="36" t="s">
        <v>425</v>
      </c>
      <c r="AI65" s="37">
        <v>-610.0</v>
      </c>
      <c r="AJ65" s="37">
        <v>1950.0</v>
      </c>
      <c r="AK65" s="6" t="s">
        <v>153</v>
      </c>
      <c r="AL65" s="6" t="s">
        <v>72</v>
      </c>
      <c r="AM65" s="6" t="s">
        <v>72</v>
      </c>
      <c r="AN65" s="6" t="s">
        <v>72</v>
      </c>
      <c r="AO65" s="33"/>
      <c r="AP65" s="6" t="s">
        <v>75</v>
      </c>
      <c r="AQ65" s="33"/>
      <c r="AR65" s="33"/>
      <c r="AS65" s="33"/>
      <c r="AT65" s="6" t="s">
        <v>76</v>
      </c>
      <c r="AU65" s="33"/>
      <c r="AV65" s="33"/>
      <c r="AW65" s="33"/>
      <c r="AX65" s="33"/>
      <c r="AY65" s="33"/>
      <c r="AZ65" s="6" t="s">
        <v>76</v>
      </c>
      <c r="BA65" s="33"/>
      <c r="BB65" s="33">
        <f>VLOOKUP(O65,Eco_DEM_Data!$D$1:$AC$643,20,False)</f>
        <v>3518</v>
      </c>
      <c r="BC65" s="33">
        <f>VLOOKUP($O65,Eco_DEM_Data!$D$1:$AC$643,20,False)</f>
        <v>3518</v>
      </c>
      <c r="BD65" s="33">
        <f>VLOOKUP($O65,Eco_DEM_Data!$D$1:$AC$643,25,False)</f>
        <v>1148</v>
      </c>
      <c r="BE65" s="33">
        <f>VLOOKUP($O65,Eco_DEM_Data!$D$1:$AC$643,22,False)</f>
        <v>76</v>
      </c>
      <c r="BF65" s="33">
        <f>VLOOKUP($O65,Eco_DEM_Data!$D$1:$AC$643,23,False)</f>
        <v>368</v>
      </c>
      <c r="BG65" s="33">
        <f>VLOOKUP($O65,Eco_DEM_Data!$D$1:$AC$643,21,False)</f>
        <v>3848</v>
      </c>
      <c r="BH65" s="33">
        <f>VLOOKUP($O65,Eco_DEM_Data!$D$1:$AC$643,26,False)</f>
        <v>490</v>
      </c>
      <c r="BI65" s="33" t="str">
        <f>VLOOKUP($O65,Eco_DEM_Data!$D$1:$AC$643,9,False)</f>
        <v>Isthmian-Atlantic moist forests</v>
      </c>
      <c r="BJ65" s="33" t="str">
        <f>VLOOKUP($O65,Eco_DEM_Data!$D$1:$AC$643,11,False)</f>
        <v>Tropical &amp; Subtropical Moist Broadleaf Forests</v>
      </c>
    </row>
    <row r="66">
      <c r="A66" s="33" t="s">
        <v>418</v>
      </c>
      <c r="B66" s="33" t="s">
        <v>2259</v>
      </c>
      <c r="C66" s="34">
        <v>5.0</v>
      </c>
      <c r="D66" s="33" t="s">
        <v>268</v>
      </c>
      <c r="E66" s="34">
        <v>1996.0</v>
      </c>
      <c r="F66" s="33" t="s">
        <v>419</v>
      </c>
      <c r="G66" s="45" t="s">
        <v>420</v>
      </c>
      <c r="H66" s="46"/>
      <c r="I66" s="33"/>
      <c r="J66" s="33" t="s">
        <v>421</v>
      </c>
      <c r="K66" s="34">
        <v>9.0</v>
      </c>
      <c r="L66" s="33"/>
      <c r="M66" s="6" t="s">
        <v>422</v>
      </c>
      <c r="N66" s="35" t="s">
        <v>60</v>
      </c>
      <c r="O66" s="33" t="s">
        <v>1956</v>
      </c>
      <c r="P66" s="36" t="s">
        <v>62</v>
      </c>
      <c r="Q66" s="36" t="s">
        <v>112</v>
      </c>
      <c r="R66" s="36" t="s">
        <v>427</v>
      </c>
      <c r="S66" s="37">
        <v>9.994167</v>
      </c>
      <c r="T66" s="37">
        <v>-83.603056</v>
      </c>
      <c r="U66" s="36" t="s">
        <v>148</v>
      </c>
      <c r="V66" s="38" t="s">
        <v>66</v>
      </c>
      <c r="W66" s="41" t="s">
        <v>823</v>
      </c>
      <c r="X66" s="7" t="s">
        <v>1957</v>
      </c>
      <c r="Y66" s="41" t="s">
        <v>70</v>
      </c>
      <c r="Z66" s="43"/>
      <c r="AA66" s="42">
        <v>4.0</v>
      </c>
      <c r="AB66" s="43"/>
      <c r="AC66" s="43"/>
      <c r="AD66" s="43"/>
      <c r="AE66" s="43"/>
      <c r="AF66" s="43"/>
      <c r="AG66" s="43"/>
      <c r="AH66" s="43" t="s">
        <v>1125</v>
      </c>
      <c r="AI66" s="53" t="s">
        <v>72</v>
      </c>
      <c r="AJ66" s="53" t="s">
        <v>72</v>
      </c>
      <c r="AK66" s="5" t="s">
        <v>73</v>
      </c>
      <c r="AL66" s="5" t="s">
        <v>72</v>
      </c>
      <c r="AM66" s="5" t="s">
        <v>72</v>
      </c>
      <c r="AN66" s="5" t="s">
        <v>72</v>
      </c>
      <c r="AO66" s="41"/>
      <c r="AP66" s="5" t="s">
        <v>75</v>
      </c>
      <c r="AQ66" s="41"/>
      <c r="AR66" s="41"/>
      <c r="AS66" s="41"/>
      <c r="AT66" s="5" t="s">
        <v>60</v>
      </c>
      <c r="AU66" s="33"/>
      <c r="AV66" s="33"/>
      <c r="AW66" s="33"/>
      <c r="AX66" s="33"/>
      <c r="AY66" s="33"/>
      <c r="AZ66" s="6" t="s">
        <v>76</v>
      </c>
      <c r="BA66" s="33"/>
      <c r="BB66" s="33">
        <f>VLOOKUP(O66,Eco_DEM_Data!$D$1:$AC$643,20,False)</f>
        <v>3589</v>
      </c>
      <c r="BC66" s="33">
        <f>VLOOKUP($O66,Eco_DEM_Data!$D$1:$AC$643,20,False)</f>
        <v>3589</v>
      </c>
      <c r="BD66" s="33">
        <f>VLOOKUP($O66,Eco_DEM_Data!$D$1:$AC$643,25,False)</f>
        <v>1136</v>
      </c>
      <c r="BE66" s="33">
        <f>VLOOKUP($O66,Eco_DEM_Data!$D$1:$AC$643,22,False)</f>
        <v>79</v>
      </c>
      <c r="BF66" s="33">
        <f>VLOOKUP($O66,Eco_DEM_Data!$D$1:$AC$643,23,False)</f>
        <v>440</v>
      </c>
      <c r="BG66" s="33">
        <f>VLOOKUP($O66,Eco_DEM_Data!$D$1:$AC$643,21,False)</f>
        <v>3547</v>
      </c>
      <c r="BH66" s="33">
        <f>VLOOKUP($O66,Eco_DEM_Data!$D$1:$AC$643,26,False)</f>
        <v>383</v>
      </c>
      <c r="BI66" s="33" t="str">
        <f>VLOOKUP($O66,Eco_DEM_Data!$D$1:$AC$643,9,False)</f>
        <v>Isthmian-Atlantic moist forests</v>
      </c>
      <c r="BJ66" s="33" t="str">
        <f>VLOOKUP($O66,Eco_DEM_Data!$D$1:$AC$643,11,False)</f>
        <v>Tropical &amp; Subtropical Moist Broadleaf Forests</v>
      </c>
    </row>
    <row r="67">
      <c r="A67" s="33" t="s">
        <v>418</v>
      </c>
      <c r="B67" s="33" t="s">
        <v>2259</v>
      </c>
      <c r="C67" s="34">
        <v>5.0</v>
      </c>
      <c r="D67" s="33" t="s">
        <v>268</v>
      </c>
      <c r="E67" s="34">
        <v>1996.0</v>
      </c>
      <c r="F67" s="33" t="s">
        <v>419</v>
      </c>
      <c r="G67" s="45" t="s">
        <v>420</v>
      </c>
      <c r="H67" s="46"/>
      <c r="I67" s="33"/>
      <c r="J67" s="33" t="s">
        <v>421</v>
      </c>
      <c r="K67" s="34">
        <v>9.0</v>
      </c>
      <c r="L67" s="33"/>
      <c r="M67" s="6" t="s">
        <v>422</v>
      </c>
      <c r="N67" s="35" t="s">
        <v>60</v>
      </c>
      <c r="O67" s="33" t="s">
        <v>1958</v>
      </c>
      <c r="P67" s="36" t="s">
        <v>62</v>
      </c>
      <c r="Q67" s="36" t="s">
        <v>112</v>
      </c>
      <c r="R67" s="36" t="s">
        <v>424</v>
      </c>
      <c r="S67" s="37">
        <v>9.994167</v>
      </c>
      <c r="T67" s="37">
        <v>-83.613056</v>
      </c>
      <c r="U67" s="36" t="s">
        <v>148</v>
      </c>
      <c r="V67" s="38" t="s">
        <v>66</v>
      </c>
      <c r="W67" s="41" t="s">
        <v>823</v>
      </c>
      <c r="X67" s="7" t="s">
        <v>1959</v>
      </c>
      <c r="Y67" s="41" t="s">
        <v>70</v>
      </c>
      <c r="Z67" s="43"/>
      <c r="AA67" s="42">
        <v>8.0</v>
      </c>
      <c r="AB67" s="43"/>
      <c r="AC67" s="43"/>
      <c r="AD67" s="43"/>
      <c r="AE67" s="43"/>
      <c r="AF67" s="43"/>
      <c r="AG67" s="43"/>
      <c r="AH67" s="43" t="s">
        <v>425</v>
      </c>
      <c r="AI67" s="42">
        <v>-610.0</v>
      </c>
      <c r="AJ67" s="42">
        <v>1950.0</v>
      </c>
      <c r="AK67" s="5" t="s">
        <v>153</v>
      </c>
      <c r="AL67" s="5" t="s">
        <v>72</v>
      </c>
      <c r="AM67" s="5" t="s">
        <v>72</v>
      </c>
      <c r="AN67" s="5" t="s">
        <v>72</v>
      </c>
      <c r="AO67" s="41"/>
      <c r="AP67" s="5" t="s">
        <v>75</v>
      </c>
      <c r="AQ67" s="41"/>
      <c r="AR67" s="41"/>
      <c r="AS67" s="41"/>
      <c r="AT67" s="5" t="s">
        <v>60</v>
      </c>
      <c r="AU67" s="33"/>
      <c r="AV67" s="33"/>
      <c r="AW67" s="33"/>
      <c r="AX67" s="33"/>
      <c r="AY67" s="33"/>
      <c r="AZ67" s="6" t="s">
        <v>76</v>
      </c>
      <c r="BA67" s="33"/>
      <c r="BB67" s="33">
        <f>VLOOKUP(O67,Eco_DEM_Data!$D$1:$AC$643,20,False)</f>
        <v>3518</v>
      </c>
      <c r="BC67" s="33">
        <f>VLOOKUP($O67,Eco_DEM_Data!$D$1:$AC$643,20,False)</f>
        <v>3518</v>
      </c>
      <c r="BD67" s="33">
        <f>VLOOKUP($O67,Eco_DEM_Data!$D$1:$AC$643,25,False)</f>
        <v>1148</v>
      </c>
      <c r="BE67" s="33">
        <f>VLOOKUP($O67,Eco_DEM_Data!$D$1:$AC$643,22,False)</f>
        <v>76</v>
      </c>
      <c r="BF67" s="33">
        <f>VLOOKUP($O67,Eco_DEM_Data!$D$1:$AC$643,23,False)</f>
        <v>368</v>
      </c>
      <c r="BG67" s="33">
        <f>VLOOKUP($O67,Eco_DEM_Data!$D$1:$AC$643,21,False)</f>
        <v>3848</v>
      </c>
      <c r="BH67" s="33">
        <f>VLOOKUP($O67,Eco_DEM_Data!$D$1:$AC$643,26,False)</f>
        <v>490</v>
      </c>
      <c r="BI67" s="33" t="str">
        <f>VLOOKUP($O67,Eco_DEM_Data!$D$1:$AC$643,9,False)</f>
        <v>Isthmian-Atlantic moist forests</v>
      </c>
      <c r="BJ67" s="33" t="str">
        <f>VLOOKUP($O67,Eco_DEM_Data!$D$1:$AC$643,11,False)</f>
        <v>Tropical &amp; Subtropical Moist Broadleaf Forests</v>
      </c>
    </row>
    <row r="68">
      <c r="A68" s="33" t="s">
        <v>418</v>
      </c>
      <c r="B68" s="33" t="s">
        <v>2259</v>
      </c>
      <c r="C68" s="34">
        <v>5.0</v>
      </c>
      <c r="D68" s="33" t="s">
        <v>268</v>
      </c>
      <c r="E68" s="34">
        <v>1996.0</v>
      </c>
      <c r="F68" s="33" t="s">
        <v>419</v>
      </c>
      <c r="G68" s="45" t="s">
        <v>420</v>
      </c>
      <c r="H68" s="46"/>
      <c r="I68" s="33"/>
      <c r="J68" s="33" t="s">
        <v>421</v>
      </c>
      <c r="K68" s="34">
        <v>9.0</v>
      </c>
      <c r="L68" s="33"/>
      <c r="M68" s="6" t="s">
        <v>422</v>
      </c>
      <c r="N68" s="35" t="s">
        <v>60</v>
      </c>
      <c r="O68" s="33" t="s">
        <v>423</v>
      </c>
      <c r="P68" s="36" t="s">
        <v>62</v>
      </c>
      <c r="Q68" s="36" t="s">
        <v>112</v>
      </c>
      <c r="R68" s="36" t="s">
        <v>424</v>
      </c>
      <c r="S68" s="37">
        <v>9.994167</v>
      </c>
      <c r="T68" s="37">
        <v>-83.613056</v>
      </c>
      <c r="U68" s="36" t="s">
        <v>148</v>
      </c>
      <c r="V68" s="6" t="s">
        <v>275</v>
      </c>
      <c r="W68" s="33" t="s">
        <v>72</v>
      </c>
      <c r="X68" s="1" t="s">
        <v>278</v>
      </c>
      <c r="Y68" s="6" t="s">
        <v>72</v>
      </c>
      <c r="Z68" s="36"/>
      <c r="AA68" s="37">
        <v>8.0</v>
      </c>
      <c r="AB68" s="36"/>
      <c r="AC68" s="36"/>
      <c r="AD68" s="36"/>
      <c r="AE68" s="36"/>
      <c r="AF68" s="36"/>
      <c r="AG68" s="36"/>
      <c r="AH68" s="36" t="s">
        <v>425</v>
      </c>
      <c r="AI68" s="37">
        <v>-610.0</v>
      </c>
      <c r="AJ68" s="37">
        <v>1950.0</v>
      </c>
      <c r="AK68" s="6" t="s">
        <v>153</v>
      </c>
      <c r="AL68" s="6" t="s">
        <v>72</v>
      </c>
      <c r="AM68" s="6" t="s">
        <v>72</v>
      </c>
      <c r="AN68" s="6" t="s">
        <v>72</v>
      </c>
      <c r="AO68" s="33"/>
      <c r="AP68" s="6" t="s">
        <v>75</v>
      </c>
      <c r="AQ68" s="33"/>
      <c r="AR68" s="33"/>
      <c r="AS68" s="33"/>
      <c r="AT68" s="6" t="s">
        <v>76</v>
      </c>
      <c r="AU68" s="33"/>
      <c r="AV68" s="33"/>
      <c r="AW68" s="33"/>
      <c r="AX68" s="33"/>
      <c r="AY68" s="33"/>
      <c r="AZ68" s="6" t="s">
        <v>76</v>
      </c>
      <c r="BA68" s="33"/>
      <c r="BB68" s="33">
        <f>VLOOKUP(O68,Eco_DEM_Data!$D$1:$AC$643,20,False)</f>
        <v>3518</v>
      </c>
      <c r="BC68" s="33">
        <f>VLOOKUP($O68,Eco_DEM_Data!$D$1:$AC$643,20,False)</f>
        <v>3518</v>
      </c>
      <c r="BD68" s="33">
        <f>VLOOKUP($O68,Eco_DEM_Data!$D$1:$AC$643,25,False)</f>
        <v>1148</v>
      </c>
      <c r="BE68" s="33">
        <f>VLOOKUP($O68,Eco_DEM_Data!$D$1:$AC$643,22,False)</f>
        <v>76</v>
      </c>
      <c r="BF68" s="33">
        <f>VLOOKUP($O68,Eco_DEM_Data!$D$1:$AC$643,23,False)</f>
        <v>368</v>
      </c>
      <c r="BG68" s="33">
        <f>VLOOKUP($O68,Eco_DEM_Data!$D$1:$AC$643,21,False)</f>
        <v>3848</v>
      </c>
      <c r="BH68" s="33">
        <f>VLOOKUP($O68,Eco_DEM_Data!$D$1:$AC$643,26,False)</f>
        <v>490</v>
      </c>
      <c r="BI68" s="33" t="str">
        <f>VLOOKUP($O68,Eco_DEM_Data!$D$1:$AC$643,9,False)</f>
        <v>Isthmian-Atlantic moist forests</v>
      </c>
      <c r="BJ68" s="33" t="str">
        <f>VLOOKUP($O68,Eco_DEM_Data!$D$1:$AC$643,11,False)</f>
        <v>Tropical &amp; Subtropical Moist Broadleaf Forests</v>
      </c>
    </row>
    <row r="69">
      <c r="A69" s="33" t="s">
        <v>418</v>
      </c>
      <c r="B69" s="33" t="s">
        <v>2259</v>
      </c>
      <c r="C69" s="34">
        <v>5.0</v>
      </c>
      <c r="D69" s="33" t="s">
        <v>268</v>
      </c>
      <c r="E69" s="34">
        <v>1996.0</v>
      </c>
      <c r="F69" s="33" t="s">
        <v>419</v>
      </c>
      <c r="G69" s="45" t="s">
        <v>420</v>
      </c>
      <c r="H69" s="46"/>
      <c r="I69" s="33"/>
      <c r="J69" s="33" t="s">
        <v>421</v>
      </c>
      <c r="K69" s="34">
        <v>9.0</v>
      </c>
      <c r="L69" s="33"/>
      <c r="M69" s="6" t="s">
        <v>422</v>
      </c>
      <c r="N69" s="35" t="s">
        <v>60</v>
      </c>
      <c r="O69" s="33" t="s">
        <v>426</v>
      </c>
      <c r="P69" s="36" t="s">
        <v>62</v>
      </c>
      <c r="Q69" s="36" t="s">
        <v>112</v>
      </c>
      <c r="R69" s="36" t="s">
        <v>427</v>
      </c>
      <c r="S69" s="37">
        <v>9.994167</v>
      </c>
      <c r="T69" s="37">
        <v>-83.603056</v>
      </c>
      <c r="U69" s="36" t="s">
        <v>148</v>
      </c>
      <c r="V69" s="6" t="s">
        <v>275</v>
      </c>
      <c r="W69" s="33" t="s">
        <v>72</v>
      </c>
      <c r="X69" s="1" t="s">
        <v>278</v>
      </c>
      <c r="Y69" s="6" t="s">
        <v>72</v>
      </c>
      <c r="Z69" s="36"/>
      <c r="AA69" s="37">
        <v>6.0</v>
      </c>
      <c r="AB69" s="36"/>
      <c r="AC69" s="36"/>
      <c r="AD69" s="36"/>
      <c r="AE69" s="36"/>
      <c r="AF69" s="36"/>
      <c r="AG69" s="36"/>
      <c r="AH69" s="36" t="s">
        <v>428</v>
      </c>
      <c r="AI69" s="52" t="s">
        <v>72</v>
      </c>
      <c r="AJ69" s="52" t="s">
        <v>72</v>
      </c>
      <c r="AK69" s="6" t="s">
        <v>73</v>
      </c>
      <c r="AL69" s="6" t="s">
        <v>72</v>
      </c>
      <c r="AM69" s="6" t="s">
        <v>72</v>
      </c>
      <c r="AN69" s="6" t="s">
        <v>72</v>
      </c>
      <c r="AO69" s="33"/>
      <c r="AP69" s="6" t="s">
        <v>75</v>
      </c>
      <c r="AQ69" s="33"/>
      <c r="AR69" s="33"/>
      <c r="AS69" s="33"/>
      <c r="AT69" s="6" t="s">
        <v>76</v>
      </c>
      <c r="AU69" s="33"/>
      <c r="AV69" s="33"/>
      <c r="AW69" s="33"/>
      <c r="AX69" s="33"/>
      <c r="AY69" s="33"/>
      <c r="AZ69" s="6" t="s">
        <v>76</v>
      </c>
      <c r="BA69" s="33"/>
      <c r="BB69" s="33">
        <f>VLOOKUP(O69,Eco_DEM_Data!$D$1:$AC$643,20,False)</f>
        <v>3589</v>
      </c>
      <c r="BC69" s="33">
        <f>VLOOKUP($O69,Eco_DEM_Data!$D$1:$AC$643,20,False)</f>
        <v>3589</v>
      </c>
      <c r="BD69" s="33">
        <f>VLOOKUP($O69,Eco_DEM_Data!$D$1:$AC$643,25,False)</f>
        <v>1136</v>
      </c>
      <c r="BE69" s="33">
        <f>VLOOKUP($O69,Eco_DEM_Data!$D$1:$AC$643,22,False)</f>
        <v>79</v>
      </c>
      <c r="BF69" s="33">
        <f>VLOOKUP($O69,Eco_DEM_Data!$D$1:$AC$643,23,False)</f>
        <v>440</v>
      </c>
      <c r="BG69" s="33">
        <f>VLOOKUP($O69,Eco_DEM_Data!$D$1:$AC$643,21,False)</f>
        <v>3547</v>
      </c>
      <c r="BH69" s="33">
        <f>VLOOKUP($O69,Eco_DEM_Data!$D$1:$AC$643,26,False)</f>
        <v>383</v>
      </c>
      <c r="BI69" s="33" t="str">
        <f>VLOOKUP($O69,Eco_DEM_Data!$D$1:$AC$643,9,False)</f>
        <v>Isthmian-Atlantic moist forests</v>
      </c>
      <c r="BJ69" s="33" t="str">
        <f>VLOOKUP($O69,Eco_DEM_Data!$D$1:$AC$643,11,False)</f>
        <v>Tropical &amp; Subtropical Moist Broadleaf Forests</v>
      </c>
    </row>
    <row r="70">
      <c r="A70" s="33" t="s">
        <v>418</v>
      </c>
      <c r="B70" s="33" t="s">
        <v>2259</v>
      </c>
      <c r="C70" s="34">
        <v>5.0</v>
      </c>
      <c r="D70" s="33" t="s">
        <v>268</v>
      </c>
      <c r="E70" s="34">
        <v>1996.0</v>
      </c>
      <c r="F70" s="33" t="s">
        <v>419</v>
      </c>
      <c r="G70" s="45" t="s">
        <v>420</v>
      </c>
      <c r="H70" s="46"/>
      <c r="I70" s="33"/>
      <c r="J70" s="33" t="s">
        <v>421</v>
      </c>
      <c r="K70" s="34">
        <v>9.0</v>
      </c>
      <c r="L70" s="33"/>
      <c r="M70" s="6" t="s">
        <v>422</v>
      </c>
      <c r="N70" s="35" t="s">
        <v>60</v>
      </c>
      <c r="O70" s="50" t="s">
        <v>1960</v>
      </c>
      <c r="P70" s="36" t="s">
        <v>62</v>
      </c>
      <c r="Q70" s="36" t="s">
        <v>112</v>
      </c>
      <c r="R70" s="36" t="s">
        <v>424</v>
      </c>
      <c r="S70" s="37">
        <v>9.994167</v>
      </c>
      <c r="T70" s="37">
        <v>-83.613056</v>
      </c>
      <c r="U70" s="36" t="s">
        <v>148</v>
      </c>
      <c r="V70" s="38" t="s">
        <v>194</v>
      </c>
      <c r="W70" s="33" t="s">
        <v>115</v>
      </c>
      <c r="X70" s="1" t="s">
        <v>286</v>
      </c>
      <c r="Y70" s="33" t="s">
        <v>70</v>
      </c>
      <c r="Z70" s="36"/>
      <c r="AA70" s="37">
        <v>8.0</v>
      </c>
      <c r="AB70" s="36"/>
      <c r="AC70" s="36"/>
      <c r="AD70" s="36"/>
      <c r="AE70" s="36"/>
      <c r="AF70" s="36"/>
      <c r="AG70" s="36"/>
      <c r="AH70" s="36" t="s">
        <v>425</v>
      </c>
      <c r="AI70" s="37">
        <v>-610.0</v>
      </c>
      <c r="AJ70" s="37">
        <v>1950.0</v>
      </c>
      <c r="AK70" s="6" t="s">
        <v>153</v>
      </c>
      <c r="AL70" s="6" t="s">
        <v>72</v>
      </c>
      <c r="AM70" s="6" t="s">
        <v>72</v>
      </c>
      <c r="AN70" s="6" t="s">
        <v>72</v>
      </c>
      <c r="AO70" s="33"/>
      <c r="AP70" s="6" t="s">
        <v>75</v>
      </c>
      <c r="AQ70" s="33"/>
      <c r="AR70" s="33"/>
      <c r="AS70" s="33"/>
      <c r="AT70" s="6" t="s">
        <v>76</v>
      </c>
      <c r="AU70" s="33"/>
      <c r="AV70" s="33"/>
      <c r="AW70" s="33"/>
      <c r="AX70" s="33"/>
      <c r="AY70" s="33"/>
      <c r="AZ70" s="6" t="s">
        <v>76</v>
      </c>
      <c r="BA70" s="33"/>
      <c r="BB70" s="33">
        <f>VLOOKUP(O70,Eco_DEM_Data!$D$1:$AC$643,20,False)</f>
        <v>3518</v>
      </c>
      <c r="BC70" s="33">
        <f>VLOOKUP($O70,Eco_DEM_Data!$D$1:$AC$643,20,False)</f>
        <v>3518</v>
      </c>
      <c r="BD70" s="33">
        <f>VLOOKUP($O70,Eco_DEM_Data!$D$1:$AC$643,25,False)</f>
        <v>1148</v>
      </c>
      <c r="BE70" s="33">
        <f>VLOOKUP($O70,Eco_DEM_Data!$D$1:$AC$643,22,False)</f>
        <v>76</v>
      </c>
      <c r="BF70" s="33">
        <f>VLOOKUP($O70,Eco_DEM_Data!$D$1:$AC$643,23,False)</f>
        <v>368</v>
      </c>
      <c r="BG70" s="33">
        <f>VLOOKUP($O70,Eco_DEM_Data!$D$1:$AC$643,21,False)</f>
        <v>3848</v>
      </c>
      <c r="BH70" s="33">
        <f>VLOOKUP($O70,Eco_DEM_Data!$D$1:$AC$643,26,False)</f>
        <v>490</v>
      </c>
      <c r="BI70" s="33" t="str">
        <f>VLOOKUP($O70,Eco_DEM_Data!$D$1:$AC$643,9,False)</f>
        <v>Isthmian-Atlantic moist forests</v>
      </c>
      <c r="BJ70" s="33" t="str">
        <f>VLOOKUP($O70,Eco_DEM_Data!$D$1:$AC$643,11,False)</f>
        <v>Tropical &amp; Subtropical Moist Broadleaf Forests</v>
      </c>
    </row>
    <row r="71">
      <c r="A71" s="33" t="s">
        <v>418</v>
      </c>
      <c r="B71" s="33" t="s">
        <v>2259</v>
      </c>
      <c r="C71" s="34">
        <v>5.0</v>
      </c>
      <c r="D71" s="33" t="s">
        <v>268</v>
      </c>
      <c r="E71" s="34">
        <v>1996.0</v>
      </c>
      <c r="F71" s="33" t="s">
        <v>419</v>
      </c>
      <c r="G71" s="45" t="s">
        <v>420</v>
      </c>
      <c r="H71" s="46"/>
      <c r="I71" s="33"/>
      <c r="J71" s="33" t="s">
        <v>421</v>
      </c>
      <c r="K71" s="34">
        <v>9.0</v>
      </c>
      <c r="L71" s="33"/>
      <c r="M71" s="6" t="s">
        <v>422</v>
      </c>
      <c r="N71" s="35" t="s">
        <v>60</v>
      </c>
      <c r="O71" s="33" t="s">
        <v>1961</v>
      </c>
      <c r="P71" s="36" t="s">
        <v>62</v>
      </c>
      <c r="Q71" s="36" t="s">
        <v>112</v>
      </c>
      <c r="R71" s="36" t="s">
        <v>427</v>
      </c>
      <c r="S71" s="37">
        <v>9.994167</v>
      </c>
      <c r="T71" s="37">
        <v>-83.603056</v>
      </c>
      <c r="U71" s="36" t="s">
        <v>148</v>
      </c>
      <c r="V71" s="6" t="s">
        <v>189</v>
      </c>
      <c r="W71" s="33" t="s">
        <v>115</v>
      </c>
      <c r="X71" s="1" t="s">
        <v>284</v>
      </c>
      <c r="Y71" s="33" t="s">
        <v>70</v>
      </c>
      <c r="Z71" s="36"/>
      <c r="AA71" s="37">
        <v>6.0</v>
      </c>
      <c r="AB71" s="36"/>
      <c r="AC71" s="36"/>
      <c r="AD71" s="36"/>
      <c r="AE71" s="36"/>
      <c r="AF71" s="36"/>
      <c r="AG71" s="36"/>
      <c r="AH71" s="36" t="s">
        <v>428</v>
      </c>
      <c r="AI71" s="52" t="s">
        <v>72</v>
      </c>
      <c r="AJ71" s="52" t="s">
        <v>72</v>
      </c>
      <c r="AK71" s="6" t="s">
        <v>73</v>
      </c>
      <c r="AL71" s="6" t="s">
        <v>72</v>
      </c>
      <c r="AM71" s="6" t="s">
        <v>72</v>
      </c>
      <c r="AN71" s="6" t="s">
        <v>72</v>
      </c>
      <c r="AO71" s="33"/>
      <c r="AP71" s="6" t="s">
        <v>75</v>
      </c>
      <c r="AQ71" s="33"/>
      <c r="AR71" s="33"/>
      <c r="AS71" s="33"/>
      <c r="AT71" s="6" t="s">
        <v>76</v>
      </c>
      <c r="AU71" s="33"/>
      <c r="AV71" s="33"/>
      <c r="AW71" s="33"/>
      <c r="AX71" s="33"/>
      <c r="AY71" s="33"/>
      <c r="AZ71" s="6" t="s">
        <v>76</v>
      </c>
      <c r="BA71" s="33"/>
      <c r="BB71" s="33">
        <f>VLOOKUP(O71,Eco_DEM_Data!$D$1:$AC$643,20,False)</f>
        <v>3589</v>
      </c>
      <c r="BC71" s="33">
        <f>VLOOKUP($O71,Eco_DEM_Data!$D$1:$AC$643,20,False)</f>
        <v>3589</v>
      </c>
      <c r="BD71" s="33">
        <f>VLOOKUP($O71,Eco_DEM_Data!$D$1:$AC$643,25,False)</f>
        <v>1136</v>
      </c>
      <c r="BE71" s="33">
        <f>VLOOKUP($O71,Eco_DEM_Data!$D$1:$AC$643,22,False)</f>
        <v>79</v>
      </c>
      <c r="BF71" s="33">
        <f>VLOOKUP($O71,Eco_DEM_Data!$D$1:$AC$643,23,False)</f>
        <v>440</v>
      </c>
      <c r="BG71" s="33">
        <f>VLOOKUP($O71,Eco_DEM_Data!$D$1:$AC$643,21,False)</f>
        <v>3547</v>
      </c>
      <c r="BH71" s="33">
        <f>VLOOKUP($O71,Eco_DEM_Data!$D$1:$AC$643,26,False)</f>
        <v>383</v>
      </c>
      <c r="BI71" s="33" t="str">
        <f>VLOOKUP($O71,Eco_DEM_Data!$D$1:$AC$643,9,False)</f>
        <v>Isthmian-Atlantic moist forests</v>
      </c>
      <c r="BJ71" s="33" t="str">
        <f>VLOOKUP($O71,Eco_DEM_Data!$D$1:$AC$643,11,False)</f>
        <v>Tropical &amp; Subtropical Moist Broadleaf Forests</v>
      </c>
    </row>
    <row r="72">
      <c r="A72" s="33" t="s">
        <v>418</v>
      </c>
      <c r="B72" s="33" t="s">
        <v>2259</v>
      </c>
      <c r="C72" s="34">
        <v>5.0</v>
      </c>
      <c r="D72" s="33" t="s">
        <v>268</v>
      </c>
      <c r="E72" s="34">
        <v>1996.0</v>
      </c>
      <c r="F72" s="33" t="s">
        <v>419</v>
      </c>
      <c r="G72" s="45" t="s">
        <v>420</v>
      </c>
      <c r="H72" s="46"/>
      <c r="I72" s="33"/>
      <c r="J72" s="33" t="s">
        <v>421</v>
      </c>
      <c r="K72" s="34">
        <v>9.0</v>
      </c>
      <c r="L72" s="33"/>
      <c r="M72" s="6" t="s">
        <v>422</v>
      </c>
      <c r="N72" s="35" t="s">
        <v>60</v>
      </c>
      <c r="O72" s="33" t="s">
        <v>1962</v>
      </c>
      <c r="P72" s="36" t="s">
        <v>62</v>
      </c>
      <c r="Q72" s="36" t="s">
        <v>112</v>
      </c>
      <c r="R72" s="36" t="s">
        <v>424</v>
      </c>
      <c r="S72" s="37">
        <v>9.994167</v>
      </c>
      <c r="T72" s="37">
        <v>-83.613056</v>
      </c>
      <c r="U72" s="36" t="s">
        <v>148</v>
      </c>
      <c r="V72" s="38" t="s">
        <v>194</v>
      </c>
      <c r="W72" s="33" t="s">
        <v>115</v>
      </c>
      <c r="X72" s="1" t="s">
        <v>286</v>
      </c>
      <c r="Y72" s="33" t="s">
        <v>70</v>
      </c>
      <c r="Z72" s="36"/>
      <c r="AA72" s="37">
        <v>8.0</v>
      </c>
      <c r="AB72" s="36"/>
      <c r="AC72" s="36"/>
      <c r="AD72" s="36"/>
      <c r="AE72" s="36"/>
      <c r="AF72" s="36"/>
      <c r="AG72" s="36"/>
      <c r="AH72" s="36" t="s">
        <v>425</v>
      </c>
      <c r="AI72" s="37">
        <v>-610.0</v>
      </c>
      <c r="AJ72" s="37">
        <v>1950.0</v>
      </c>
      <c r="AK72" s="6" t="s">
        <v>153</v>
      </c>
      <c r="AL72" s="6" t="s">
        <v>72</v>
      </c>
      <c r="AM72" s="6" t="s">
        <v>72</v>
      </c>
      <c r="AN72" s="6" t="s">
        <v>72</v>
      </c>
      <c r="AO72" s="33"/>
      <c r="AP72" s="6" t="s">
        <v>75</v>
      </c>
      <c r="AQ72" s="33"/>
      <c r="AR72" s="33"/>
      <c r="AS72" s="33"/>
      <c r="AT72" s="6" t="s">
        <v>76</v>
      </c>
      <c r="AU72" s="33"/>
      <c r="AV72" s="33"/>
      <c r="AW72" s="33"/>
      <c r="AX72" s="33"/>
      <c r="AY72" s="33"/>
      <c r="AZ72" s="6" t="s">
        <v>76</v>
      </c>
      <c r="BA72" s="33"/>
      <c r="BB72" s="33">
        <f>VLOOKUP(O72,Eco_DEM_Data!$D$1:$AC$643,20,False)</f>
        <v>3518</v>
      </c>
      <c r="BC72" s="33">
        <f>VLOOKUP($O72,Eco_DEM_Data!$D$1:$AC$643,20,False)</f>
        <v>3518</v>
      </c>
      <c r="BD72" s="33">
        <f>VLOOKUP($O72,Eco_DEM_Data!$D$1:$AC$643,25,False)</f>
        <v>1148</v>
      </c>
      <c r="BE72" s="33">
        <f>VLOOKUP($O72,Eco_DEM_Data!$D$1:$AC$643,22,False)</f>
        <v>76</v>
      </c>
      <c r="BF72" s="33">
        <f>VLOOKUP($O72,Eco_DEM_Data!$D$1:$AC$643,23,False)</f>
        <v>368</v>
      </c>
      <c r="BG72" s="33">
        <f>VLOOKUP($O72,Eco_DEM_Data!$D$1:$AC$643,21,False)</f>
        <v>3848</v>
      </c>
      <c r="BH72" s="33">
        <f>VLOOKUP($O72,Eco_DEM_Data!$D$1:$AC$643,26,False)</f>
        <v>490</v>
      </c>
      <c r="BI72" s="33" t="str">
        <f>VLOOKUP($O72,Eco_DEM_Data!$D$1:$AC$643,9,False)</f>
        <v>Isthmian-Atlantic moist forests</v>
      </c>
      <c r="BJ72" s="33" t="str">
        <f>VLOOKUP($O72,Eco_DEM_Data!$D$1:$AC$643,11,False)</f>
        <v>Tropical &amp; Subtropical Moist Broadleaf Forests</v>
      </c>
    </row>
    <row r="73">
      <c r="A73" s="33" t="s">
        <v>418</v>
      </c>
      <c r="B73" s="33" t="s">
        <v>2259</v>
      </c>
      <c r="C73" s="34">
        <v>5.0</v>
      </c>
      <c r="D73" s="33" t="s">
        <v>268</v>
      </c>
      <c r="E73" s="34">
        <v>1996.0</v>
      </c>
      <c r="F73" s="33" t="s">
        <v>419</v>
      </c>
      <c r="G73" s="45" t="s">
        <v>420</v>
      </c>
      <c r="H73" s="46"/>
      <c r="I73" s="33"/>
      <c r="J73" s="33" t="s">
        <v>421</v>
      </c>
      <c r="K73" s="34">
        <v>9.0</v>
      </c>
      <c r="L73" s="33"/>
      <c r="M73" s="6" t="s">
        <v>422</v>
      </c>
      <c r="N73" s="35" t="s">
        <v>60</v>
      </c>
      <c r="O73" s="33" t="s">
        <v>1963</v>
      </c>
      <c r="P73" s="36" t="s">
        <v>62</v>
      </c>
      <c r="Q73" s="36" t="s">
        <v>112</v>
      </c>
      <c r="R73" s="36" t="s">
        <v>427</v>
      </c>
      <c r="S73" s="37">
        <v>9.994167</v>
      </c>
      <c r="T73" s="37">
        <v>-83.603056</v>
      </c>
      <c r="U73" s="36" t="s">
        <v>148</v>
      </c>
      <c r="V73" s="6" t="s">
        <v>189</v>
      </c>
      <c r="W73" s="33" t="s">
        <v>115</v>
      </c>
      <c r="X73" s="1" t="s">
        <v>284</v>
      </c>
      <c r="Y73" s="33" t="s">
        <v>70</v>
      </c>
      <c r="Z73" s="36"/>
      <c r="AA73" s="37">
        <v>6.0</v>
      </c>
      <c r="AB73" s="36"/>
      <c r="AC73" s="36"/>
      <c r="AD73" s="36"/>
      <c r="AE73" s="36"/>
      <c r="AF73" s="36"/>
      <c r="AG73" s="36"/>
      <c r="AH73" s="36" t="s">
        <v>428</v>
      </c>
      <c r="AI73" s="52" t="s">
        <v>72</v>
      </c>
      <c r="AJ73" s="52" t="s">
        <v>72</v>
      </c>
      <c r="AK73" s="6" t="s">
        <v>73</v>
      </c>
      <c r="AL73" s="6" t="s">
        <v>72</v>
      </c>
      <c r="AM73" s="6" t="s">
        <v>72</v>
      </c>
      <c r="AN73" s="6" t="s">
        <v>72</v>
      </c>
      <c r="AO73" s="33"/>
      <c r="AP73" s="6" t="s">
        <v>75</v>
      </c>
      <c r="AQ73" s="33"/>
      <c r="AR73" s="33"/>
      <c r="AS73" s="33"/>
      <c r="AT73" s="6" t="s">
        <v>76</v>
      </c>
      <c r="AU73" s="33"/>
      <c r="AV73" s="33"/>
      <c r="AW73" s="33"/>
      <c r="AX73" s="33"/>
      <c r="AY73" s="33"/>
      <c r="AZ73" s="6" t="s">
        <v>76</v>
      </c>
      <c r="BA73" s="33"/>
      <c r="BB73" s="33">
        <f>VLOOKUP(O73,Eco_DEM_Data!$D$1:$AC$643,20,False)</f>
        <v>3589</v>
      </c>
      <c r="BC73" s="33">
        <f>VLOOKUP($O73,Eco_DEM_Data!$D$1:$AC$643,20,False)</f>
        <v>3589</v>
      </c>
      <c r="BD73" s="33">
        <f>VLOOKUP($O73,Eco_DEM_Data!$D$1:$AC$643,25,False)</f>
        <v>1136</v>
      </c>
      <c r="BE73" s="33">
        <f>VLOOKUP($O73,Eco_DEM_Data!$D$1:$AC$643,22,False)</f>
        <v>79</v>
      </c>
      <c r="BF73" s="33">
        <f>VLOOKUP($O73,Eco_DEM_Data!$D$1:$AC$643,23,False)</f>
        <v>440</v>
      </c>
      <c r="BG73" s="33">
        <f>VLOOKUP($O73,Eco_DEM_Data!$D$1:$AC$643,21,False)</f>
        <v>3547</v>
      </c>
      <c r="BH73" s="33">
        <f>VLOOKUP($O73,Eco_DEM_Data!$D$1:$AC$643,26,False)</f>
        <v>383</v>
      </c>
      <c r="BI73" s="33" t="str">
        <f>VLOOKUP($O73,Eco_DEM_Data!$D$1:$AC$643,9,False)</f>
        <v>Isthmian-Atlantic moist forests</v>
      </c>
      <c r="BJ73" s="33" t="str">
        <f>VLOOKUP($O73,Eco_DEM_Data!$D$1:$AC$643,11,False)</f>
        <v>Tropical &amp; Subtropical Moist Broadleaf Forests</v>
      </c>
    </row>
    <row r="74">
      <c r="A74" s="33" t="s">
        <v>1134</v>
      </c>
      <c r="B74" s="33" t="s">
        <v>2258</v>
      </c>
      <c r="C74" s="34">
        <v>2.0</v>
      </c>
      <c r="D74" s="33" t="s">
        <v>53</v>
      </c>
      <c r="E74" s="34">
        <v>1996.0</v>
      </c>
      <c r="F74" s="33" t="s">
        <v>1135</v>
      </c>
      <c r="G74" s="33" t="s">
        <v>1136</v>
      </c>
      <c r="H74" s="45" t="s">
        <v>631</v>
      </c>
      <c r="I74" s="33"/>
      <c r="J74" s="33"/>
      <c r="K74" s="34">
        <v>7.0</v>
      </c>
      <c r="L74" s="34">
        <v>4.0</v>
      </c>
      <c r="M74" s="6" t="s">
        <v>1137</v>
      </c>
      <c r="N74" s="35" t="s">
        <v>60</v>
      </c>
      <c r="O74" s="33" t="s">
        <v>1138</v>
      </c>
      <c r="P74" s="36" t="s">
        <v>62</v>
      </c>
      <c r="Q74" s="36" t="s">
        <v>187</v>
      </c>
      <c r="R74" s="36" t="s">
        <v>188</v>
      </c>
      <c r="S74" s="37">
        <v>18.419475</v>
      </c>
      <c r="T74" s="37">
        <v>-88.516108</v>
      </c>
      <c r="U74" s="36" t="s">
        <v>114</v>
      </c>
      <c r="V74" s="6" t="s">
        <v>80</v>
      </c>
      <c r="W74" s="33" t="s">
        <v>156</v>
      </c>
      <c r="X74" s="3" t="s">
        <v>72</v>
      </c>
      <c r="Y74" s="58" t="s">
        <v>83</v>
      </c>
      <c r="Z74" s="36"/>
      <c r="AA74" s="37">
        <v>2.0</v>
      </c>
      <c r="AB74" s="36"/>
      <c r="AC74" s="36"/>
      <c r="AD74" s="36"/>
      <c r="AE74" s="36"/>
      <c r="AF74" s="36"/>
      <c r="AG74" s="36"/>
      <c r="AH74" s="38" t="s">
        <v>72</v>
      </c>
      <c r="AI74" s="37">
        <v>-5300.0</v>
      </c>
      <c r="AJ74" s="37">
        <v>-1650.0</v>
      </c>
      <c r="AK74" s="6" t="s">
        <v>100</v>
      </c>
      <c r="AL74" s="6" t="s">
        <v>72</v>
      </c>
      <c r="AM74" s="6" t="s">
        <v>72</v>
      </c>
      <c r="AN74" s="6" t="s">
        <v>72</v>
      </c>
      <c r="AO74" s="33"/>
      <c r="AP74" s="6" t="s">
        <v>75</v>
      </c>
      <c r="AQ74" s="33"/>
      <c r="AR74" s="33"/>
      <c r="AS74" s="33"/>
      <c r="AT74" s="6" t="s">
        <v>76</v>
      </c>
      <c r="AU74" s="33"/>
      <c r="AV74" s="33"/>
      <c r="AW74" s="33"/>
      <c r="AX74" s="33"/>
      <c r="AY74" s="6" t="s">
        <v>60</v>
      </c>
      <c r="AZ74" s="6" t="s">
        <v>76</v>
      </c>
      <c r="BA74" s="33"/>
      <c r="BB74" s="33">
        <f>VLOOKUP(O74,Eco_DEM_Data!$D$1:$AC$643,20,False)</f>
        <v>1225</v>
      </c>
      <c r="BC74" s="33">
        <f>VLOOKUP($O74,Eco_DEM_Data!$D$1:$AC$643,20,False)</f>
        <v>1225</v>
      </c>
      <c r="BD74" s="33">
        <f>VLOOKUP($O74,Eco_DEM_Data!$D$1:$AC$643,25,False)</f>
        <v>506</v>
      </c>
      <c r="BE74" s="33">
        <f>VLOOKUP($O74,Eco_DEM_Data!$D$1:$AC$643,22,False)</f>
        <v>24</v>
      </c>
      <c r="BF74" s="33">
        <f>VLOOKUP($O74,Eco_DEM_Data!$D$1:$AC$643,23,False)</f>
        <v>85</v>
      </c>
      <c r="BG74" s="33">
        <f>VLOOKUP($O74,Eco_DEM_Data!$D$1:$AC$643,21,False)</f>
        <v>6237</v>
      </c>
      <c r="BH74" s="33">
        <f>VLOOKUP($O74,Eco_DEM_Data!$D$1:$AC$643,26,False)</f>
        <v>11</v>
      </c>
      <c r="BI74" s="33" t="str">
        <f>VLOOKUP($O74,Eco_DEM_Data!$D$1:$AC$643,9,False)</f>
        <v>Petén-Veracruz moist forests</v>
      </c>
      <c r="BJ74" s="33" t="str">
        <f>VLOOKUP($O74,Eco_DEM_Data!$D$1:$AC$643,11,False)</f>
        <v>Tropical &amp; Subtropical Moist Broadleaf Forests</v>
      </c>
    </row>
    <row r="75">
      <c r="A75" s="33" t="s">
        <v>1134</v>
      </c>
      <c r="B75" s="33" t="s">
        <v>2258</v>
      </c>
      <c r="C75" s="34">
        <v>2.0</v>
      </c>
      <c r="D75" s="33" t="s">
        <v>53</v>
      </c>
      <c r="E75" s="34">
        <v>1996.0</v>
      </c>
      <c r="F75" s="33" t="s">
        <v>1135</v>
      </c>
      <c r="G75" s="33" t="s">
        <v>1136</v>
      </c>
      <c r="H75" s="45" t="s">
        <v>631</v>
      </c>
      <c r="I75" s="33"/>
      <c r="J75" s="33"/>
      <c r="K75" s="34">
        <v>7.0</v>
      </c>
      <c r="L75" s="34">
        <v>4.0</v>
      </c>
      <c r="M75" s="6" t="s">
        <v>1137</v>
      </c>
      <c r="N75" s="35" t="s">
        <v>60</v>
      </c>
      <c r="O75" s="33" t="s">
        <v>1139</v>
      </c>
      <c r="P75" s="36" t="s">
        <v>62</v>
      </c>
      <c r="Q75" s="36" t="s">
        <v>187</v>
      </c>
      <c r="R75" s="36" t="s">
        <v>188</v>
      </c>
      <c r="S75" s="37">
        <v>17.937719</v>
      </c>
      <c r="T75" s="37">
        <v>-88.366374</v>
      </c>
      <c r="U75" s="36" t="s">
        <v>114</v>
      </c>
      <c r="V75" s="38" t="s">
        <v>66</v>
      </c>
      <c r="W75" s="41" t="s">
        <v>1287</v>
      </c>
      <c r="X75" s="10" t="s">
        <v>72</v>
      </c>
      <c r="Y75" s="41" t="s">
        <v>70</v>
      </c>
      <c r="Z75" s="42">
        <v>1.0</v>
      </c>
      <c r="AA75" s="42">
        <v>2.0</v>
      </c>
      <c r="AB75" s="43"/>
      <c r="AC75" s="43"/>
      <c r="AD75" s="43"/>
      <c r="AE75" s="43"/>
      <c r="AF75" s="43"/>
      <c r="AG75" s="43"/>
      <c r="AH75" s="43" t="s">
        <v>1140</v>
      </c>
      <c r="AI75" s="42">
        <v>-5500.0</v>
      </c>
      <c r="AJ75" s="42">
        <v>-1630.0</v>
      </c>
      <c r="AK75" s="5" t="s">
        <v>100</v>
      </c>
      <c r="AL75" s="5" t="s">
        <v>72</v>
      </c>
      <c r="AM75" s="41" t="s">
        <v>1141</v>
      </c>
      <c r="AN75" s="5" t="s">
        <v>72</v>
      </c>
      <c r="AO75" s="41"/>
      <c r="AP75" s="5" t="s">
        <v>75</v>
      </c>
      <c r="AQ75" s="41"/>
      <c r="AR75" s="41"/>
      <c r="AS75" s="41"/>
      <c r="AT75" s="5" t="s">
        <v>76</v>
      </c>
      <c r="AU75" s="33"/>
      <c r="AV75" s="33"/>
      <c r="AW75" s="33"/>
      <c r="AX75" s="33"/>
      <c r="AY75" s="6" t="s">
        <v>60</v>
      </c>
      <c r="AZ75" s="6" t="s">
        <v>76</v>
      </c>
      <c r="BA75" s="33"/>
      <c r="BB75" s="33">
        <f>VLOOKUP(O75,Eco_DEM_Data!$D$1:$AC$643,20,False)</f>
        <v>1641</v>
      </c>
      <c r="BC75" s="33">
        <f>VLOOKUP($O75,Eco_DEM_Data!$D$1:$AC$643,20,False)</f>
        <v>1641</v>
      </c>
      <c r="BD75" s="33">
        <f>VLOOKUP($O75,Eco_DEM_Data!$D$1:$AC$643,25,False)</f>
        <v>627</v>
      </c>
      <c r="BE75" s="33">
        <f>VLOOKUP($O75,Eco_DEM_Data!$D$1:$AC$643,22,False)</f>
        <v>42</v>
      </c>
      <c r="BF75" s="33">
        <f>VLOOKUP($O75,Eco_DEM_Data!$D$1:$AC$643,23,False)</f>
        <v>136</v>
      </c>
      <c r="BG75" s="33">
        <f>VLOOKUP($O75,Eco_DEM_Data!$D$1:$AC$643,21,False)</f>
        <v>5337</v>
      </c>
      <c r="BH75" s="33">
        <f>VLOOKUP($O75,Eco_DEM_Data!$D$1:$AC$643,26,False)</f>
        <v>15</v>
      </c>
      <c r="BI75" s="33" t="str">
        <f>VLOOKUP($O75,Eco_DEM_Data!$D$1:$AC$643,9,False)</f>
        <v>Petén-Veracruz moist forests</v>
      </c>
      <c r="BJ75" s="33" t="str">
        <f>VLOOKUP($O75,Eco_DEM_Data!$D$1:$AC$643,11,False)</f>
        <v>Tropical &amp; Subtropical Moist Broadleaf Forests</v>
      </c>
    </row>
    <row r="76">
      <c r="A76" s="33" t="s">
        <v>447</v>
      </c>
      <c r="B76" s="33" t="s">
        <v>2258</v>
      </c>
      <c r="C76" s="34">
        <v>4.0</v>
      </c>
      <c r="D76" s="33" t="s">
        <v>268</v>
      </c>
      <c r="E76" s="34">
        <v>1996.0</v>
      </c>
      <c r="F76" s="33" t="s">
        <v>448</v>
      </c>
      <c r="G76" s="45" t="s">
        <v>449</v>
      </c>
      <c r="H76" s="46"/>
      <c r="I76" s="33"/>
      <c r="J76" s="33" t="s">
        <v>450</v>
      </c>
      <c r="K76" s="34">
        <v>5.0</v>
      </c>
      <c r="L76" s="33"/>
      <c r="M76" s="6" t="s">
        <v>451</v>
      </c>
      <c r="N76" s="35" t="s">
        <v>60</v>
      </c>
      <c r="O76" s="33" t="s">
        <v>1964</v>
      </c>
      <c r="P76" s="36" t="s">
        <v>62</v>
      </c>
      <c r="Q76" s="36" t="s">
        <v>92</v>
      </c>
      <c r="R76" s="36" t="s">
        <v>453</v>
      </c>
      <c r="S76" s="37">
        <v>20.491511</v>
      </c>
      <c r="T76" s="37">
        <v>-87.738733</v>
      </c>
      <c r="U76" s="36" t="s">
        <v>148</v>
      </c>
      <c r="V76" s="6" t="s">
        <v>189</v>
      </c>
      <c r="W76" s="33" t="s">
        <v>173</v>
      </c>
      <c r="X76" s="1" t="s">
        <v>1965</v>
      </c>
      <c r="Y76" s="33" t="s">
        <v>70</v>
      </c>
      <c r="Z76" s="36"/>
      <c r="AA76" s="37"/>
      <c r="AB76" s="36"/>
      <c r="AC76" s="36"/>
      <c r="AD76" s="36"/>
      <c r="AE76" s="36"/>
      <c r="AF76" s="36"/>
      <c r="AG76" s="36"/>
      <c r="AH76" s="36" t="s">
        <v>457</v>
      </c>
      <c r="AI76" s="37">
        <v>-5650.0</v>
      </c>
      <c r="AJ76" s="37">
        <v>1950.0</v>
      </c>
      <c r="AK76" s="6" t="s">
        <v>73</v>
      </c>
      <c r="AL76" s="6" t="s">
        <v>72</v>
      </c>
      <c r="AM76" s="6" t="s">
        <v>72</v>
      </c>
      <c r="AN76" s="6" t="s">
        <v>72</v>
      </c>
      <c r="AO76" s="33"/>
      <c r="AP76" s="6" t="s">
        <v>75</v>
      </c>
      <c r="AQ76" s="33"/>
      <c r="AR76" s="33"/>
      <c r="AS76" s="33"/>
      <c r="AT76" s="6" t="s">
        <v>76</v>
      </c>
      <c r="AU76" s="33"/>
      <c r="AV76" s="33"/>
      <c r="AW76" s="33"/>
      <c r="AX76" s="33"/>
      <c r="AY76" s="33"/>
      <c r="AZ76" s="6" t="s">
        <v>76</v>
      </c>
      <c r="BA76" s="33"/>
      <c r="BB76" s="33">
        <f>VLOOKUP(O76,Eco_DEM_Data!$D$1:$AC$643,20,False)</f>
        <v>1151</v>
      </c>
      <c r="BC76" s="33">
        <f>VLOOKUP($O76,Eco_DEM_Data!$D$1:$AC$643,20,False)</f>
        <v>1151</v>
      </c>
      <c r="BD76" s="33">
        <f>VLOOKUP($O76,Eco_DEM_Data!$D$1:$AC$643,25,False)</f>
        <v>500</v>
      </c>
      <c r="BE76" s="33">
        <f>VLOOKUP($O76,Eco_DEM_Data!$D$1:$AC$643,22,False)</f>
        <v>42</v>
      </c>
      <c r="BF76" s="33">
        <f>VLOOKUP($O76,Eco_DEM_Data!$D$1:$AC$643,23,False)</f>
        <v>129</v>
      </c>
      <c r="BG76" s="33">
        <f>VLOOKUP($O76,Eco_DEM_Data!$D$1:$AC$643,21,False)</f>
        <v>5567</v>
      </c>
      <c r="BH76" s="33">
        <f>VLOOKUP($O76,Eco_DEM_Data!$D$1:$AC$643,26,False)</f>
        <v>14</v>
      </c>
      <c r="BI76" s="33" t="str">
        <f>VLOOKUP($O76,Eco_DEM_Data!$D$1:$AC$643,9,False)</f>
        <v>Yucatán moist forests</v>
      </c>
      <c r="BJ76" s="33" t="str">
        <f>VLOOKUP($O76,Eco_DEM_Data!$D$1:$AC$643,11,False)</f>
        <v>Tropical &amp; Subtropical Moist Broadleaf Forests</v>
      </c>
    </row>
    <row r="77">
      <c r="A77" s="33" t="s">
        <v>447</v>
      </c>
      <c r="B77" s="33" t="s">
        <v>2258</v>
      </c>
      <c r="C77" s="34">
        <v>4.0</v>
      </c>
      <c r="D77" s="33" t="s">
        <v>268</v>
      </c>
      <c r="E77" s="34">
        <v>1996.0</v>
      </c>
      <c r="F77" s="33" t="s">
        <v>448</v>
      </c>
      <c r="G77" s="45" t="s">
        <v>449</v>
      </c>
      <c r="H77" s="46"/>
      <c r="I77" s="33"/>
      <c r="J77" s="33" t="s">
        <v>450</v>
      </c>
      <c r="K77" s="34">
        <v>5.0</v>
      </c>
      <c r="L77" s="33"/>
      <c r="M77" s="6" t="s">
        <v>451</v>
      </c>
      <c r="N77" s="35" t="s">
        <v>60</v>
      </c>
      <c r="O77" s="33" t="s">
        <v>452</v>
      </c>
      <c r="P77" s="36" t="s">
        <v>62</v>
      </c>
      <c r="Q77" s="36" t="s">
        <v>92</v>
      </c>
      <c r="R77" s="36" t="s">
        <v>453</v>
      </c>
      <c r="S77" s="37">
        <v>20.491511</v>
      </c>
      <c r="T77" s="37">
        <v>-87.738733</v>
      </c>
      <c r="U77" s="36" t="s">
        <v>148</v>
      </c>
      <c r="V77" s="6" t="s">
        <v>135</v>
      </c>
      <c r="W77" s="33" t="s">
        <v>454</v>
      </c>
      <c r="X77" s="1" t="s">
        <v>455</v>
      </c>
      <c r="Y77" s="33" t="s">
        <v>456</v>
      </c>
      <c r="Z77" s="36"/>
      <c r="AA77" s="37"/>
      <c r="AB77" s="36"/>
      <c r="AC77" s="36"/>
      <c r="AD77" s="36"/>
      <c r="AE77" s="36"/>
      <c r="AF77" s="36"/>
      <c r="AG77" s="36"/>
      <c r="AH77" s="36" t="s">
        <v>457</v>
      </c>
      <c r="AI77" s="37">
        <v>-5650.0</v>
      </c>
      <c r="AJ77" s="37">
        <v>1950.0</v>
      </c>
      <c r="AK77" s="6" t="s">
        <v>73</v>
      </c>
      <c r="AL77" s="6" t="s">
        <v>72</v>
      </c>
      <c r="AM77" s="6" t="s">
        <v>72</v>
      </c>
      <c r="AN77" s="6" t="s">
        <v>72</v>
      </c>
      <c r="AO77" s="33"/>
      <c r="AP77" s="6" t="s">
        <v>75</v>
      </c>
      <c r="AQ77" s="33"/>
      <c r="AR77" s="33"/>
      <c r="AS77" s="33"/>
      <c r="AT77" s="6" t="s">
        <v>76</v>
      </c>
      <c r="AU77" s="33"/>
      <c r="AV77" s="33"/>
      <c r="AW77" s="33"/>
      <c r="AX77" s="33"/>
      <c r="AY77" s="33"/>
      <c r="AZ77" s="6" t="s">
        <v>76</v>
      </c>
      <c r="BA77" s="33"/>
      <c r="BB77" s="33">
        <f>VLOOKUP(O77,Eco_DEM_Data!$D$1:$AC$643,20,False)</f>
        <v>1151</v>
      </c>
      <c r="BC77" s="33">
        <f>VLOOKUP($O77,Eco_DEM_Data!$D$1:$AC$643,20,False)</f>
        <v>1151</v>
      </c>
      <c r="BD77" s="33">
        <f>VLOOKUP($O77,Eco_DEM_Data!$D$1:$AC$643,25,False)</f>
        <v>500</v>
      </c>
      <c r="BE77" s="33">
        <f>VLOOKUP($O77,Eco_DEM_Data!$D$1:$AC$643,22,False)</f>
        <v>42</v>
      </c>
      <c r="BF77" s="33">
        <f>VLOOKUP($O77,Eco_DEM_Data!$D$1:$AC$643,23,False)</f>
        <v>129</v>
      </c>
      <c r="BG77" s="33">
        <f>VLOOKUP($O77,Eco_DEM_Data!$D$1:$AC$643,21,False)</f>
        <v>5567</v>
      </c>
      <c r="BH77" s="33">
        <f>VLOOKUP($O77,Eco_DEM_Data!$D$1:$AC$643,26,False)</f>
        <v>14</v>
      </c>
      <c r="BI77" s="33" t="str">
        <f>VLOOKUP($O77,Eco_DEM_Data!$D$1:$AC$643,9,False)</f>
        <v>Yucatán moist forests</v>
      </c>
      <c r="BJ77" s="33" t="str">
        <f>VLOOKUP($O77,Eco_DEM_Data!$D$1:$AC$643,11,False)</f>
        <v>Tropical &amp; Subtropical Moist Broadleaf Forests</v>
      </c>
    </row>
    <row r="78">
      <c r="A78" s="33" t="s">
        <v>447</v>
      </c>
      <c r="B78" s="33" t="s">
        <v>2258</v>
      </c>
      <c r="C78" s="34">
        <v>4.0</v>
      </c>
      <c r="D78" s="33" t="s">
        <v>268</v>
      </c>
      <c r="E78" s="34">
        <v>1996.0</v>
      </c>
      <c r="F78" s="33" t="s">
        <v>448</v>
      </c>
      <c r="G78" s="45" t="s">
        <v>449</v>
      </c>
      <c r="H78" s="46"/>
      <c r="I78" s="33"/>
      <c r="J78" s="33" t="s">
        <v>450</v>
      </c>
      <c r="K78" s="34">
        <v>5.0</v>
      </c>
      <c r="L78" s="33"/>
      <c r="M78" s="6" t="s">
        <v>451</v>
      </c>
      <c r="N78" s="35" t="s">
        <v>60</v>
      </c>
      <c r="O78" s="33" t="s">
        <v>1966</v>
      </c>
      <c r="P78" s="36" t="s">
        <v>62</v>
      </c>
      <c r="Q78" s="36" t="s">
        <v>92</v>
      </c>
      <c r="R78" s="36" t="s">
        <v>453</v>
      </c>
      <c r="S78" s="37">
        <v>20.491511</v>
      </c>
      <c r="T78" s="37">
        <v>-87.738733</v>
      </c>
      <c r="U78" s="36" t="s">
        <v>148</v>
      </c>
      <c r="V78" s="6" t="s">
        <v>95</v>
      </c>
      <c r="W78" s="33" t="s">
        <v>1557</v>
      </c>
      <c r="X78" s="1" t="s">
        <v>264</v>
      </c>
      <c r="Y78" s="33" t="s">
        <v>456</v>
      </c>
      <c r="Z78" s="36"/>
      <c r="AA78" s="37"/>
      <c r="AB78" s="36"/>
      <c r="AC78" s="36"/>
      <c r="AD78" s="36"/>
      <c r="AE78" s="36"/>
      <c r="AF78" s="36"/>
      <c r="AG78" s="36"/>
      <c r="AH78" s="36" t="s">
        <v>457</v>
      </c>
      <c r="AI78" s="37">
        <v>-5650.0</v>
      </c>
      <c r="AJ78" s="37">
        <v>1950.0</v>
      </c>
      <c r="AK78" s="6" t="s">
        <v>73</v>
      </c>
      <c r="AL78" s="6" t="s">
        <v>72</v>
      </c>
      <c r="AM78" s="6" t="s">
        <v>72</v>
      </c>
      <c r="AN78" s="6" t="s">
        <v>72</v>
      </c>
      <c r="AO78" s="33"/>
      <c r="AP78" s="6" t="s">
        <v>75</v>
      </c>
      <c r="AQ78" s="33"/>
      <c r="AR78" s="33"/>
      <c r="AS78" s="33"/>
      <c r="AT78" s="6" t="s">
        <v>76</v>
      </c>
      <c r="AU78" s="33"/>
      <c r="AV78" s="33"/>
      <c r="AW78" s="33"/>
      <c r="AX78" s="33"/>
      <c r="AY78" s="33"/>
      <c r="AZ78" s="6" t="s">
        <v>76</v>
      </c>
      <c r="BA78" s="33"/>
      <c r="BB78" s="33">
        <f>VLOOKUP(O78,Eco_DEM_Data!$D$1:$AC$643,20,False)</f>
        <v>1151</v>
      </c>
      <c r="BC78" s="33">
        <f>VLOOKUP($O78,Eco_DEM_Data!$D$1:$AC$643,20,False)</f>
        <v>1151</v>
      </c>
      <c r="BD78" s="33">
        <f>VLOOKUP($O78,Eco_DEM_Data!$D$1:$AC$643,25,False)</f>
        <v>500</v>
      </c>
      <c r="BE78" s="33">
        <f>VLOOKUP($O78,Eco_DEM_Data!$D$1:$AC$643,22,False)</f>
        <v>42</v>
      </c>
      <c r="BF78" s="33">
        <f>VLOOKUP($O78,Eco_DEM_Data!$D$1:$AC$643,23,False)</f>
        <v>129</v>
      </c>
      <c r="BG78" s="33">
        <f>VLOOKUP($O78,Eco_DEM_Data!$D$1:$AC$643,21,False)</f>
        <v>5567</v>
      </c>
      <c r="BH78" s="33">
        <f>VLOOKUP($O78,Eco_DEM_Data!$D$1:$AC$643,26,False)</f>
        <v>14</v>
      </c>
      <c r="BI78" s="33" t="str">
        <f>VLOOKUP($O78,Eco_DEM_Data!$D$1:$AC$643,9,False)</f>
        <v>Yucatán moist forests</v>
      </c>
      <c r="BJ78" s="33" t="str">
        <f>VLOOKUP($O78,Eco_DEM_Data!$D$1:$AC$643,11,False)</f>
        <v>Tropical &amp; Subtropical Moist Broadleaf Forests</v>
      </c>
    </row>
    <row r="79">
      <c r="A79" s="33" t="s">
        <v>447</v>
      </c>
      <c r="B79" s="33" t="s">
        <v>2258</v>
      </c>
      <c r="C79" s="34">
        <v>4.0</v>
      </c>
      <c r="D79" s="33" t="s">
        <v>268</v>
      </c>
      <c r="E79" s="34">
        <v>1996.0</v>
      </c>
      <c r="F79" s="33" t="s">
        <v>448</v>
      </c>
      <c r="G79" s="45" t="s">
        <v>449</v>
      </c>
      <c r="H79" s="46"/>
      <c r="I79" s="33"/>
      <c r="J79" s="33" t="s">
        <v>450</v>
      </c>
      <c r="K79" s="34">
        <v>5.0</v>
      </c>
      <c r="L79" s="33"/>
      <c r="M79" s="6" t="s">
        <v>451</v>
      </c>
      <c r="N79" s="35" t="s">
        <v>60</v>
      </c>
      <c r="O79" s="33" t="s">
        <v>1968</v>
      </c>
      <c r="P79" s="36" t="s">
        <v>62</v>
      </c>
      <c r="Q79" s="36" t="s">
        <v>92</v>
      </c>
      <c r="R79" s="36" t="s">
        <v>453</v>
      </c>
      <c r="S79" s="37">
        <v>20.491511</v>
      </c>
      <c r="T79" s="37">
        <v>-87.738733</v>
      </c>
      <c r="U79" s="36" t="s">
        <v>148</v>
      </c>
      <c r="V79" s="38" t="s">
        <v>149</v>
      </c>
      <c r="W79" s="33" t="s">
        <v>150</v>
      </c>
      <c r="X79" s="1" t="s">
        <v>1969</v>
      </c>
      <c r="Y79" s="33" t="s">
        <v>70</v>
      </c>
      <c r="Z79" s="36"/>
      <c r="AA79" s="37">
        <v>3.0</v>
      </c>
      <c r="AB79" s="36"/>
      <c r="AC79" s="36"/>
      <c r="AD79" s="36"/>
      <c r="AE79" s="36"/>
      <c r="AF79" s="36"/>
      <c r="AG79" s="36"/>
      <c r="AH79" s="36" t="s">
        <v>457</v>
      </c>
      <c r="AI79" s="37">
        <v>-5650.0</v>
      </c>
      <c r="AJ79" s="37">
        <v>1950.0</v>
      </c>
      <c r="AK79" s="6" t="s">
        <v>73</v>
      </c>
      <c r="AL79" s="6" t="s">
        <v>72</v>
      </c>
      <c r="AM79" s="6" t="s">
        <v>72</v>
      </c>
      <c r="AN79" s="6" t="s">
        <v>72</v>
      </c>
      <c r="AO79" s="33"/>
      <c r="AP79" s="6" t="s">
        <v>75</v>
      </c>
      <c r="AQ79" s="33"/>
      <c r="AR79" s="33"/>
      <c r="AS79" s="33"/>
      <c r="AT79" s="6" t="s">
        <v>76</v>
      </c>
      <c r="AU79" s="33"/>
      <c r="AV79" s="33"/>
      <c r="AW79" s="33"/>
      <c r="AX79" s="33"/>
      <c r="AY79" s="33"/>
      <c r="AZ79" s="6" t="s">
        <v>76</v>
      </c>
      <c r="BA79" s="33"/>
      <c r="BB79" s="33">
        <f>VLOOKUP(O79,Eco_DEM_Data!$D$1:$AC$643,20,False)</f>
        <v>1151</v>
      </c>
      <c r="BC79" s="33">
        <f>VLOOKUP($O79,Eco_DEM_Data!$D$1:$AC$643,20,False)</f>
        <v>1151</v>
      </c>
      <c r="BD79" s="33">
        <f>VLOOKUP($O79,Eco_DEM_Data!$D$1:$AC$643,25,False)</f>
        <v>500</v>
      </c>
      <c r="BE79" s="33">
        <f>VLOOKUP($O79,Eco_DEM_Data!$D$1:$AC$643,22,False)</f>
        <v>42</v>
      </c>
      <c r="BF79" s="33">
        <f>VLOOKUP($O79,Eco_DEM_Data!$D$1:$AC$643,23,False)</f>
        <v>129</v>
      </c>
      <c r="BG79" s="33">
        <f>VLOOKUP($O79,Eco_DEM_Data!$D$1:$AC$643,21,False)</f>
        <v>5567</v>
      </c>
      <c r="BH79" s="33">
        <f>VLOOKUP($O79,Eco_DEM_Data!$D$1:$AC$643,26,False)</f>
        <v>14</v>
      </c>
      <c r="BI79" s="33" t="str">
        <f>VLOOKUP($O79,Eco_DEM_Data!$D$1:$AC$643,9,False)</f>
        <v>Yucatán moist forests</v>
      </c>
      <c r="BJ79" s="33" t="str">
        <f>VLOOKUP($O79,Eco_DEM_Data!$D$1:$AC$643,11,False)</f>
        <v>Tropical &amp; Subtropical Moist Broadleaf Forests</v>
      </c>
    </row>
    <row r="80">
      <c r="A80" s="33" t="s">
        <v>447</v>
      </c>
      <c r="B80" s="33" t="s">
        <v>2258</v>
      </c>
      <c r="C80" s="34">
        <v>4.0</v>
      </c>
      <c r="D80" s="33" t="s">
        <v>268</v>
      </c>
      <c r="E80" s="34">
        <v>1996.0</v>
      </c>
      <c r="F80" s="33" t="s">
        <v>448</v>
      </c>
      <c r="G80" s="45" t="s">
        <v>449</v>
      </c>
      <c r="H80" s="46"/>
      <c r="I80" s="33"/>
      <c r="J80" s="33" t="s">
        <v>450</v>
      </c>
      <c r="K80" s="34">
        <v>5.0</v>
      </c>
      <c r="L80" s="33"/>
      <c r="M80" s="6" t="s">
        <v>451</v>
      </c>
      <c r="N80" s="35" t="s">
        <v>60</v>
      </c>
      <c r="O80" s="33" t="s">
        <v>1970</v>
      </c>
      <c r="P80" s="36" t="s">
        <v>62</v>
      </c>
      <c r="Q80" s="36" t="s">
        <v>92</v>
      </c>
      <c r="R80" s="36" t="s">
        <v>453</v>
      </c>
      <c r="S80" s="37">
        <v>20.491511</v>
      </c>
      <c r="T80" s="37">
        <v>-87.738733</v>
      </c>
      <c r="U80" s="36" t="s">
        <v>148</v>
      </c>
      <c r="V80" s="38" t="s">
        <v>194</v>
      </c>
      <c r="W80" s="33" t="s">
        <v>173</v>
      </c>
      <c r="X80" s="1" t="s">
        <v>286</v>
      </c>
      <c r="Y80" s="33" t="s">
        <v>70</v>
      </c>
      <c r="Z80" s="36"/>
      <c r="AA80" s="37"/>
      <c r="AB80" s="36"/>
      <c r="AC80" s="36"/>
      <c r="AD80" s="36"/>
      <c r="AE80" s="36"/>
      <c r="AF80" s="36"/>
      <c r="AG80" s="36"/>
      <c r="AH80" s="36" t="s">
        <v>457</v>
      </c>
      <c r="AI80" s="37">
        <v>-5650.0</v>
      </c>
      <c r="AJ80" s="37">
        <v>1950.0</v>
      </c>
      <c r="AK80" s="6" t="s">
        <v>73</v>
      </c>
      <c r="AL80" s="6" t="s">
        <v>72</v>
      </c>
      <c r="AM80" s="6" t="s">
        <v>72</v>
      </c>
      <c r="AN80" s="6" t="s">
        <v>72</v>
      </c>
      <c r="AO80" s="33"/>
      <c r="AP80" s="6" t="s">
        <v>75</v>
      </c>
      <c r="AQ80" s="33"/>
      <c r="AR80" s="33"/>
      <c r="AS80" s="33"/>
      <c r="AT80" s="6" t="s">
        <v>76</v>
      </c>
      <c r="AU80" s="33"/>
      <c r="AV80" s="33"/>
      <c r="AW80" s="33"/>
      <c r="AX80" s="33"/>
      <c r="AY80" s="33"/>
      <c r="AZ80" s="6" t="s">
        <v>76</v>
      </c>
      <c r="BA80" s="33"/>
      <c r="BB80" s="33">
        <f>VLOOKUP(O80,Eco_DEM_Data!$D$1:$AC$643,20,False)</f>
        <v>1151</v>
      </c>
      <c r="BC80" s="33">
        <f>VLOOKUP($O80,Eco_DEM_Data!$D$1:$AC$643,20,False)</f>
        <v>1151</v>
      </c>
      <c r="BD80" s="33">
        <f>VLOOKUP($O80,Eco_DEM_Data!$D$1:$AC$643,25,False)</f>
        <v>500</v>
      </c>
      <c r="BE80" s="33">
        <f>VLOOKUP($O80,Eco_DEM_Data!$D$1:$AC$643,22,False)</f>
        <v>42</v>
      </c>
      <c r="BF80" s="33">
        <f>VLOOKUP($O80,Eco_DEM_Data!$D$1:$AC$643,23,False)</f>
        <v>129</v>
      </c>
      <c r="BG80" s="33">
        <f>VLOOKUP($O80,Eco_DEM_Data!$D$1:$AC$643,21,False)</f>
        <v>5567</v>
      </c>
      <c r="BH80" s="33">
        <f>VLOOKUP($O80,Eco_DEM_Data!$D$1:$AC$643,26,False)</f>
        <v>14</v>
      </c>
      <c r="BI80" s="33" t="str">
        <f>VLOOKUP($O80,Eco_DEM_Data!$D$1:$AC$643,9,False)</f>
        <v>Yucatán moist forests</v>
      </c>
      <c r="BJ80" s="33" t="str">
        <f>VLOOKUP($O80,Eco_DEM_Data!$D$1:$AC$643,11,False)</f>
        <v>Tropical &amp; Subtropical Moist Broadleaf Forests</v>
      </c>
    </row>
    <row r="81">
      <c r="A81" s="33" t="s">
        <v>1637</v>
      </c>
      <c r="B81" s="33" t="s">
        <v>2259</v>
      </c>
      <c r="C81" s="34">
        <v>6.0</v>
      </c>
      <c r="D81" s="33" t="s">
        <v>53</v>
      </c>
      <c r="E81" s="34">
        <v>1997.0</v>
      </c>
      <c r="F81" s="33" t="s">
        <v>1638</v>
      </c>
      <c r="G81" s="33" t="s">
        <v>1639</v>
      </c>
      <c r="H81" s="33" t="s">
        <v>1386</v>
      </c>
      <c r="I81" s="33" t="s">
        <v>1640</v>
      </c>
      <c r="J81" s="33" t="s">
        <v>1641</v>
      </c>
      <c r="K81" s="34">
        <v>16.0</v>
      </c>
      <c r="L81" s="34">
        <v>6.0</v>
      </c>
      <c r="M81" s="6" t="s">
        <v>1642</v>
      </c>
      <c r="N81" s="35" t="s">
        <v>60</v>
      </c>
      <c r="O81" s="33" t="s">
        <v>1643</v>
      </c>
      <c r="P81" s="36" t="s">
        <v>62</v>
      </c>
      <c r="Q81" s="36" t="s">
        <v>112</v>
      </c>
      <c r="R81" s="36" t="s">
        <v>1644</v>
      </c>
      <c r="S81" s="37">
        <v>9.833333</v>
      </c>
      <c r="T81" s="37">
        <v>-84.0</v>
      </c>
      <c r="U81" s="36" t="s">
        <v>148</v>
      </c>
      <c r="V81" s="38" t="s">
        <v>66</v>
      </c>
      <c r="W81" s="41" t="s">
        <v>823</v>
      </c>
      <c r="X81" s="3" t="s">
        <v>72</v>
      </c>
      <c r="Y81" s="5" t="s">
        <v>70</v>
      </c>
      <c r="Z81" s="43"/>
      <c r="AA81" s="42">
        <v>2.0</v>
      </c>
      <c r="AB81" s="43"/>
      <c r="AC81" s="43"/>
      <c r="AD81" s="43"/>
      <c r="AE81" s="43"/>
      <c r="AF81" s="43"/>
      <c r="AG81" s="43"/>
      <c r="AH81" s="43" t="s">
        <v>1125</v>
      </c>
      <c r="AI81" s="42">
        <v>-10180.0</v>
      </c>
      <c r="AJ81" s="42">
        <v>1950.0</v>
      </c>
      <c r="AK81" s="5" t="s">
        <v>100</v>
      </c>
      <c r="AL81" s="5" t="s">
        <v>72</v>
      </c>
      <c r="AM81" s="5" t="s">
        <v>72</v>
      </c>
      <c r="AN81" s="5" t="s">
        <v>72</v>
      </c>
      <c r="AO81" s="41"/>
      <c r="AP81" s="5" t="s">
        <v>75</v>
      </c>
      <c r="AQ81" s="41"/>
      <c r="AR81" s="41"/>
      <c r="AS81" s="41"/>
      <c r="AT81" s="5" t="s">
        <v>76</v>
      </c>
      <c r="AU81" s="33"/>
      <c r="AV81" s="33"/>
      <c r="AW81" s="33"/>
      <c r="AX81" s="33"/>
      <c r="AY81" s="33"/>
      <c r="AZ81" s="6" t="s">
        <v>76</v>
      </c>
      <c r="BA81" s="33"/>
      <c r="BB81" s="33">
        <f>VLOOKUP(O81,Eco_DEM_Data!$D$1:$AC$643,20,False)</f>
        <v>2289</v>
      </c>
      <c r="BC81" s="33">
        <f>VLOOKUP($O81,Eco_DEM_Data!$D$1:$AC$643,20,False)</f>
        <v>2289</v>
      </c>
      <c r="BD81" s="33">
        <f>VLOOKUP($O81,Eco_DEM_Data!$D$1:$AC$643,25,False)</f>
        <v>927</v>
      </c>
      <c r="BE81" s="33">
        <f>VLOOKUP($O81,Eco_DEM_Data!$D$1:$AC$643,22,False)</f>
        <v>22</v>
      </c>
      <c r="BF81" s="33">
        <f>VLOOKUP($O81,Eco_DEM_Data!$D$1:$AC$643,23,False)</f>
        <v>134</v>
      </c>
      <c r="BG81" s="33">
        <f>VLOOKUP($O81,Eco_DEM_Data!$D$1:$AC$643,21,False)</f>
        <v>6580</v>
      </c>
      <c r="BH81" s="33">
        <f>VLOOKUP($O81,Eco_DEM_Data!$D$1:$AC$643,26,False)</f>
        <v>1577</v>
      </c>
      <c r="BI81" s="33" t="str">
        <f>VLOOKUP($O81,Eco_DEM_Data!$D$1:$AC$643,9,False)</f>
        <v>Costa Rican seasonal moist forests</v>
      </c>
      <c r="BJ81" s="33" t="str">
        <f>VLOOKUP($O81,Eco_DEM_Data!$D$1:$AC$643,11,False)</f>
        <v>Tropical &amp; Subtropical Moist Broadleaf Forests</v>
      </c>
    </row>
    <row r="82">
      <c r="A82" s="33" t="s">
        <v>1637</v>
      </c>
      <c r="B82" s="33" t="s">
        <v>2259</v>
      </c>
      <c r="C82" s="34">
        <v>6.0</v>
      </c>
      <c r="D82" s="33" t="s">
        <v>53</v>
      </c>
      <c r="E82" s="34">
        <v>1997.0</v>
      </c>
      <c r="F82" s="33" t="s">
        <v>1638</v>
      </c>
      <c r="G82" s="33" t="s">
        <v>1639</v>
      </c>
      <c r="H82" s="33" t="s">
        <v>1386</v>
      </c>
      <c r="I82" s="33" t="s">
        <v>1640</v>
      </c>
      <c r="J82" s="33" t="s">
        <v>1641</v>
      </c>
      <c r="K82" s="34">
        <v>16.0</v>
      </c>
      <c r="L82" s="34">
        <v>6.0</v>
      </c>
      <c r="M82" s="6" t="s">
        <v>1642</v>
      </c>
      <c r="N82" s="35" t="s">
        <v>60</v>
      </c>
      <c r="O82" s="33" t="s">
        <v>1645</v>
      </c>
      <c r="P82" s="36" t="s">
        <v>62</v>
      </c>
      <c r="Q82" s="36" t="s">
        <v>112</v>
      </c>
      <c r="R82" s="36" t="s">
        <v>1646</v>
      </c>
      <c r="S82" s="37">
        <v>9.683333</v>
      </c>
      <c r="T82" s="37">
        <v>-83.95</v>
      </c>
      <c r="U82" s="36" t="s">
        <v>148</v>
      </c>
      <c r="V82" s="38" t="s">
        <v>66</v>
      </c>
      <c r="W82" s="41" t="s">
        <v>823</v>
      </c>
      <c r="X82" s="3" t="s">
        <v>72</v>
      </c>
      <c r="Y82" s="5" t="s">
        <v>70</v>
      </c>
      <c r="Z82" s="43"/>
      <c r="AA82" s="42">
        <v>2.0</v>
      </c>
      <c r="AB82" s="43"/>
      <c r="AC82" s="43"/>
      <c r="AD82" s="43"/>
      <c r="AE82" s="43"/>
      <c r="AF82" s="43"/>
      <c r="AG82" s="43"/>
      <c r="AH82" s="43" t="s">
        <v>1125</v>
      </c>
      <c r="AI82" s="42">
        <v>650.0</v>
      </c>
      <c r="AJ82" s="42">
        <v>1950.0</v>
      </c>
      <c r="AK82" s="5" t="s">
        <v>100</v>
      </c>
      <c r="AL82" s="5" t="s">
        <v>72</v>
      </c>
      <c r="AM82" s="5" t="s">
        <v>72</v>
      </c>
      <c r="AN82" s="5" t="s">
        <v>72</v>
      </c>
      <c r="AO82" s="41"/>
      <c r="AP82" s="5" t="s">
        <v>75</v>
      </c>
      <c r="AQ82" s="41"/>
      <c r="AR82" s="41"/>
      <c r="AS82" s="41"/>
      <c r="AT82" s="5" t="s">
        <v>76</v>
      </c>
      <c r="AU82" s="33"/>
      <c r="AV82" s="33"/>
      <c r="AW82" s="33"/>
      <c r="AX82" s="33"/>
      <c r="AY82" s="33"/>
      <c r="AZ82" s="6" t="s">
        <v>76</v>
      </c>
      <c r="BA82" s="33"/>
      <c r="BB82" s="33">
        <f>VLOOKUP(O82,Eco_DEM_Data!$D$1:$AC$643,20,False)</f>
        <v>2384</v>
      </c>
      <c r="BC82" s="33">
        <f>VLOOKUP($O82,Eco_DEM_Data!$D$1:$AC$643,20,False)</f>
        <v>2384</v>
      </c>
      <c r="BD82" s="33">
        <f>VLOOKUP($O82,Eco_DEM_Data!$D$1:$AC$643,25,False)</f>
        <v>1211</v>
      </c>
      <c r="BE82" s="33">
        <f>VLOOKUP($O82,Eco_DEM_Data!$D$1:$AC$643,22,False)</f>
        <v>13</v>
      </c>
      <c r="BF82" s="33">
        <f>VLOOKUP($O82,Eco_DEM_Data!$D$1:$AC$643,23,False)</f>
        <v>51</v>
      </c>
      <c r="BG82" s="33">
        <f>VLOOKUP($O82,Eco_DEM_Data!$D$1:$AC$643,21,False)</f>
        <v>8299</v>
      </c>
      <c r="BH82" s="33">
        <f>VLOOKUP($O82,Eco_DEM_Data!$D$1:$AC$643,26,False)</f>
        <v>2279</v>
      </c>
      <c r="BI82" s="33" t="str">
        <f>VLOOKUP($O82,Eco_DEM_Data!$D$1:$AC$643,9,False)</f>
        <v>Costa Rican seasonal moist forests</v>
      </c>
      <c r="BJ82" s="33" t="str">
        <f>VLOOKUP($O82,Eco_DEM_Data!$D$1:$AC$643,11,False)</f>
        <v>Tropical &amp; Subtropical Moist Broadleaf Forests</v>
      </c>
    </row>
    <row r="83">
      <c r="A83" s="33" t="s">
        <v>1637</v>
      </c>
      <c r="B83" s="33" t="s">
        <v>2259</v>
      </c>
      <c r="C83" s="34">
        <v>6.0</v>
      </c>
      <c r="D83" s="33" t="s">
        <v>53</v>
      </c>
      <c r="E83" s="34">
        <v>1997.0</v>
      </c>
      <c r="F83" s="33" t="s">
        <v>1638</v>
      </c>
      <c r="G83" s="33" t="s">
        <v>1639</v>
      </c>
      <c r="H83" s="33" t="s">
        <v>1386</v>
      </c>
      <c r="I83" s="33" t="s">
        <v>1640</v>
      </c>
      <c r="J83" s="33" t="s">
        <v>1641</v>
      </c>
      <c r="K83" s="34">
        <v>16.0</v>
      </c>
      <c r="L83" s="34">
        <v>6.0</v>
      </c>
      <c r="M83" s="6" t="s">
        <v>1642</v>
      </c>
      <c r="N83" s="35" t="s">
        <v>60</v>
      </c>
      <c r="O83" s="33" t="s">
        <v>1647</v>
      </c>
      <c r="P83" s="36" t="s">
        <v>62</v>
      </c>
      <c r="Q83" s="36" t="s">
        <v>112</v>
      </c>
      <c r="R83" s="36" t="s">
        <v>1072</v>
      </c>
      <c r="S83" s="37">
        <v>9.683333</v>
      </c>
      <c r="T83" s="37">
        <v>-83.95</v>
      </c>
      <c r="U83" s="36" t="s">
        <v>148</v>
      </c>
      <c r="V83" s="38" t="s">
        <v>66</v>
      </c>
      <c r="W83" s="41" t="s">
        <v>823</v>
      </c>
      <c r="X83" s="3" t="s">
        <v>72</v>
      </c>
      <c r="Y83" s="5" t="s">
        <v>70</v>
      </c>
      <c r="Z83" s="43"/>
      <c r="AA83" s="42">
        <v>4.0</v>
      </c>
      <c r="AB83" s="43"/>
      <c r="AC83" s="43"/>
      <c r="AD83" s="43"/>
      <c r="AE83" s="43"/>
      <c r="AF83" s="43"/>
      <c r="AG83" s="43"/>
      <c r="AH83" s="43" t="s">
        <v>1125</v>
      </c>
      <c r="AI83" s="42">
        <v>-9120.0</v>
      </c>
      <c r="AJ83" s="42">
        <v>1950.0</v>
      </c>
      <c r="AK83" s="5" t="s">
        <v>100</v>
      </c>
      <c r="AL83" s="5" t="s">
        <v>72</v>
      </c>
      <c r="AM83" s="5" t="s">
        <v>72</v>
      </c>
      <c r="AN83" s="5" t="s">
        <v>72</v>
      </c>
      <c r="AO83" s="41"/>
      <c r="AP83" s="5" t="s">
        <v>75</v>
      </c>
      <c r="AQ83" s="41"/>
      <c r="AR83" s="41"/>
      <c r="AS83" s="41"/>
      <c r="AT83" s="5" t="s">
        <v>76</v>
      </c>
      <c r="AU83" s="33"/>
      <c r="AV83" s="33"/>
      <c r="AW83" s="33"/>
      <c r="AX83" s="33"/>
      <c r="AY83" s="33"/>
      <c r="AZ83" s="6" t="s">
        <v>76</v>
      </c>
      <c r="BA83" s="33"/>
      <c r="BB83" s="33">
        <f>VLOOKUP(O83,Eco_DEM_Data!$D$1:$AC$643,20,False)</f>
        <v>2384</v>
      </c>
      <c r="BC83" s="33">
        <f>VLOOKUP($O83,Eco_DEM_Data!$D$1:$AC$643,20,False)</f>
        <v>2384</v>
      </c>
      <c r="BD83" s="33">
        <f>VLOOKUP($O83,Eco_DEM_Data!$D$1:$AC$643,25,False)</f>
        <v>1211</v>
      </c>
      <c r="BE83" s="33">
        <f>VLOOKUP($O83,Eco_DEM_Data!$D$1:$AC$643,22,False)</f>
        <v>13</v>
      </c>
      <c r="BF83" s="33">
        <f>VLOOKUP($O83,Eco_DEM_Data!$D$1:$AC$643,23,False)</f>
        <v>51</v>
      </c>
      <c r="BG83" s="33">
        <f>VLOOKUP($O83,Eco_DEM_Data!$D$1:$AC$643,21,False)</f>
        <v>8299</v>
      </c>
      <c r="BH83" s="33">
        <f>VLOOKUP($O83,Eco_DEM_Data!$D$1:$AC$643,26,False)</f>
        <v>2279</v>
      </c>
      <c r="BI83" s="33" t="str">
        <f>VLOOKUP($O83,Eco_DEM_Data!$D$1:$AC$643,9,False)</f>
        <v>Costa Rican seasonal moist forests</v>
      </c>
      <c r="BJ83" s="33" t="str">
        <f>VLOOKUP($O83,Eco_DEM_Data!$D$1:$AC$643,11,False)</f>
        <v>Tropical &amp; Subtropical Moist Broadleaf Forests</v>
      </c>
    </row>
    <row r="84">
      <c r="A84" s="33" t="s">
        <v>1280</v>
      </c>
      <c r="B84" s="33" t="s">
        <v>2259</v>
      </c>
      <c r="C84" s="34">
        <v>1.0</v>
      </c>
      <c r="D84" s="33" t="s">
        <v>53</v>
      </c>
      <c r="E84" s="34">
        <v>1997.0</v>
      </c>
      <c r="F84" s="33" t="s">
        <v>1281</v>
      </c>
      <c r="G84" s="33" t="s">
        <v>1282</v>
      </c>
      <c r="H84" s="33" t="s">
        <v>793</v>
      </c>
      <c r="I84" s="33" t="s">
        <v>1283</v>
      </c>
      <c r="J84" s="33" t="s">
        <v>1284</v>
      </c>
      <c r="K84" s="34">
        <v>128.0</v>
      </c>
      <c r="L84" s="59">
        <v>43922.0</v>
      </c>
      <c r="M84" s="6" t="s">
        <v>1285</v>
      </c>
      <c r="N84" s="35" t="s">
        <v>76</v>
      </c>
      <c r="O84" s="33" t="s">
        <v>1280</v>
      </c>
      <c r="P84" s="36" t="s">
        <v>62</v>
      </c>
      <c r="Q84" s="36" t="s">
        <v>146</v>
      </c>
      <c r="R84" s="36" t="s">
        <v>1286</v>
      </c>
      <c r="S84" s="37">
        <v>9.333333</v>
      </c>
      <c r="T84" s="37">
        <v>-82.333333</v>
      </c>
      <c r="U84" s="36" t="s">
        <v>65</v>
      </c>
      <c r="V84" s="38" t="s">
        <v>66</v>
      </c>
      <c r="W84" s="41" t="s">
        <v>1287</v>
      </c>
      <c r="X84" s="7" t="s">
        <v>1288</v>
      </c>
      <c r="Y84" s="41" t="s">
        <v>70</v>
      </c>
      <c r="Z84" s="43"/>
      <c r="AA84" s="42">
        <v>4.0</v>
      </c>
      <c r="AB84" s="43"/>
      <c r="AC84" s="43"/>
      <c r="AD84" s="43"/>
      <c r="AE84" s="43"/>
      <c r="AF84" s="43"/>
      <c r="AG84" s="43"/>
      <c r="AH84" s="43" t="s">
        <v>706</v>
      </c>
      <c r="AI84" s="42">
        <v>-2060.0</v>
      </c>
      <c r="AJ84" s="42">
        <v>1950.0</v>
      </c>
      <c r="AK84" s="5" t="s">
        <v>100</v>
      </c>
      <c r="AL84" s="5" t="s">
        <v>72</v>
      </c>
      <c r="AM84" s="5" t="s">
        <v>72</v>
      </c>
      <c r="AN84" s="5" t="s">
        <v>72</v>
      </c>
      <c r="AO84" s="41"/>
      <c r="AP84" s="5" t="s">
        <v>75</v>
      </c>
      <c r="AQ84" s="5" t="s">
        <v>101</v>
      </c>
      <c r="AR84" s="5" t="s">
        <v>101</v>
      </c>
      <c r="AS84" s="5" t="s">
        <v>101</v>
      </c>
      <c r="AT84" s="5" t="s">
        <v>76</v>
      </c>
      <c r="AU84" s="33"/>
      <c r="AV84" s="33"/>
      <c r="AW84" s="33"/>
      <c r="AX84" s="33"/>
      <c r="AY84" s="6" t="s">
        <v>76</v>
      </c>
      <c r="AZ84" s="6" t="s">
        <v>76</v>
      </c>
      <c r="BA84" s="33"/>
      <c r="BB84" s="33">
        <f>VLOOKUP(O84,Eco_DEM_Data!$D$1:$AC$643,20,False)</f>
        <v>3067</v>
      </c>
      <c r="BC84" s="33">
        <f>VLOOKUP($O84,Eco_DEM_Data!$D$1:$AC$643,20,False)</f>
        <v>3067</v>
      </c>
      <c r="BD84" s="33">
        <f>VLOOKUP($O84,Eco_DEM_Data!$D$1:$AC$643,25,False)</f>
        <v>960</v>
      </c>
      <c r="BE84" s="33">
        <f>VLOOKUP($O84,Eco_DEM_Data!$D$1:$AC$643,22,False)</f>
        <v>97</v>
      </c>
      <c r="BF84" s="33">
        <f>VLOOKUP($O84,Eco_DEM_Data!$D$1:$AC$643,23,False)</f>
        <v>423</v>
      </c>
      <c r="BG84" s="33">
        <f>VLOOKUP($O84,Eco_DEM_Data!$D$1:$AC$643,21,False)</f>
        <v>3112</v>
      </c>
      <c r="BH84" s="33">
        <f>VLOOKUP($O84,Eco_DEM_Data!$D$1:$AC$643,26,False)</f>
        <v>1</v>
      </c>
      <c r="BI84" s="33" t="str">
        <f>VLOOKUP($O84,Eco_DEM_Data!$D$1:$AC$643,9,False)</f>
        <v>Mesoamerican Gulf-Caribbean mangroves</v>
      </c>
      <c r="BJ84" s="33" t="str">
        <f>VLOOKUP($O84,Eco_DEM_Data!$D$1:$AC$643,11,False)</f>
        <v>Mangroves</v>
      </c>
    </row>
    <row r="85">
      <c r="A85" s="33" t="s">
        <v>850</v>
      </c>
      <c r="B85" s="33" t="s">
        <v>2258</v>
      </c>
      <c r="C85" s="34">
        <v>8.0</v>
      </c>
      <c r="D85" s="33" t="s">
        <v>53</v>
      </c>
      <c r="E85" s="34">
        <v>1998.0</v>
      </c>
      <c r="F85" s="33" t="s">
        <v>851</v>
      </c>
      <c r="G85" s="33" t="s">
        <v>852</v>
      </c>
      <c r="H85" s="33" t="s">
        <v>732</v>
      </c>
      <c r="I85" s="33" t="s">
        <v>853</v>
      </c>
      <c r="J85" s="33" t="s">
        <v>854</v>
      </c>
      <c r="K85" s="34">
        <v>19.0</v>
      </c>
      <c r="L85" s="34">
        <v>2.0</v>
      </c>
      <c r="M85" s="6" t="s">
        <v>855</v>
      </c>
      <c r="N85" s="35" t="s">
        <v>60</v>
      </c>
      <c r="O85" s="33" t="s">
        <v>856</v>
      </c>
      <c r="P85" s="36" t="s">
        <v>62</v>
      </c>
      <c r="Q85" s="36" t="s">
        <v>167</v>
      </c>
      <c r="R85" s="36" t="s">
        <v>512</v>
      </c>
      <c r="S85" s="37">
        <v>16.916667</v>
      </c>
      <c r="T85" s="37">
        <v>-89.833333</v>
      </c>
      <c r="U85" s="36" t="s">
        <v>148</v>
      </c>
      <c r="V85" s="6" t="s">
        <v>189</v>
      </c>
      <c r="W85" s="33" t="s">
        <v>150</v>
      </c>
      <c r="X85" s="1" t="s">
        <v>857</v>
      </c>
      <c r="Y85" s="33" t="s">
        <v>70</v>
      </c>
      <c r="Z85" s="36"/>
      <c r="AA85" s="37">
        <v>11.0</v>
      </c>
      <c r="AB85" s="36"/>
      <c r="AC85" s="37">
        <v>1.0</v>
      </c>
      <c r="AD85" s="36"/>
      <c r="AE85" s="36"/>
      <c r="AF85" s="36"/>
      <c r="AG85" s="36"/>
      <c r="AH85" s="36" t="s">
        <v>858</v>
      </c>
      <c r="AI85" s="37">
        <v>-7170.0</v>
      </c>
      <c r="AJ85" s="37">
        <v>1950.0</v>
      </c>
      <c r="AK85" s="6" t="s">
        <v>100</v>
      </c>
      <c r="AL85" s="6" t="s">
        <v>60</v>
      </c>
      <c r="AM85" s="33" t="s">
        <v>859</v>
      </c>
      <c r="AN85" s="6" t="s">
        <v>60</v>
      </c>
      <c r="AO85" s="33"/>
      <c r="AP85" s="6" t="s">
        <v>576</v>
      </c>
      <c r="AQ85" s="33"/>
      <c r="AR85" s="33"/>
      <c r="AS85" s="33"/>
      <c r="AT85" s="6" t="s">
        <v>76</v>
      </c>
      <c r="AU85" s="33"/>
      <c r="AV85" s="33"/>
      <c r="AW85" s="33"/>
      <c r="AX85" s="33"/>
      <c r="AY85" s="33"/>
      <c r="AZ85" s="6" t="s">
        <v>76</v>
      </c>
      <c r="BA85" s="33"/>
      <c r="BB85" s="33">
        <f>VLOOKUP(O85,Eco_DEM_Data!$D$1:$AC$643,20,False)</f>
        <v>1738</v>
      </c>
      <c r="BC85" s="33">
        <f>VLOOKUP($O85,Eco_DEM_Data!$D$1:$AC$643,20,False)</f>
        <v>1738</v>
      </c>
      <c r="BD85" s="33">
        <f>VLOOKUP($O85,Eco_DEM_Data!$D$1:$AC$643,25,False)</f>
        <v>690</v>
      </c>
      <c r="BE85" s="33">
        <f>VLOOKUP($O85,Eco_DEM_Data!$D$1:$AC$643,22,False)</f>
        <v>36</v>
      </c>
      <c r="BF85" s="33">
        <f>VLOOKUP($O85,Eco_DEM_Data!$D$1:$AC$643,23,False)</f>
        <v>144</v>
      </c>
      <c r="BG85" s="33">
        <f>VLOOKUP($O85,Eco_DEM_Data!$D$1:$AC$643,21,False)</f>
        <v>5677</v>
      </c>
      <c r="BH85" s="33">
        <f>VLOOKUP($O85,Eco_DEM_Data!$D$1:$AC$643,26,False)</f>
        <v>131</v>
      </c>
      <c r="BI85" s="33" t="str">
        <f>VLOOKUP($O85,Eco_DEM_Data!$D$1:$AC$643,9,False)</f>
        <v>Petén-Veracruz moist forests</v>
      </c>
      <c r="BJ85" s="33" t="str">
        <f>VLOOKUP($O85,Eco_DEM_Data!$D$1:$AC$643,11,False)</f>
        <v>Tropical &amp; Subtropical Moist Broadleaf Forests</v>
      </c>
    </row>
    <row r="86">
      <c r="A86" s="33" t="s">
        <v>850</v>
      </c>
      <c r="B86" s="33" t="s">
        <v>2258</v>
      </c>
      <c r="C86" s="34">
        <v>8.0</v>
      </c>
      <c r="D86" s="33" t="s">
        <v>53</v>
      </c>
      <c r="E86" s="34">
        <v>1998.0</v>
      </c>
      <c r="F86" s="33" t="s">
        <v>851</v>
      </c>
      <c r="G86" s="33" t="s">
        <v>852</v>
      </c>
      <c r="H86" s="33" t="s">
        <v>732</v>
      </c>
      <c r="I86" s="50" t="s">
        <v>853</v>
      </c>
      <c r="J86" s="33" t="s">
        <v>854</v>
      </c>
      <c r="K86" s="34">
        <v>19.0</v>
      </c>
      <c r="L86" s="34">
        <v>2.0</v>
      </c>
      <c r="M86" s="6" t="s">
        <v>855</v>
      </c>
      <c r="N86" s="35" t="s">
        <v>60</v>
      </c>
      <c r="O86" s="33" t="s">
        <v>860</v>
      </c>
      <c r="P86" s="36" t="s">
        <v>62</v>
      </c>
      <c r="Q86" s="36" t="s">
        <v>167</v>
      </c>
      <c r="R86" s="36" t="s">
        <v>512</v>
      </c>
      <c r="S86" s="37">
        <v>16.916667</v>
      </c>
      <c r="T86" s="37">
        <v>-89.833333</v>
      </c>
      <c r="U86" s="36" t="s">
        <v>148</v>
      </c>
      <c r="V86" s="38" t="s">
        <v>382</v>
      </c>
      <c r="W86" s="33" t="s">
        <v>173</v>
      </c>
      <c r="X86" s="1" t="s">
        <v>861</v>
      </c>
      <c r="Y86" s="33" t="s">
        <v>544</v>
      </c>
      <c r="Z86" s="36"/>
      <c r="AA86" s="37">
        <v>11.0</v>
      </c>
      <c r="AB86" s="36"/>
      <c r="AC86" s="37">
        <v>1.0</v>
      </c>
      <c r="AD86" s="36"/>
      <c r="AE86" s="36"/>
      <c r="AF86" s="36"/>
      <c r="AG86" s="36"/>
      <c r="AH86" s="36" t="s">
        <v>858</v>
      </c>
      <c r="AI86" s="37">
        <v>-7170.0</v>
      </c>
      <c r="AJ86" s="37">
        <v>1950.0</v>
      </c>
      <c r="AK86" s="6" t="s">
        <v>100</v>
      </c>
      <c r="AL86" s="6" t="s">
        <v>60</v>
      </c>
      <c r="AM86" s="33" t="s">
        <v>859</v>
      </c>
      <c r="AN86" s="6" t="s">
        <v>60</v>
      </c>
      <c r="AO86" s="33"/>
      <c r="AP86" s="6" t="s">
        <v>576</v>
      </c>
      <c r="AQ86" s="33"/>
      <c r="AR86" s="33"/>
      <c r="AS86" s="33"/>
      <c r="AT86" s="6" t="s">
        <v>76</v>
      </c>
      <c r="AU86" s="33"/>
      <c r="AV86" s="33"/>
      <c r="AW86" s="33"/>
      <c r="AX86" s="33"/>
      <c r="AY86" s="33"/>
      <c r="AZ86" s="6" t="s">
        <v>76</v>
      </c>
      <c r="BA86" s="33"/>
      <c r="BB86" s="33">
        <f>VLOOKUP(O86,Eco_DEM_Data!$D$1:$AC$643,20,False)</f>
        <v>1738</v>
      </c>
      <c r="BC86" s="33">
        <f>VLOOKUP($O86,Eco_DEM_Data!$D$1:$AC$643,20,False)</f>
        <v>1738</v>
      </c>
      <c r="BD86" s="33">
        <f>VLOOKUP($O86,Eco_DEM_Data!$D$1:$AC$643,25,False)</f>
        <v>690</v>
      </c>
      <c r="BE86" s="33">
        <f>VLOOKUP($O86,Eco_DEM_Data!$D$1:$AC$643,22,False)</f>
        <v>36</v>
      </c>
      <c r="BF86" s="33">
        <f>VLOOKUP($O86,Eco_DEM_Data!$D$1:$AC$643,23,False)</f>
        <v>144</v>
      </c>
      <c r="BG86" s="33">
        <f>VLOOKUP($O86,Eco_DEM_Data!$D$1:$AC$643,21,False)</f>
        <v>5677</v>
      </c>
      <c r="BH86" s="33">
        <f>VLOOKUP($O86,Eco_DEM_Data!$D$1:$AC$643,26,False)</f>
        <v>131</v>
      </c>
      <c r="BI86" s="33" t="str">
        <f>VLOOKUP($O86,Eco_DEM_Data!$D$1:$AC$643,9,False)</f>
        <v>Petén-Veracruz moist forests</v>
      </c>
      <c r="BJ86" s="33" t="str">
        <f>VLOOKUP($O86,Eco_DEM_Data!$D$1:$AC$643,11,False)</f>
        <v>Tropical &amp; Subtropical Moist Broadleaf Forests</v>
      </c>
    </row>
    <row r="87">
      <c r="A87" s="33" t="s">
        <v>850</v>
      </c>
      <c r="B87" s="33" t="s">
        <v>2258</v>
      </c>
      <c r="C87" s="34">
        <v>8.0</v>
      </c>
      <c r="D87" s="33" t="s">
        <v>53</v>
      </c>
      <c r="E87" s="34">
        <v>1998.0</v>
      </c>
      <c r="F87" s="33" t="s">
        <v>851</v>
      </c>
      <c r="G87" s="33" t="s">
        <v>852</v>
      </c>
      <c r="H87" s="33" t="s">
        <v>732</v>
      </c>
      <c r="I87" s="33" t="s">
        <v>853</v>
      </c>
      <c r="J87" s="33" t="s">
        <v>854</v>
      </c>
      <c r="K87" s="34">
        <v>19.0</v>
      </c>
      <c r="L87" s="34">
        <v>2.0</v>
      </c>
      <c r="M87" s="6" t="s">
        <v>855</v>
      </c>
      <c r="N87" s="35" t="s">
        <v>60</v>
      </c>
      <c r="O87" s="33" t="s">
        <v>862</v>
      </c>
      <c r="P87" s="36" t="s">
        <v>62</v>
      </c>
      <c r="Q87" s="36" t="s">
        <v>167</v>
      </c>
      <c r="R87" s="36" t="s">
        <v>512</v>
      </c>
      <c r="S87" s="37">
        <v>16.916667</v>
      </c>
      <c r="T87" s="37">
        <v>-89.833333</v>
      </c>
      <c r="U87" s="36" t="s">
        <v>148</v>
      </c>
      <c r="V87" s="38" t="s">
        <v>169</v>
      </c>
      <c r="W87" s="33" t="s">
        <v>173</v>
      </c>
      <c r="X87" s="1" t="s">
        <v>863</v>
      </c>
      <c r="Y87" s="6" t="s">
        <v>575</v>
      </c>
      <c r="Z87" s="36"/>
      <c r="AA87" s="37">
        <v>11.0</v>
      </c>
      <c r="AB87" s="36"/>
      <c r="AC87" s="37">
        <v>1.0</v>
      </c>
      <c r="AD87" s="36"/>
      <c r="AE87" s="36"/>
      <c r="AF87" s="36"/>
      <c r="AG87" s="36"/>
      <c r="AH87" s="36" t="s">
        <v>858</v>
      </c>
      <c r="AI87" s="37">
        <v>-7170.0</v>
      </c>
      <c r="AJ87" s="37">
        <v>1950.0</v>
      </c>
      <c r="AK87" s="6" t="s">
        <v>100</v>
      </c>
      <c r="AL87" s="6" t="s">
        <v>60</v>
      </c>
      <c r="AM87" s="33" t="s">
        <v>859</v>
      </c>
      <c r="AN87" s="6" t="s">
        <v>60</v>
      </c>
      <c r="AO87" s="33"/>
      <c r="AP87" s="6" t="s">
        <v>576</v>
      </c>
      <c r="AQ87" s="33"/>
      <c r="AR87" s="33"/>
      <c r="AS87" s="33"/>
      <c r="AT87" s="6" t="s">
        <v>76</v>
      </c>
      <c r="AU87" s="33"/>
      <c r="AV87" s="33"/>
      <c r="AW87" s="33"/>
      <c r="AX87" s="33"/>
      <c r="AY87" s="33"/>
      <c r="AZ87" s="6" t="s">
        <v>76</v>
      </c>
      <c r="BA87" s="33"/>
      <c r="BB87" s="33">
        <f>VLOOKUP(O87,Eco_DEM_Data!$D$1:$AC$643,20,False)</f>
        <v>1738</v>
      </c>
      <c r="BC87" s="33">
        <f>VLOOKUP($O87,Eco_DEM_Data!$D$1:$AC$643,20,False)</f>
        <v>1738</v>
      </c>
      <c r="BD87" s="33">
        <f>VLOOKUP($O87,Eco_DEM_Data!$D$1:$AC$643,25,False)</f>
        <v>690</v>
      </c>
      <c r="BE87" s="33">
        <f>VLOOKUP($O87,Eco_DEM_Data!$D$1:$AC$643,22,False)</f>
        <v>36</v>
      </c>
      <c r="BF87" s="33">
        <f>VLOOKUP($O87,Eco_DEM_Data!$D$1:$AC$643,23,False)</f>
        <v>144</v>
      </c>
      <c r="BG87" s="33">
        <f>VLOOKUP($O87,Eco_DEM_Data!$D$1:$AC$643,21,False)</f>
        <v>5677</v>
      </c>
      <c r="BH87" s="33">
        <f>VLOOKUP($O87,Eco_DEM_Data!$D$1:$AC$643,26,False)</f>
        <v>131</v>
      </c>
      <c r="BI87" s="33" t="str">
        <f>VLOOKUP($O87,Eco_DEM_Data!$D$1:$AC$643,9,False)</f>
        <v>Petén-Veracruz moist forests</v>
      </c>
      <c r="BJ87" s="33" t="str">
        <f>VLOOKUP($O87,Eco_DEM_Data!$D$1:$AC$643,11,False)</f>
        <v>Tropical &amp; Subtropical Moist Broadleaf Forests</v>
      </c>
    </row>
    <row r="88">
      <c r="A88" s="33" t="s">
        <v>850</v>
      </c>
      <c r="B88" s="33" t="s">
        <v>2258</v>
      </c>
      <c r="C88" s="34">
        <v>8.0</v>
      </c>
      <c r="D88" s="33" t="s">
        <v>53</v>
      </c>
      <c r="E88" s="34">
        <v>1998.0</v>
      </c>
      <c r="F88" s="33" t="s">
        <v>851</v>
      </c>
      <c r="G88" s="33" t="s">
        <v>852</v>
      </c>
      <c r="H88" s="33" t="s">
        <v>732</v>
      </c>
      <c r="I88" s="33" t="s">
        <v>853</v>
      </c>
      <c r="J88" s="33" t="s">
        <v>854</v>
      </c>
      <c r="K88" s="34">
        <v>19.0</v>
      </c>
      <c r="L88" s="34">
        <v>2.0</v>
      </c>
      <c r="M88" s="6" t="s">
        <v>855</v>
      </c>
      <c r="N88" s="35" t="s">
        <v>60</v>
      </c>
      <c r="O88" s="33" t="s">
        <v>864</v>
      </c>
      <c r="P88" s="36" t="s">
        <v>62</v>
      </c>
      <c r="Q88" s="36" t="s">
        <v>167</v>
      </c>
      <c r="R88" s="36" t="s">
        <v>512</v>
      </c>
      <c r="S88" s="37">
        <v>16.916667</v>
      </c>
      <c r="T88" s="37">
        <v>-89.833333</v>
      </c>
      <c r="U88" s="36" t="s">
        <v>148</v>
      </c>
      <c r="V88" s="38" t="s">
        <v>66</v>
      </c>
      <c r="W88" s="41" t="s">
        <v>823</v>
      </c>
      <c r="X88" s="7" t="s">
        <v>865</v>
      </c>
      <c r="Y88" s="41" t="s">
        <v>70</v>
      </c>
      <c r="Z88" s="43"/>
      <c r="AA88" s="42">
        <v>11.0</v>
      </c>
      <c r="AB88" s="43"/>
      <c r="AC88" s="42">
        <v>1.0</v>
      </c>
      <c r="AD88" s="43"/>
      <c r="AE88" s="43"/>
      <c r="AF88" s="43"/>
      <c r="AG88" s="43"/>
      <c r="AH88" s="43" t="s">
        <v>858</v>
      </c>
      <c r="AI88" s="42">
        <v>-7170.0</v>
      </c>
      <c r="AJ88" s="42">
        <v>1950.0</v>
      </c>
      <c r="AK88" s="5" t="s">
        <v>100</v>
      </c>
      <c r="AL88" s="5" t="s">
        <v>60</v>
      </c>
      <c r="AM88" s="41" t="s">
        <v>859</v>
      </c>
      <c r="AN88" s="5" t="s">
        <v>60</v>
      </c>
      <c r="AO88" s="41"/>
      <c r="AP88" s="5" t="s">
        <v>576</v>
      </c>
      <c r="AQ88" s="41"/>
      <c r="AR88" s="41"/>
      <c r="AS88" s="41"/>
      <c r="AT88" s="5" t="s">
        <v>76</v>
      </c>
      <c r="AU88" s="33"/>
      <c r="AV88" s="33"/>
      <c r="AW88" s="33"/>
      <c r="AX88" s="33"/>
      <c r="AY88" s="33"/>
      <c r="AZ88" s="6" t="s">
        <v>76</v>
      </c>
      <c r="BA88" s="33"/>
      <c r="BB88" s="33">
        <f>VLOOKUP(O88,Eco_DEM_Data!$D$1:$AC$643,20,False)</f>
        <v>1738</v>
      </c>
      <c r="BC88" s="33">
        <f>VLOOKUP($O88,Eco_DEM_Data!$D$1:$AC$643,20,False)</f>
        <v>1738</v>
      </c>
      <c r="BD88" s="33">
        <f>VLOOKUP($O88,Eco_DEM_Data!$D$1:$AC$643,25,False)</f>
        <v>690</v>
      </c>
      <c r="BE88" s="33">
        <f>VLOOKUP($O88,Eco_DEM_Data!$D$1:$AC$643,22,False)</f>
        <v>36</v>
      </c>
      <c r="BF88" s="33">
        <f>VLOOKUP($O88,Eco_DEM_Data!$D$1:$AC$643,23,False)</f>
        <v>144</v>
      </c>
      <c r="BG88" s="33">
        <f>VLOOKUP($O88,Eco_DEM_Data!$D$1:$AC$643,21,False)</f>
        <v>5677</v>
      </c>
      <c r="BH88" s="33">
        <f>VLOOKUP($O88,Eco_DEM_Data!$D$1:$AC$643,26,False)</f>
        <v>131</v>
      </c>
      <c r="BI88" s="33" t="str">
        <f>VLOOKUP($O88,Eco_DEM_Data!$D$1:$AC$643,9,False)</f>
        <v>Petén-Veracruz moist forests</v>
      </c>
      <c r="BJ88" s="33" t="str">
        <f>VLOOKUP($O88,Eco_DEM_Data!$D$1:$AC$643,11,False)</f>
        <v>Tropical &amp; Subtropical Moist Broadleaf Forests</v>
      </c>
    </row>
    <row r="89">
      <c r="A89" s="33" t="s">
        <v>850</v>
      </c>
      <c r="B89" s="33" t="s">
        <v>2258</v>
      </c>
      <c r="C89" s="34">
        <v>8.0</v>
      </c>
      <c r="D89" s="33" t="s">
        <v>53</v>
      </c>
      <c r="E89" s="34">
        <v>1998.0</v>
      </c>
      <c r="F89" s="33" t="s">
        <v>851</v>
      </c>
      <c r="G89" s="33" t="s">
        <v>852</v>
      </c>
      <c r="H89" s="33" t="s">
        <v>732</v>
      </c>
      <c r="I89" s="33" t="s">
        <v>853</v>
      </c>
      <c r="J89" s="33" t="s">
        <v>854</v>
      </c>
      <c r="K89" s="34">
        <v>19.0</v>
      </c>
      <c r="L89" s="34">
        <v>2.0</v>
      </c>
      <c r="M89" s="6" t="s">
        <v>855</v>
      </c>
      <c r="N89" s="35" t="s">
        <v>60</v>
      </c>
      <c r="O89" s="33" t="s">
        <v>866</v>
      </c>
      <c r="P89" s="36" t="s">
        <v>62</v>
      </c>
      <c r="Q89" s="36" t="s">
        <v>167</v>
      </c>
      <c r="R89" s="36" t="s">
        <v>512</v>
      </c>
      <c r="S89" s="37">
        <v>16.916667</v>
      </c>
      <c r="T89" s="37">
        <v>-89.833333</v>
      </c>
      <c r="U89" s="36" t="s">
        <v>148</v>
      </c>
      <c r="V89" s="6" t="s">
        <v>95</v>
      </c>
      <c r="W89" s="6" t="s">
        <v>96</v>
      </c>
      <c r="X89" s="1" t="s">
        <v>867</v>
      </c>
      <c r="Y89" s="6" t="s">
        <v>99</v>
      </c>
      <c r="Z89" s="36"/>
      <c r="AA89" s="37">
        <v>11.0</v>
      </c>
      <c r="AB89" s="36"/>
      <c r="AC89" s="37">
        <v>1.0</v>
      </c>
      <c r="AD89" s="36"/>
      <c r="AE89" s="36"/>
      <c r="AF89" s="36"/>
      <c r="AG89" s="36"/>
      <c r="AH89" s="36" t="s">
        <v>858</v>
      </c>
      <c r="AI89" s="37">
        <v>-7170.0</v>
      </c>
      <c r="AJ89" s="37">
        <v>1950.0</v>
      </c>
      <c r="AK89" s="6" t="s">
        <v>100</v>
      </c>
      <c r="AL89" s="6" t="s">
        <v>60</v>
      </c>
      <c r="AM89" s="33" t="s">
        <v>859</v>
      </c>
      <c r="AN89" s="6" t="s">
        <v>60</v>
      </c>
      <c r="AO89" s="33"/>
      <c r="AP89" s="6" t="s">
        <v>576</v>
      </c>
      <c r="AQ89" s="33"/>
      <c r="AR89" s="33"/>
      <c r="AS89" s="33"/>
      <c r="AT89" s="6" t="s">
        <v>76</v>
      </c>
      <c r="AU89" s="33"/>
      <c r="AV89" s="33"/>
      <c r="AW89" s="33"/>
      <c r="AX89" s="33"/>
      <c r="AY89" s="33"/>
      <c r="AZ89" s="6" t="s">
        <v>76</v>
      </c>
      <c r="BA89" s="33"/>
      <c r="BB89" s="33">
        <f>VLOOKUP(O89,Eco_DEM_Data!$D$1:$AC$643,20,False)</f>
        <v>1738</v>
      </c>
      <c r="BC89" s="33">
        <f>VLOOKUP($O89,Eco_DEM_Data!$D$1:$AC$643,20,False)</f>
        <v>1738</v>
      </c>
      <c r="BD89" s="33">
        <f>VLOOKUP($O89,Eco_DEM_Data!$D$1:$AC$643,25,False)</f>
        <v>690</v>
      </c>
      <c r="BE89" s="33">
        <f>VLOOKUP($O89,Eco_DEM_Data!$D$1:$AC$643,22,False)</f>
        <v>36</v>
      </c>
      <c r="BF89" s="33">
        <f>VLOOKUP($O89,Eco_DEM_Data!$D$1:$AC$643,23,False)</f>
        <v>144</v>
      </c>
      <c r="BG89" s="33">
        <f>VLOOKUP($O89,Eco_DEM_Data!$D$1:$AC$643,21,False)</f>
        <v>5677</v>
      </c>
      <c r="BH89" s="33">
        <f>VLOOKUP($O89,Eco_DEM_Data!$D$1:$AC$643,26,False)</f>
        <v>131</v>
      </c>
      <c r="BI89" s="33" t="str">
        <f>VLOOKUP($O89,Eco_DEM_Data!$D$1:$AC$643,9,False)</f>
        <v>Petén-Veracruz moist forests</v>
      </c>
      <c r="BJ89" s="33" t="str">
        <f>VLOOKUP($O89,Eco_DEM_Data!$D$1:$AC$643,11,False)</f>
        <v>Tropical &amp; Subtropical Moist Broadleaf Forests</v>
      </c>
    </row>
    <row r="90">
      <c r="A90" s="33" t="s">
        <v>850</v>
      </c>
      <c r="B90" s="33" t="s">
        <v>2258</v>
      </c>
      <c r="C90" s="34">
        <v>8.0</v>
      </c>
      <c r="D90" s="33" t="s">
        <v>53</v>
      </c>
      <c r="E90" s="34">
        <v>1998.0</v>
      </c>
      <c r="F90" s="33" t="s">
        <v>851</v>
      </c>
      <c r="G90" s="33" t="s">
        <v>852</v>
      </c>
      <c r="H90" s="33" t="s">
        <v>732</v>
      </c>
      <c r="I90" s="33" t="s">
        <v>853</v>
      </c>
      <c r="J90" s="33" t="s">
        <v>854</v>
      </c>
      <c r="K90" s="34">
        <v>19.0</v>
      </c>
      <c r="L90" s="34">
        <v>2.0</v>
      </c>
      <c r="M90" s="6" t="s">
        <v>855</v>
      </c>
      <c r="N90" s="35" t="s">
        <v>60</v>
      </c>
      <c r="O90" s="33" t="s">
        <v>868</v>
      </c>
      <c r="P90" s="36" t="s">
        <v>62</v>
      </c>
      <c r="Q90" s="36" t="s">
        <v>167</v>
      </c>
      <c r="R90" s="36" t="s">
        <v>512</v>
      </c>
      <c r="S90" s="37">
        <v>16.916667</v>
      </c>
      <c r="T90" s="37">
        <v>-89.833333</v>
      </c>
      <c r="U90" s="36" t="s">
        <v>148</v>
      </c>
      <c r="V90" s="6" t="s">
        <v>95</v>
      </c>
      <c r="W90" s="6" t="s">
        <v>96</v>
      </c>
      <c r="X90" s="1" t="s">
        <v>867</v>
      </c>
      <c r="Y90" s="6" t="s">
        <v>99</v>
      </c>
      <c r="Z90" s="36"/>
      <c r="AA90" s="37">
        <v>11.0</v>
      </c>
      <c r="AB90" s="36"/>
      <c r="AC90" s="37">
        <v>1.0</v>
      </c>
      <c r="AD90" s="36"/>
      <c r="AE90" s="36"/>
      <c r="AF90" s="36"/>
      <c r="AG90" s="36"/>
      <c r="AH90" s="36" t="s">
        <v>858</v>
      </c>
      <c r="AI90" s="37">
        <v>-7170.0</v>
      </c>
      <c r="AJ90" s="37">
        <v>1950.0</v>
      </c>
      <c r="AK90" s="6" t="s">
        <v>100</v>
      </c>
      <c r="AL90" s="6" t="s">
        <v>60</v>
      </c>
      <c r="AM90" s="33" t="s">
        <v>859</v>
      </c>
      <c r="AN90" s="6" t="s">
        <v>60</v>
      </c>
      <c r="AO90" s="33"/>
      <c r="AP90" s="6" t="s">
        <v>576</v>
      </c>
      <c r="AQ90" s="33"/>
      <c r="AR90" s="33"/>
      <c r="AS90" s="33"/>
      <c r="AT90" s="6" t="s">
        <v>76</v>
      </c>
      <c r="AU90" s="33"/>
      <c r="AV90" s="33"/>
      <c r="AW90" s="33"/>
      <c r="AX90" s="33"/>
      <c r="AY90" s="33"/>
      <c r="AZ90" s="6" t="s">
        <v>76</v>
      </c>
      <c r="BA90" s="33"/>
      <c r="BB90" s="33">
        <f>VLOOKUP(O90,Eco_DEM_Data!$D$1:$AC$643,20,False)</f>
        <v>1738</v>
      </c>
      <c r="BC90" s="33">
        <f>VLOOKUP($O90,Eco_DEM_Data!$D$1:$AC$643,20,False)</f>
        <v>1738</v>
      </c>
      <c r="BD90" s="33">
        <f>VLOOKUP($O90,Eco_DEM_Data!$D$1:$AC$643,25,False)</f>
        <v>690</v>
      </c>
      <c r="BE90" s="33">
        <f>VLOOKUP($O90,Eco_DEM_Data!$D$1:$AC$643,22,False)</f>
        <v>36</v>
      </c>
      <c r="BF90" s="33">
        <f>VLOOKUP($O90,Eco_DEM_Data!$D$1:$AC$643,23,False)</f>
        <v>144</v>
      </c>
      <c r="BG90" s="33">
        <f>VLOOKUP($O90,Eco_DEM_Data!$D$1:$AC$643,21,False)</f>
        <v>5677</v>
      </c>
      <c r="BH90" s="33">
        <f>VLOOKUP($O90,Eco_DEM_Data!$D$1:$AC$643,26,False)</f>
        <v>131</v>
      </c>
      <c r="BI90" s="33" t="str">
        <f>VLOOKUP($O90,Eco_DEM_Data!$D$1:$AC$643,9,False)</f>
        <v>Petén-Veracruz moist forests</v>
      </c>
      <c r="BJ90" s="33" t="str">
        <f>VLOOKUP($O90,Eco_DEM_Data!$D$1:$AC$643,11,False)</f>
        <v>Tropical &amp; Subtropical Moist Broadleaf Forests</v>
      </c>
    </row>
    <row r="91">
      <c r="A91" s="33" t="s">
        <v>850</v>
      </c>
      <c r="B91" s="33" t="s">
        <v>2258</v>
      </c>
      <c r="C91" s="34">
        <v>8.0</v>
      </c>
      <c r="D91" s="33" t="s">
        <v>53</v>
      </c>
      <c r="E91" s="34">
        <v>1998.0</v>
      </c>
      <c r="F91" s="33" t="s">
        <v>851</v>
      </c>
      <c r="G91" s="33" t="s">
        <v>852</v>
      </c>
      <c r="H91" s="33" t="s">
        <v>732</v>
      </c>
      <c r="I91" s="33" t="s">
        <v>853</v>
      </c>
      <c r="J91" s="33" t="s">
        <v>854</v>
      </c>
      <c r="K91" s="34">
        <v>19.0</v>
      </c>
      <c r="L91" s="34">
        <v>2.0</v>
      </c>
      <c r="M91" s="6" t="s">
        <v>855</v>
      </c>
      <c r="N91" s="35" t="s">
        <v>60</v>
      </c>
      <c r="O91" s="33" t="s">
        <v>869</v>
      </c>
      <c r="P91" s="36" t="s">
        <v>62</v>
      </c>
      <c r="Q91" s="36" t="s">
        <v>167</v>
      </c>
      <c r="R91" s="36" t="s">
        <v>512</v>
      </c>
      <c r="S91" s="37">
        <v>16.916667</v>
      </c>
      <c r="T91" s="37">
        <v>-89.833333</v>
      </c>
      <c r="U91" s="36" t="s">
        <v>148</v>
      </c>
      <c r="V91" s="6" t="s">
        <v>95</v>
      </c>
      <c r="W91" s="6" t="s">
        <v>96</v>
      </c>
      <c r="X91" s="1" t="s">
        <v>867</v>
      </c>
      <c r="Y91" s="6" t="s">
        <v>99</v>
      </c>
      <c r="Z91" s="36"/>
      <c r="AA91" s="37">
        <v>11.0</v>
      </c>
      <c r="AB91" s="36"/>
      <c r="AC91" s="37">
        <v>1.0</v>
      </c>
      <c r="AD91" s="36"/>
      <c r="AE91" s="36"/>
      <c r="AF91" s="36"/>
      <c r="AG91" s="36"/>
      <c r="AH91" s="36" t="s">
        <v>858</v>
      </c>
      <c r="AI91" s="37">
        <v>-7170.0</v>
      </c>
      <c r="AJ91" s="37">
        <v>1950.0</v>
      </c>
      <c r="AK91" s="6" t="s">
        <v>100</v>
      </c>
      <c r="AL91" s="6" t="s">
        <v>60</v>
      </c>
      <c r="AM91" s="33" t="s">
        <v>859</v>
      </c>
      <c r="AN91" s="6" t="s">
        <v>60</v>
      </c>
      <c r="AO91" s="33"/>
      <c r="AP91" s="6" t="s">
        <v>576</v>
      </c>
      <c r="AQ91" s="33"/>
      <c r="AR91" s="33"/>
      <c r="AS91" s="33"/>
      <c r="AT91" s="6" t="s">
        <v>76</v>
      </c>
      <c r="AU91" s="33"/>
      <c r="AV91" s="33"/>
      <c r="AW91" s="33"/>
      <c r="AX91" s="33"/>
      <c r="AY91" s="33"/>
      <c r="AZ91" s="6" t="s">
        <v>76</v>
      </c>
      <c r="BA91" s="33"/>
      <c r="BB91" s="33">
        <f>VLOOKUP(O91,Eco_DEM_Data!$D$1:$AC$643,20,False)</f>
        <v>1738</v>
      </c>
      <c r="BC91" s="33">
        <f>VLOOKUP($O91,Eco_DEM_Data!$D$1:$AC$643,20,False)</f>
        <v>1738</v>
      </c>
      <c r="BD91" s="33">
        <f>VLOOKUP($O91,Eco_DEM_Data!$D$1:$AC$643,25,False)</f>
        <v>690</v>
      </c>
      <c r="BE91" s="33">
        <f>VLOOKUP($O91,Eco_DEM_Data!$D$1:$AC$643,22,False)</f>
        <v>36</v>
      </c>
      <c r="BF91" s="33">
        <f>VLOOKUP($O91,Eco_DEM_Data!$D$1:$AC$643,23,False)</f>
        <v>144</v>
      </c>
      <c r="BG91" s="33">
        <f>VLOOKUP($O91,Eco_DEM_Data!$D$1:$AC$643,21,False)</f>
        <v>5677</v>
      </c>
      <c r="BH91" s="33">
        <f>VLOOKUP($O91,Eco_DEM_Data!$D$1:$AC$643,26,False)</f>
        <v>131</v>
      </c>
      <c r="BI91" s="33" t="str">
        <f>VLOOKUP($O91,Eco_DEM_Data!$D$1:$AC$643,9,False)</f>
        <v>Petén-Veracruz moist forests</v>
      </c>
      <c r="BJ91" s="33" t="str">
        <f>VLOOKUP($O91,Eco_DEM_Data!$D$1:$AC$643,11,False)</f>
        <v>Tropical &amp; Subtropical Moist Broadleaf Forests</v>
      </c>
    </row>
    <row r="92">
      <c r="A92" s="33" t="s">
        <v>850</v>
      </c>
      <c r="B92" s="33" t="s">
        <v>2258</v>
      </c>
      <c r="C92" s="34">
        <v>8.0</v>
      </c>
      <c r="D92" s="33" t="s">
        <v>53</v>
      </c>
      <c r="E92" s="34">
        <v>1998.0</v>
      </c>
      <c r="F92" s="33" t="s">
        <v>851</v>
      </c>
      <c r="G92" s="33" t="s">
        <v>852</v>
      </c>
      <c r="H92" s="33" t="s">
        <v>732</v>
      </c>
      <c r="I92" s="33" t="s">
        <v>853</v>
      </c>
      <c r="J92" s="33" t="s">
        <v>854</v>
      </c>
      <c r="K92" s="34">
        <v>19.0</v>
      </c>
      <c r="L92" s="34">
        <v>2.0</v>
      </c>
      <c r="M92" s="6" t="s">
        <v>855</v>
      </c>
      <c r="N92" s="35" t="s">
        <v>60</v>
      </c>
      <c r="O92" s="33" t="s">
        <v>870</v>
      </c>
      <c r="P92" s="36" t="s">
        <v>62</v>
      </c>
      <c r="Q92" s="36" t="s">
        <v>167</v>
      </c>
      <c r="R92" s="36" t="s">
        <v>512</v>
      </c>
      <c r="S92" s="37">
        <v>16.916667</v>
      </c>
      <c r="T92" s="37">
        <v>-89.833333</v>
      </c>
      <c r="U92" s="36" t="s">
        <v>148</v>
      </c>
      <c r="V92" s="38" t="s">
        <v>194</v>
      </c>
      <c r="W92" s="33" t="s">
        <v>173</v>
      </c>
      <c r="X92" s="1" t="s">
        <v>286</v>
      </c>
      <c r="Y92" s="33" t="s">
        <v>70</v>
      </c>
      <c r="Z92" s="36"/>
      <c r="AA92" s="37">
        <v>11.0</v>
      </c>
      <c r="AB92" s="36"/>
      <c r="AC92" s="37">
        <v>1.0</v>
      </c>
      <c r="AD92" s="36"/>
      <c r="AE92" s="36"/>
      <c r="AF92" s="36"/>
      <c r="AG92" s="36"/>
      <c r="AH92" s="36" t="s">
        <v>858</v>
      </c>
      <c r="AI92" s="37">
        <v>-7170.0</v>
      </c>
      <c r="AJ92" s="37">
        <v>1950.0</v>
      </c>
      <c r="AK92" s="6" t="s">
        <v>100</v>
      </c>
      <c r="AL92" s="6" t="s">
        <v>60</v>
      </c>
      <c r="AM92" s="33" t="s">
        <v>859</v>
      </c>
      <c r="AN92" s="6" t="s">
        <v>60</v>
      </c>
      <c r="AO92" s="33"/>
      <c r="AP92" s="6" t="s">
        <v>576</v>
      </c>
      <c r="AQ92" s="33"/>
      <c r="AR92" s="33"/>
      <c r="AS92" s="33"/>
      <c r="AT92" s="6" t="s">
        <v>76</v>
      </c>
      <c r="AU92" s="33"/>
      <c r="AV92" s="33"/>
      <c r="AW92" s="33"/>
      <c r="AX92" s="33"/>
      <c r="AY92" s="33"/>
      <c r="AZ92" s="6" t="s">
        <v>76</v>
      </c>
      <c r="BA92" s="33"/>
      <c r="BB92" s="33">
        <f>VLOOKUP(O92,Eco_DEM_Data!$D$1:$AC$643,20,False)</f>
        <v>1738</v>
      </c>
      <c r="BC92" s="33">
        <f>VLOOKUP($O92,Eco_DEM_Data!$D$1:$AC$643,20,False)</f>
        <v>1738</v>
      </c>
      <c r="BD92" s="33">
        <f>VLOOKUP($O92,Eco_DEM_Data!$D$1:$AC$643,25,False)</f>
        <v>690</v>
      </c>
      <c r="BE92" s="33">
        <f>VLOOKUP($O92,Eco_DEM_Data!$D$1:$AC$643,22,False)</f>
        <v>36</v>
      </c>
      <c r="BF92" s="33">
        <f>VLOOKUP($O92,Eco_DEM_Data!$D$1:$AC$643,23,False)</f>
        <v>144</v>
      </c>
      <c r="BG92" s="33">
        <f>VLOOKUP($O92,Eco_DEM_Data!$D$1:$AC$643,21,False)</f>
        <v>5677</v>
      </c>
      <c r="BH92" s="33">
        <f>VLOOKUP($O92,Eco_DEM_Data!$D$1:$AC$643,26,False)</f>
        <v>131</v>
      </c>
      <c r="BI92" s="33" t="str">
        <f>VLOOKUP($O92,Eco_DEM_Data!$D$1:$AC$643,9,False)</f>
        <v>Petén-Veracruz moist forests</v>
      </c>
      <c r="BJ92" s="33" t="str">
        <f>VLOOKUP($O92,Eco_DEM_Data!$D$1:$AC$643,11,False)</f>
        <v>Tropical &amp; Subtropical Moist Broadleaf Forests</v>
      </c>
    </row>
    <row r="93">
      <c r="A93" s="33" t="s">
        <v>1361</v>
      </c>
      <c r="B93" s="33" t="s">
        <v>2259</v>
      </c>
      <c r="C93" s="34">
        <v>3.0</v>
      </c>
      <c r="D93" s="33" t="s">
        <v>53</v>
      </c>
      <c r="E93" s="34">
        <v>1998.0</v>
      </c>
      <c r="F93" s="33" t="s">
        <v>1362</v>
      </c>
      <c r="G93" s="33" t="s">
        <v>1363</v>
      </c>
      <c r="H93" s="33" t="s">
        <v>1357</v>
      </c>
      <c r="I93" s="33" t="s">
        <v>1364</v>
      </c>
      <c r="J93" s="33" t="s">
        <v>1365</v>
      </c>
      <c r="K93" s="34">
        <v>22.0</v>
      </c>
      <c r="L93" s="34">
        <v>1.0</v>
      </c>
      <c r="M93" s="6" t="s">
        <v>1366</v>
      </c>
      <c r="N93" s="35" t="s">
        <v>60</v>
      </c>
      <c r="O93" s="33" t="s">
        <v>1367</v>
      </c>
      <c r="P93" s="36" t="s">
        <v>62</v>
      </c>
      <c r="Q93" s="36" t="s">
        <v>112</v>
      </c>
      <c r="R93" s="36" t="s">
        <v>1368</v>
      </c>
      <c r="S93" s="37">
        <v>10.433333</v>
      </c>
      <c r="T93" s="37">
        <v>-84.0</v>
      </c>
      <c r="U93" s="36" t="s">
        <v>398</v>
      </c>
      <c r="V93" s="38" t="s">
        <v>66</v>
      </c>
      <c r="W93" s="41" t="s">
        <v>823</v>
      </c>
      <c r="X93" s="7" t="s">
        <v>1369</v>
      </c>
      <c r="Y93" s="41" t="s">
        <v>70</v>
      </c>
      <c r="Z93" s="43"/>
      <c r="AA93" s="42"/>
      <c r="AB93" s="43"/>
      <c r="AC93" s="43"/>
      <c r="AD93" s="43"/>
      <c r="AE93" s="43"/>
      <c r="AF93" s="43"/>
      <c r="AG93" s="43"/>
      <c r="AH93" s="38" t="s">
        <v>72</v>
      </c>
      <c r="AI93" s="53" t="s">
        <v>72</v>
      </c>
      <c r="AJ93" s="53" t="s">
        <v>72</v>
      </c>
      <c r="AK93" s="5" t="s">
        <v>100</v>
      </c>
      <c r="AL93" s="5" t="s">
        <v>76</v>
      </c>
      <c r="AM93" s="5" t="s">
        <v>76</v>
      </c>
      <c r="AN93" s="5" t="s">
        <v>76</v>
      </c>
      <c r="AO93" s="41"/>
      <c r="AP93" s="5" t="s">
        <v>75</v>
      </c>
      <c r="AQ93" s="41"/>
      <c r="AR93" s="41"/>
      <c r="AS93" s="41"/>
      <c r="AT93" s="5" t="s">
        <v>76</v>
      </c>
      <c r="AU93" s="33"/>
      <c r="AV93" s="33"/>
      <c r="AW93" s="33"/>
      <c r="AX93" s="33"/>
      <c r="AY93" s="33"/>
      <c r="AZ93" s="6" t="s">
        <v>76</v>
      </c>
      <c r="BA93" s="33"/>
      <c r="BB93" s="33">
        <f>VLOOKUP(O93,Eco_DEM_Data!$D$1:$AC$643,20,False)</f>
        <v>3707</v>
      </c>
      <c r="BC93" s="33">
        <f>VLOOKUP($O93,Eco_DEM_Data!$D$1:$AC$643,20,False)</f>
        <v>3707</v>
      </c>
      <c r="BD93" s="33">
        <f>VLOOKUP($O93,Eco_DEM_Data!$D$1:$AC$643,25,False)</f>
        <v>1276</v>
      </c>
      <c r="BE93" s="33">
        <f>VLOOKUP($O93,Eco_DEM_Data!$D$1:$AC$643,22,False)</f>
        <v>133</v>
      </c>
      <c r="BF93" s="33">
        <f>VLOOKUP($O93,Eco_DEM_Data!$D$1:$AC$643,23,False)</f>
        <v>433</v>
      </c>
      <c r="BG93" s="33">
        <f>VLOOKUP($O93,Eco_DEM_Data!$D$1:$AC$643,21,False)</f>
        <v>4001</v>
      </c>
      <c r="BH93" s="33">
        <f>VLOOKUP($O93,Eco_DEM_Data!$D$1:$AC$643,26,False)</f>
        <v>51</v>
      </c>
      <c r="BI93" s="33" t="str">
        <f>VLOOKUP($O93,Eco_DEM_Data!$D$1:$AC$643,9,False)</f>
        <v>Isthmian-Atlantic moist forests</v>
      </c>
      <c r="BJ93" s="33" t="str">
        <f>VLOOKUP($O93,Eco_DEM_Data!$D$1:$AC$643,11,False)</f>
        <v>Tropical &amp; Subtropical Moist Broadleaf Forests</v>
      </c>
    </row>
    <row r="94">
      <c r="A94" s="33" t="s">
        <v>1361</v>
      </c>
      <c r="B94" s="33" t="s">
        <v>2259</v>
      </c>
      <c r="C94" s="34">
        <v>3.0</v>
      </c>
      <c r="D94" s="33" t="s">
        <v>53</v>
      </c>
      <c r="E94" s="34">
        <v>1998.0</v>
      </c>
      <c r="F94" s="33" t="s">
        <v>1362</v>
      </c>
      <c r="G94" s="33" t="s">
        <v>1363</v>
      </c>
      <c r="H94" s="33" t="s">
        <v>1357</v>
      </c>
      <c r="I94" s="33" t="s">
        <v>1364</v>
      </c>
      <c r="J94" s="33" t="s">
        <v>1365</v>
      </c>
      <c r="K94" s="34">
        <v>22.0</v>
      </c>
      <c r="L94" s="34">
        <v>1.0</v>
      </c>
      <c r="M94" s="6" t="s">
        <v>1366</v>
      </c>
      <c r="N94" s="35" t="s">
        <v>60</v>
      </c>
      <c r="O94" s="33" t="s">
        <v>1370</v>
      </c>
      <c r="P94" s="36" t="s">
        <v>62</v>
      </c>
      <c r="Q94" s="36" t="s">
        <v>112</v>
      </c>
      <c r="R94" s="36" t="s">
        <v>1371</v>
      </c>
      <c r="S94" s="37">
        <v>10.433333</v>
      </c>
      <c r="T94" s="37">
        <v>-84.0</v>
      </c>
      <c r="U94" s="36" t="s">
        <v>398</v>
      </c>
      <c r="V94" s="38" t="s">
        <v>66</v>
      </c>
      <c r="W94" s="41" t="s">
        <v>823</v>
      </c>
      <c r="X94" s="7" t="s">
        <v>1369</v>
      </c>
      <c r="Y94" s="41" t="s">
        <v>70</v>
      </c>
      <c r="Z94" s="43"/>
      <c r="AA94" s="42"/>
      <c r="AB94" s="43"/>
      <c r="AC94" s="43"/>
      <c r="AD94" s="43"/>
      <c r="AE94" s="43"/>
      <c r="AF94" s="43"/>
      <c r="AG94" s="43"/>
      <c r="AH94" s="38" t="s">
        <v>72</v>
      </c>
      <c r="AI94" s="53" t="s">
        <v>72</v>
      </c>
      <c r="AJ94" s="53" t="s">
        <v>72</v>
      </c>
      <c r="AK94" s="5" t="s">
        <v>100</v>
      </c>
      <c r="AL94" s="5" t="s">
        <v>76</v>
      </c>
      <c r="AM94" s="5" t="s">
        <v>76</v>
      </c>
      <c r="AN94" s="5" t="s">
        <v>76</v>
      </c>
      <c r="AO94" s="41"/>
      <c r="AP94" s="5" t="s">
        <v>75</v>
      </c>
      <c r="AQ94" s="41"/>
      <c r="AR94" s="41"/>
      <c r="AS94" s="41"/>
      <c r="AT94" s="5" t="s">
        <v>76</v>
      </c>
      <c r="AU94" s="33"/>
      <c r="AV94" s="33"/>
      <c r="AW94" s="33"/>
      <c r="AX94" s="33"/>
      <c r="AY94" s="33"/>
      <c r="AZ94" s="6" t="s">
        <v>76</v>
      </c>
      <c r="BA94" s="33"/>
      <c r="BB94" s="33">
        <f>VLOOKUP(O94,Eco_DEM_Data!$D$1:$AC$643,20,False)</f>
        <v>3707</v>
      </c>
      <c r="BC94" s="33">
        <f>VLOOKUP($O94,Eco_DEM_Data!$D$1:$AC$643,20,False)</f>
        <v>3707</v>
      </c>
      <c r="BD94" s="33">
        <f>VLOOKUP($O94,Eco_DEM_Data!$D$1:$AC$643,25,False)</f>
        <v>1276</v>
      </c>
      <c r="BE94" s="33">
        <f>VLOOKUP($O94,Eco_DEM_Data!$D$1:$AC$643,22,False)</f>
        <v>133</v>
      </c>
      <c r="BF94" s="33">
        <f>VLOOKUP($O94,Eco_DEM_Data!$D$1:$AC$643,23,False)</f>
        <v>433</v>
      </c>
      <c r="BG94" s="33">
        <f>VLOOKUP($O94,Eco_DEM_Data!$D$1:$AC$643,21,False)</f>
        <v>4001</v>
      </c>
      <c r="BH94" s="33">
        <f>VLOOKUP($O94,Eco_DEM_Data!$D$1:$AC$643,26,False)</f>
        <v>51</v>
      </c>
      <c r="BI94" s="33" t="str">
        <f>VLOOKUP($O94,Eco_DEM_Data!$D$1:$AC$643,9,False)</f>
        <v>Isthmian-Atlantic moist forests</v>
      </c>
      <c r="BJ94" s="33" t="str">
        <f>VLOOKUP($O94,Eco_DEM_Data!$D$1:$AC$643,11,False)</f>
        <v>Tropical &amp; Subtropical Moist Broadleaf Forests</v>
      </c>
    </row>
    <row r="95">
      <c r="A95" s="33" t="s">
        <v>1361</v>
      </c>
      <c r="B95" s="33" t="s">
        <v>2259</v>
      </c>
      <c r="C95" s="34">
        <v>3.0</v>
      </c>
      <c r="D95" s="33" t="s">
        <v>53</v>
      </c>
      <c r="E95" s="34">
        <v>1998.0</v>
      </c>
      <c r="F95" s="33" t="s">
        <v>1362</v>
      </c>
      <c r="G95" s="33" t="s">
        <v>1363</v>
      </c>
      <c r="H95" s="33" t="s">
        <v>1357</v>
      </c>
      <c r="I95" s="33" t="s">
        <v>1364</v>
      </c>
      <c r="J95" s="33" t="s">
        <v>1365</v>
      </c>
      <c r="K95" s="34">
        <v>22.0</v>
      </c>
      <c r="L95" s="34">
        <v>1.0</v>
      </c>
      <c r="M95" s="6" t="s">
        <v>1366</v>
      </c>
      <c r="N95" s="35" t="s">
        <v>60</v>
      </c>
      <c r="O95" s="33" t="s">
        <v>1372</v>
      </c>
      <c r="P95" s="36" t="s">
        <v>62</v>
      </c>
      <c r="Q95" s="36" t="s">
        <v>112</v>
      </c>
      <c r="R95" s="36" t="s">
        <v>1373</v>
      </c>
      <c r="S95" s="37">
        <v>10.433333</v>
      </c>
      <c r="T95" s="37">
        <v>-84.0</v>
      </c>
      <c r="U95" s="36" t="s">
        <v>398</v>
      </c>
      <c r="V95" s="38" t="s">
        <v>66</v>
      </c>
      <c r="W95" s="41" t="s">
        <v>823</v>
      </c>
      <c r="X95" s="7" t="s">
        <v>1369</v>
      </c>
      <c r="Y95" s="41" t="s">
        <v>70</v>
      </c>
      <c r="Z95" s="43"/>
      <c r="AA95" s="42"/>
      <c r="AB95" s="43"/>
      <c r="AC95" s="43"/>
      <c r="AD95" s="43"/>
      <c r="AE95" s="43"/>
      <c r="AF95" s="43"/>
      <c r="AG95" s="43"/>
      <c r="AH95" s="38" t="s">
        <v>72</v>
      </c>
      <c r="AI95" s="53" t="s">
        <v>72</v>
      </c>
      <c r="AJ95" s="53" t="s">
        <v>72</v>
      </c>
      <c r="AK95" s="5" t="s">
        <v>100</v>
      </c>
      <c r="AL95" s="5" t="s">
        <v>76</v>
      </c>
      <c r="AM95" s="5" t="s">
        <v>76</v>
      </c>
      <c r="AN95" s="5" t="s">
        <v>76</v>
      </c>
      <c r="AO95" s="41"/>
      <c r="AP95" s="5" t="s">
        <v>75</v>
      </c>
      <c r="AQ95" s="41"/>
      <c r="AR95" s="41"/>
      <c r="AS95" s="41"/>
      <c r="AT95" s="5" t="s">
        <v>76</v>
      </c>
      <c r="AU95" s="33"/>
      <c r="AV95" s="33"/>
      <c r="AW95" s="33"/>
      <c r="AX95" s="33"/>
      <c r="AY95" s="33"/>
      <c r="AZ95" s="6" t="s">
        <v>76</v>
      </c>
      <c r="BA95" s="33"/>
      <c r="BB95" s="33">
        <f>VLOOKUP(O95,Eco_DEM_Data!$D$1:$AC$643,20,False)</f>
        <v>3707</v>
      </c>
      <c r="BC95" s="33">
        <f>VLOOKUP($O95,Eco_DEM_Data!$D$1:$AC$643,20,False)</f>
        <v>3707</v>
      </c>
      <c r="BD95" s="33">
        <f>VLOOKUP($O95,Eco_DEM_Data!$D$1:$AC$643,25,False)</f>
        <v>1276</v>
      </c>
      <c r="BE95" s="33">
        <f>VLOOKUP($O95,Eco_DEM_Data!$D$1:$AC$643,22,False)</f>
        <v>133</v>
      </c>
      <c r="BF95" s="33">
        <f>VLOOKUP($O95,Eco_DEM_Data!$D$1:$AC$643,23,False)</f>
        <v>433</v>
      </c>
      <c r="BG95" s="33">
        <f>VLOOKUP($O95,Eco_DEM_Data!$D$1:$AC$643,21,False)</f>
        <v>4001</v>
      </c>
      <c r="BH95" s="33">
        <f>VLOOKUP($O95,Eco_DEM_Data!$D$1:$AC$643,26,False)</f>
        <v>51</v>
      </c>
      <c r="BI95" s="33" t="str">
        <f>VLOOKUP($O95,Eco_DEM_Data!$D$1:$AC$643,9,False)</f>
        <v>Isthmian-Atlantic moist forests</v>
      </c>
      <c r="BJ95" s="33" t="str">
        <f>VLOOKUP($O95,Eco_DEM_Data!$D$1:$AC$643,11,False)</f>
        <v>Tropical &amp; Subtropical Moist Broadleaf Forests</v>
      </c>
    </row>
    <row r="96">
      <c r="A96" s="33" t="s">
        <v>566</v>
      </c>
      <c r="B96" s="33" t="s">
        <v>2259</v>
      </c>
      <c r="C96" s="34">
        <v>4.0</v>
      </c>
      <c r="D96" s="33" t="s">
        <v>53</v>
      </c>
      <c r="E96" s="34">
        <v>1998.0</v>
      </c>
      <c r="F96" s="33" t="s">
        <v>567</v>
      </c>
      <c r="G96" s="33" t="s">
        <v>568</v>
      </c>
      <c r="H96" s="33" t="s">
        <v>303</v>
      </c>
      <c r="I96" s="33" t="s">
        <v>569</v>
      </c>
      <c r="J96" s="33" t="s">
        <v>570</v>
      </c>
      <c r="K96" s="34">
        <v>49.0</v>
      </c>
      <c r="L96" s="34">
        <v>1.0</v>
      </c>
      <c r="M96" s="6" t="s">
        <v>571</v>
      </c>
      <c r="N96" s="35" t="s">
        <v>60</v>
      </c>
      <c r="O96" s="33" t="s">
        <v>1549</v>
      </c>
      <c r="P96" s="36" t="s">
        <v>62</v>
      </c>
      <c r="Q96" s="36" t="s">
        <v>92</v>
      </c>
      <c r="R96" s="36" t="s">
        <v>453</v>
      </c>
      <c r="S96" s="37">
        <v>20.491511</v>
      </c>
      <c r="T96" s="37">
        <v>-87.738733</v>
      </c>
      <c r="U96" s="36" t="s">
        <v>148</v>
      </c>
      <c r="V96" s="38" t="s">
        <v>66</v>
      </c>
      <c r="W96" s="41" t="s">
        <v>823</v>
      </c>
      <c r="X96" s="7" t="s">
        <v>1369</v>
      </c>
      <c r="Y96" s="41" t="s">
        <v>70</v>
      </c>
      <c r="Z96" s="43"/>
      <c r="AA96" s="42">
        <v>8.0</v>
      </c>
      <c r="AB96" s="43"/>
      <c r="AC96" s="43"/>
      <c r="AD96" s="43"/>
      <c r="AE96" s="43"/>
      <c r="AF96" s="43"/>
      <c r="AG96" s="43"/>
      <c r="AH96" s="38" t="s">
        <v>72</v>
      </c>
      <c r="AI96" s="42">
        <v>-6050.0</v>
      </c>
      <c r="AJ96" s="42">
        <v>1950.0</v>
      </c>
      <c r="AK96" s="5" t="s">
        <v>73</v>
      </c>
      <c r="AL96" s="5" t="s">
        <v>72</v>
      </c>
      <c r="AM96" s="41" t="s">
        <v>74</v>
      </c>
      <c r="AN96" s="5" t="s">
        <v>60</v>
      </c>
      <c r="AO96" s="41"/>
      <c r="AP96" s="5" t="s">
        <v>576</v>
      </c>
      <c r="AQ96" s="41"/>
      <c r="AR96" s="41"/>
      <c r="AS96" s="41"/>
      <c r="AT96" s="5" t="s">
        <v>60</v>
      </c>
      <c r="AU96" s="33"/>
      <c r="AV96" s="33"/>
      <c r="AW96" s="33"/>
      <c r="AX96" s="33"/>
      <c r="AY96" s="33"/>
      <c r="AZ96" s="6" t="s">
        <v>76</v>
      </c>
      <c r="BA96" s="33"/>
      <c r="BB96" s="33">
        <f>VLOOKUP(O96,Eco_DEM_Data!$D$1:$AC$643,20,False)</f>
        <v>1151</v>
      </c>
      <c r="BC96" s="33">
        <f>VLOOKUP($O96,Eco_DEM_Data!$D$1:$AC$643,20,False)</f>
        <v>1151</v>
      </c>
      <c r="BD96" s="33">
        <f>VLOOKUP($O96,Eco_DEM_Data!$D$1:$AC$643,25,False)</f>
        <v>500</v>
      </c>
      <c r="BE96" s="33">
        <f>VLOOKUP($O96,Eco_DEM_Data!$D$1:$AC$643,22,False)</f>
        <v>42</v>
      </c>
      <c r="BF96" s="33">
        <f>VLOOKUP($O96,Eco_DEM_Data!$D$1:$AC$643,23,False)</f>
        <v>129</v>
      </c>
      <c r="BG96" s="33">
        <f>VLOOKUP($O96,Eco_DEM_Data!$D$1:$AC$643,21,False)</f>
        <v>5567</v>
      </c>
      <c r="BH96" s="33">
        <f>VLOOKUP($O96,Eco_DEM_Data!$D$1:$AC$643,26,False)</f>
        <v>14</v>
      </c>
      <c r="BI96" s="33" t="str">
        <f>VLOOKUP($O96,Eco_DEM_Data!$D$1:$AC$643,9,False)</f>
        <v>Yucatán moist forests</v>
      </c>
      <c r="BJ96" s="33" t="str">
        <f>VLOOKUP($O96,Eco_DEM_Data!$D$1:$AC$643,11,False)</f>
        <v>Tropical &amp; Subtropical Moist Broadleaf Forests</v>
      </c>
    </row>
    <row r="97">
      <c r="A97" s="33" t="s">
        <v>566</v>
      </c>
      <c r="B97" s="33" t="s">
        <v>2259</v>
      </c>
      <c r="C97" s="34">
        <v>4.0</v>
      </c>
      <c r="D97" s="33" t="s">
        <v>53</v>
      </c>
      <c r="E97" s="34">
        <v>1998.0</v>
      </c>
      <c r="F97" s="33" t="s">
        <v>567</v>
      </c>
      <c r="G97" s="33" t="s">
        <v>568</v>
      </c>
      <c r="H97" s="33" t="s">
        <v>303</v>
      </c>
      <c r="I97" s="33" t="s">
        <v>569</v>
      </c>
      <c r="J97" s="33" t="s">
        <v>570</v>
      </c>
      <c r="K97" s="34">
        <v>49.0</v>
      </c>
      <c r="L97" s="34">
        <v>1.0</v>
      </c>
      <c r="M97" s="6" t="s">
        <v>571</v>
      </c>
      <c r="N97" s="35" t="s">
        <v>60</v>
      </c>
      <c r="O97" s="33" t="s">
        <v>572</v>
      </c>
      <c r="P97" s="36" t="s">
        <v>62</v>
      </c>
      <c r="Q97" s="36" t="s">
        <v>92</v>
      </c>
      <c r="R97" s="36" t="s">
        <v>453</v>
      </c>
      <c r="S97" s="37">
        <v>20.491511</v>
      </c>
      <c r="T97" s="37">
        <v>-87.738733</v>
      </c>
      <c r="U97" s="36" t="s">
        <v>148</v>
      </c>
      <c r="V97" s="6" t="s">
        <v>189</v>
      </c>
      <c r="W97" s="33" t="s">
        <v>573</v>
      </c>
      <c r="X97" s="1" t="s">
        <v>574</v>
      </c>
      <c r="Y97" s="6" t="s">
        <v>575</v>
      </c>
      <c r="Z97" s="36"/>
      <c r="AA97" s="37">
        <v>8.0</v>
      </c>
      <c r="AB97" s="36"/>
      <c r="AC97" s="36"/>
      <c r="AD97" s="36"/>
      <c r="AE97" s="36"/>
      <c r="AF97" s="36"/>
      <c r="AG97" s="36"/>
      <c r="AH97" s="38" t="s">
        <v>72</v>
      </c>
      <c r="AI97" s="37">
        <v>-6050.0</v>
      </c>
      <c r="AJ97" s="37">
        <v>1950.0</v>
      </c>
      <c r="AK97" s="6" t="s">
        <v>73</v>
      </c>
      <c r="AL97" s="6" t="s">
        <v>72</v>
      </c>
      <c r="AM97" s="33" t="s">
        <v>74</v>
      </c>
      <c r="AN97" s="6" t="s">
        <v>60</v>
      </c>
      <c r="AO97" s="33"/>
      <c r="AP97" s="6" t="s">
        <v>576</v>
      </c>
      <c r="AQ97" s="33"/>
      <c r="AR97" s="33"/>
      <c r="AS97" s="33"/>
      <c r="AT97" s="6" t="s">
        <v>76</v>
      </c>
      <c r="AU97" s="33"/>
      <c r="AV97" s="33"/>
      <c r="AW97" s="33"/>
      <c r="AX97" s="33"/>
      <c r="AY97" s="33"/>
      <c r="AZ97" s="6" t="s">
        <v>76</v>
      </c>
      <c r="BA97" s="33"/>
      <c r="BB97" s="33">
        <f>VLOOKUP(O97,Eco_DEM_Data!$D$1:$AC$643,20,False)</f>
        <v>1151</v>
      </c>
      <c r="BC97" s="33">
        <f>VLOOKUP($O97,Eco_DEM_Data!$D$1:$AC$643,20,False)</f>
        <v>1151</v>
      </c>
      <c r="BD97" s="33">
        <f>VLOOKUP($O97,Eco_DEM_Data!$D$1:$AC$643,25,False)</f>
        <v>500</v>
      </c>
      <c r="BE97" s="33">
        <f>VLOOKUP($O97,Eco_DEM_Data!$D$1:$AC$643,22,False)</f>
        <v>42</v>
      </c>
      <c r="BF97" s="33">
        <f>VLOOKUP($O97,Eco_DEM_Data!$D$1:$AC$643,23,False)</f>
        <v>129</v>
      </c>
      <c r="BG97" s="33">
        <f>VLOOKUP($O97,Eco_DEM_Data!$D$1:$AC$643,21,False)</f>
        <v>5567</v>
      </c>
      <c r="BH97" s="33">
        <f>VLOOKUP($O97,Eco_DEM_Data!$D$1:$AC$643,26,False)</f>
        <v>14</v>
      </c>
      <c r="BI97" s="33" t="str">
        <f>VLOOKUP($O97,Eco_DEM_Data!$D$1:$AC$643,9,False)</f>
        <v>Yucatán moist forests</v>
      </c>
      <c r="BJ97" s="33" t="str">
        <f>VLOOKUP($O97,Eco_DEM_Data!$D$1:$AC$643,11,False)</f>
        <v>Tropical &amp; Subtropical Moist Broadleaf Forests</v>
      </c>
    </row>
    <row r="98">
      <c r="A98" s="33" t="s">
        <v>566</v>
      </c>
      <c r="B98" s="33" t="s">
        <v>2259</v>
      </c>
      <c r="C98" s="34">
        <v>4.0</v>
      </c>
      <c r="D98" s="33" t="s">
        <v>53</v>
      </c>
      <c r="E98" s="34">
        <v>1998.0</v>
      </c>
      <c r="F98" s="33" t="s">
        <v>567</v>
      </c>
      <c r="G98" s="33" t="s">
        <v>568</v>
      </c>
      <c r="H98" s="33" t="s">
        <v>303</v>
      </c>
      <c r="I98" s="33" t="s">
        <v>569</v>
      </c>
      <c r="J98" s="33" t="s">
        <v>570</v>
      </c>
      <c r="K98" s="34">
        <v>49.0</v>
      </c>
      <c r="L98" s="34">
        <v>1.0</v>
      </c>
      <c r="M98" s="6" t="s">
        <v>571</v>
      </c>
      <c r="N98" s="35" t="s">
        <v>60</v>
      </c>
      <c r="O98" s="33" t="s">
        <v>577</v>
      </c>
      <c r="P98" s="36" t="s">
        <v>62</v>
      </c>
      <c r="Q98" s="36" t="s">
        <v>92</v>
      </c>
      <c r="R98" s="36" t="s">
        <v>453</v>
      </c>
      <c r="S98" s="37">
        <v>20.491511</v>
      </c>
      <c r="T98" s="37">
        <v>-87.738733</v>
      </c>
      <c r="U98" s="36" t="s">
        <v>148</v>
      </c>
      <c r="V98" s="6" t="s">
        <v>169</v>
      </c>
      <c r="W98" s="33" t="s">
        <v>573</v>
      </c>
      <c r="X98" s="1" t="s">
        <v>578</v>
      </c>
      <c r="Y98" s="6" t="s">
        <v>575</v>
      </c>
      <c r="Z98" s="36"/>
      <c r="AA98" s="37">
        <v>8.0</v>
      </c>
      <c r="AB98" s="36"/>
      <c r="AC98" s="36"/>
      <c r="AD98" s="36"/>
      <c r="AE98" s="36"/>
      <c r="AF98" s="36"/>
      <c r="AG98" s="36"/>
      <c r="AH98" s="38" t="s">
        <v>72</v>
      </c>
      <c r="AI98" s="37">
        <v>-6050.0</v>
      </c>
      <c r="AJ98" s="37">
        <v>1950.0</v>
      </c>
      <c r="AK98" s="6" t="s">
        <v>73</v>
      </c>
      <c r="AL98" s="6" t="s">
        <v>72</v>
      </c>
      <c r="AM98" s="33" t="s">
        <v>74</v>
      </c>
      <c r="AN98" s="6" t="s">
        <v>60</v>
      </c>
      <c r="AO98" s="33"/>
      <c r="AP98" s="6" t="s">
        <v>576</v>
      </c>
      <c r="AQ98" s="33"/>
      <c r="AR98" s="33"/>
      <c r="AS98" s="33"/>
      <c r="AT98" s="6" t="s">
        <v>76</v>
      </c>
      <c r="AU98" s="33"/>
      <c r="AV98" s="33"/>
      <c r="AW98" s="33"/>
      <c r="AX98" s="33"/>
      <c r="AY98" s="33"/>
      <c r="AZ98" s="6" t="s">
        <v>76</v>
      </c>
      <c r="BA98" s="33"/>
      <c r="BB98" s="33">
        <f>VLOOKUP(O98,Eco_DEM_Data!$D$1:$AC$643,20,False)</f>
        <v>1151</v>
      </c>
      <c r="BC98" s="33">
        <f>VLOOKUP($O98,Eco_DEM_Data!$D$1:$AC$643,20,False)</f>
        <v>1151</v>
      </c>
      <c r="BD98" s="33">
        <f>VLOOKUP($O98,Eco_DEM_Data!$D$1:$AC$643,25,False)</f>
        <v>500</v>
      </c>
      <c r="BE98" s="33">
        <f>VLOOKUP($O98,Eco_DEM_Data!$D$1:$AC$643,22,False)</f>
        <v>42</v>
      </c>
      <c r="BF98" s="33">
        <f>VLOOKUP($O98,Eco_DEM_Data!$D$1:$AC$643,23,False)</f>
        <v>129</v>
      </c>
      <c r="BG98" s="33">
        <f>VLOOKUP($O98,Eco_DEM_Data!$D$1:$AC$643,21,False)</f>
        <v>5567</v>
      </c>
      <c r="BH98" s="33">
        <f>VLOOKUP($O98,Eco_DEM_Data!$D$1:$AC$643,26,False)</f>
        <v>14</v>
      </c>
      <c r="BI98" s="33" t="str">
        <f>VLOOKUP($O98,Eco_DEM_Data!$D$1:$AC$643,9,False)</f>
        <v>Yucatán moist forests</v>
      </c>
      <c r="BJ98" s="33" t="str">
        <f>VLOOKUP($O98,Eco_DEM_Data!$D$1:$AC$643,11,False)</f>
        <v>Tropical &amp; Subtropical Moist Broadleaf Forests</v>
      </c>
    </row>
    <row r="99">
      <c r="A99" s="33" t="s">
        <v>566</v>
      </c>
      <c r="B99" s="33" t="s">
        <v>2259</v>
      </c>
      <c r="C99" s="34">
        <v>4.0</v>
      </c>
      <c r="D99" s="33" t="s">
        <v>53</v>
      </c>
      <c r="E99" s="34">
        <v>1998.0</v>
      </c>
      <c r="F99" s="33" t="s">
        <v>567</v>
      </c>
      <c r="G99" s="33" t="s">
        <v>568</v>
      </c>
      <c r="H99" s="33" t="s">
        <v>303</v>
      </c>
      <c r="I99" s="33" t="s">
        <v>569</v>
      </c>
      <c r="J99" s="33" t="s">
        <v>570</v>
      </c>
      <c r="K99" s="34">
        <v>49.0</v>
      </c>
      <c r="L99" s="34">
        <v>1.0</v>
      </c>
      <c r="M99" s="6" t="s">
        <v>571</v>
      </c>
      <c r="N99" s="35" t="s">
        <v>60</v>
      </c>
      <c r="O99" s="33" t="s">
        <v>579</v>
      </c>
      <c r="P99" s="36" t="s">
        <v>62</v>
      </c>
      <c r="Q99" s="36" t="s">
        <v>92</v>
      </c>
      <c r="R99" s="36" t="s">
        <v>453</v>
      </c>
      <c r="S99" s="37">
        <v>20.491511</v>
      </c>
      <c r="T99" s="37">
        <v>-87.738733</v>
      </c>
      <c r="U99" s="36" t="s">
        <v>148</v>
      </c>
      <c r="V99" s="38" t="s">
        <v>194</v>
      </c>
      <c r="W99" s="33" t="s">
        <v>573</v>
      </c>
      <c r="X99" s="1" t="s">
        <v>286</v>
      </c>
      <c r="Y99" s="6" t="s">
        <v>575</v>
      </c>
      <c r="Z99" s="36"/>
      <c r="AA99" s="37">
        <v>8.0</v>
      </c>
      <c r="AB99" s="36"/>
      <c r="AC99" s="36"/>
      <c r="AD99" s="36"/>
      <c r="AE99" s="36"/>
      <c r="AF99" s="36"/>
      <c r="AG99" s="36"/>
      <c r="AH99" s="38" t="s">
        <v>72</v>
      </c>
      <c r="AI99" s="37">
        <v>-6050.0</v>
      </c>
      <c r="AJ99" s="37">
        <v>1950.0</v>
      </c>
      <c r="AK99" s="6" t="s">
        <v>73</v>
      </c>
      <c r="AL99" s="6" t="s">
        <v>72</v>
      </c>
      <c r="AM99" s="33" t="s">
        <v>74</v>
      </c>
      <c r="AN99" s="6" t="s">
        <v>60</v>
      </c>
      <c r="AO99" s="33"/>
      <c r="AP99" s="6" t="s">
        <v>576</v>
      </c>
      <c r="AQ99" s="33"/>
      <c r="AR99" s="33"/>
      <c r="AS99" s="33"/>
      <c r="AT99" s="6" t="s">
        <v>76</v>
      </c>
      <c r="AU99" s="33"/>
      <c r="AV99" s="33"/>
      <c r="AW99" s="33"/>
      <c r="AX99" s="33"/>
      <c r="AY99" s="33"/>
      <c r="AZ99" s="6" t="s">
        <v>76</v>
      </c>
      <c r="BA99" s="33"/>
      <c r="BB99" s="33">
        <f>VLOOKUP(O99,Eco_DEM_Data!$D$1:$AC$643,20,False)</f>
        <v>1151</v>
      </c>
      <c r="BC99" s="33">
        <f>VLOOKUP($O99,Eco_DEM_Data!$D$1:$AC$643,20,False)</f>
        <v>1151</v>
      </c>
      <c r="BD99" s="33">
        <f>VLOOKUP($O99,Eco_DEM_Data!$D$1:$AC$643,25,False)</f>
        <v>500</v>
      </c>
      <c r="BE99" s="33">
        <f>VLOOKUP($O99,Eco_DEM_Data!$D$1:$AC$643,22,False)</f>
        <v>42</v>
      </c>
      <c r="BF99" s="33">
        <f>VLOOKUP($O99,Eco_DEM_Data!$D$1:$AC$643,23,False)</f>
        <v>129</v>
      </c>
      <c r="BG99" s="33">
        <f>VLOOKUP($O99,Eco_DEM_Data!$D$1:$AC$643,21,False)</f>
        <v>5567</v>
      </c>
      <c r="BH99" s="33">
        <f>VLOOKUP($O99,Eco_DEM_Data!$D$1:$AC$643,26,False)</f>
        <v>14</v>
      </c>
      <c r="BI99" s="33" t="str">
        <f>VLOOKUP($O99,Eco_DEM_Data!$D$1:$AC$643,9,False)</f>
        <v>Yucatán moist forests</v>
      </c>
      <c r="BJ99" s="33" t="str">
        <f>VLOOKUP($O99,Eco_DEM_Data!$D$1:$AC$643,11,False)</f>
        <v>Tropical &amp; Subtropical Moist Broadleaf Forests</v>
      </c>
    </row>
    <row r="100">
      <c r="A100" s="33" t="s">
        <v>1118</v>
      </c>
      <c r="B100" s="33" t="s">
        <v>2259</v>
      </c>
      <c r="C100" s="34">
        <v>1.0</v>
      </c>
      <c r="D100" s="33" t="s">
        <v>53</v>
      </c>
      <c r="E100" s="34">
        <v>2000.0</v>
      </c>
      <c r="F100" s="33" t="s">
        <v>1119</v>
      </c>
      <c r="G100" s="33" t="s">
        <v>1120</v>
      </c>
      <c r="H100" s="45" t="s">
        <v>1121</v>
      </c>
      <c r="I100" s="33"/>
      <c r="J100" s="33" t="s">
        <v>1122</v>
      </c>
      <c r="K100" s="34">
        <v>16.0</v>
      </c>
      <c r="L100" s="33"/>
      <c r="M100" s="6" t="s">
        <v>1123</v>
      </c>
      <c r="N100" s="35" t="s">
        <v>76</v>
      </c>
      <c r="O100" s="33" t="s">
        <v>1118</v>
      </c>
      <c r="P100" s="36" t="s">
        <v>62</v>
      </c>
      <c r="Q100" s="36" t="s">
        <v>112</v>
      </c>
      <c r="R100" s="36" t="s">
        <v>308</v>
      </c>
      <c r="S100" s="37">
        <v>9.494794</v>
      </c>
      <c r="T100" s="37">
        <v>-83.486688</v>
      </c>
      <c r="U100" s="36" t="s">
        <v>148</v>
      </c>
      <c r="V100" s="6" t="s">
        <v>321</v>
      </c>
      <c r="W100" s="33" t="s">
        <v>156</v>
      </c>
      <c r="X100" s="1" t="s">
        <v>1124</v>
      </c>
      <c r="Y100" s="6" t="s">
        <v>355</v>
      </c>
      <c r="Z100" s="36"/>
      <c r="AA100" s="37">
        <v>6.0</v>
      </c>
      <c r="AB100" s="36"/>
      <c r="AC100" s="36"/>
      <c r="AD100" s="36"/>
      <c r="AE100" s="36"/>
      <c r="AF100" s="36"/>
      <c r="AG100" s="36"/>
      <c r="AH100" s="36" t="s">
        <v>1125</v>
      </c>
      <c r="AI100" s="37">
        <v>-8050.0</v>
      </c>
      <c r="AJ100" s="37">
        <v>1950.0</v>
      </c>
      <c r="AK100" s="6" t="s">
        <v>73</v>
      </c>
      <c r="AL100" s="6" t="s">
        <v>60</v>
      </c>
      <c r="AM100" s="6" t="s">
        <v>72</v>
      </c>
      <c r="AN100" s="6" t="s">
        <v>72</v>
      </c>
      <c r="AO100" s="33" t="s">
        <v>280</v>
      </c>
      <c r="AP100" s="6" t="s">
        <v>576</v>
      </c>
      <c r="AQ100" s="6" t="s">
        <v>101</v>
      </c>
      <c r="AR100" s="6" t="s">
        <v>101</v>
      </c>
      <c r="AS100" s="6" t="s">
        <v>101</v>
      </c>
      <c r="AT100" s="6" t="s">
        <v>76</v>
      </c>
      <c r="AU100" s="33"/>
      <c r="AV100" s="33"/>
      <c r="AW100" s="6" t="s">
        <v>76</v>
      </c>
      <c r="AX100" s="33" t="s">
        <v>2262</v>
      </c>
      <c r="AY100" s="6" t="s">
        <v>60</v>
      </c>
      <c r="AZ100" s="6" t="s">
        <v>76</v>
      </c>
      <c r="BA100" s="33"/>
      <c r="BB100" s="33">
        <f>VLOOKUP(O100,Eco_DEM_Data!$D$1:$AC$643,20,False)</f>
        <v>2202</v>
      </c>
      <c r="BC100" s="33">
        <f>VLOOKUP($O100,Eco_DEM_Data!$D$1:$AC$643,20,False)</f>
        <v>2202</v>
      </c>
      <c r="BD100" s="33">
        <f>VLOOKUP($O100,Eco_DEM_Data!$D$1:$AC$643,25,False)</f>
        <v>957</v>
      </c>
      <c r="BE100" s="33">
        <f>VLOOKUP($O100,Eco_DEM_Data!$D$1:$AC$643,22,False)</f>
        <v>11</v>
      </c>
      <c r="BF100" s="33">
        <f>VLOOKUP($O100,Eco_DEM_Data!$D$1:$AC$643,23,False)</f>
        <v>65</v>
      </c>
      <c r="BG100" s="33">
        <f>VLOOKUP($O100,Eco_DEM_Data!$D$1:$AC$643,21,False)</f>
        <v>7181</v>
      </c>
      <c r="BH100" s="33">
        <f>VLOOKUP($O100,Eco_DEM_Data!$D$1:$AC$643,26,False)</f>
        <v>3509</v>
      </c>
      <c r="BI100" s="33" t="str">
        <f>VLOOKUP($O100,Eco_DEM_Data!$D$1:$AC$643,9,False)</f>
        <v>Talamancan montane forests</v>
      </c>
      <c r="BJ100" s="33" t="str">
        <f>VLOOKUP($O100,Eco_DEM_Data!$D$1:$AC$643,11,False)</f>
        <v>Tropical &amp; Subtropical Moist Broadleaf Forests</v>
      </c>
    </row>
    <row r="101">
      <c r="A101" s="33" t="s">
        <v>591</v>
      </c>
      <c r="B101" s="33" t="s">
        <v>2258</v>
      </c>
      <c r="C101" s="34">
        <v>5.0</v>
      </c>
      <c r="D101" s="33" t="s">
        <v>268</v>
      </c>
      <c r="E101" s="34">
        <v>2001.0</v>
      </c>
      <c r="F101" s="33" t="s">
        <v>592</v>
      </c>
      <c r="G101" s="45" t="s">
        <v>593</v>
      </c>
      <c r="H101" s="46"/>
      <c r="I101" s="33"/>
      <c r="J101" s="33" t="s">
        <v>594</v>
      </c>
      <c r="K101" s="34">
        <v>11.0</v>
      </c>
      <c r="L101" s="33"/>
      <c r="M101" s="6" t="s">
        <v>595</v>
      </c>
      <c r="N101" s="35" t="s">
        <v>60</v>
      </c>
      <c r="O101" s="33" t="s">
        <v>596</v>
      </c>
      <c r="P101" s="36" t="s">
        <v>62</v>
      </c>
      <c r="Q101" s="36" t="s">
        <v>112</v>
      </c>
      <c r="R101" s="36" t="s">
        <v>597</v>
      </c>
      <c r="S101" s="37">
        <v>8.813</v>
      </c>
      <c r="T101" s="37">
        <v>-82.963</v>
      </c>
      <c r="U101" s="36" t="s">
        <v>148</v>
      </c>
      <c r="V101" s="6" t="s">
        <v>189</v>
      </c>
      <c r="W101" s="33" t="s">
        <v>72</v>
      </c>
      <c r="X101" s="1" t="s">
        <v>284</v>
      </c>
      <c r="Y101" s="33" t="s">
        <v>70</v>
      </c>
      <c r="Z101" s="36"/>
      <c r="AA101" s="37">
        <v>3.0</v>
      </c>
      <c r="AB101" s="36"/>
      <c r="AC101" s="36"/>
      <c r="AD101" s="36"/>
      <c r="AE101" s="36"/>
      <c r="AF101" s="36"/>
      <c r="AG101" s="36"/>
      <c r="AH101" s="38" t="s">
        <v>72</v>
      </c>
      <c r="AI101" s="37">
        <v>-1050.0</v>
      </c>
      <c r="AJ101" s="37">
        <v>1997.0</v>
      </c>
      <c r="AK101" s="6" t="s">
        <v>100</v>
      </c>
      <c r="AL101" s="6" t="s">
        <v>76</v>
      </c>
      <c r="AM101" s="33" t="s">
        <v>74</v>
      </c>
      <c r="AN101" s="6" t="s">
        <v>72</v>
      </c>
      <c r="AO101" s="33"/>
      <c r="AP101" s="6" t="s">
        <v>75</v>
      </c>
      <c r="AQ101" s="33"/>
      <c r="AR101" s="33"/>
      <c r="AS101" s="33"/>
      <c r="AT101" s="6" t="s">
        <v>76</v>
      </c>
      <c r="AU101" s="33"/>
      <c r="AV101" s="33"/>
      <c r="AW101" s="33"/>
      <c r="AX101" s="33"/>
      <c r="AY101" s="33"/>
      <c r="AZ101" s="6" t="s">
        <v>76</v>
      </c>
      <c r="BA101" s="33"/>
      <c r="BB101" s="33">
        <f>VLOOKUP(O101,Eco_DEM_Data!$D$1:$AC$643,20,False)</f>
        <v>2841</v>
      </c>
      <c r="BC101" s="33">
        <f>VLOOKUP($O101,Eco_DEM_Data!$D$1:$AC$643,20,False)</f>
        <v>2841</v>
      </c>
      <c r="BD101" s="33">
        <f>VLOOKUP($O101,Eco_DEM_Data!$D$1:$AC$643,25,False)</f>
        <v>1165</v>
      </c>
      <c r="BE101" s="33">
        <f>VLOOKUP($O101,Eco_DEM_Data!$D$1:$AC$643,22,False)</f>
        <v>40</v>
      </c>
      <c r="BF101" s="33">
        <f>VLOOKUP($O101,Eco_DEM_Data!$D$1:$AC$643,23,False)</f>
        <v>166</v>
      </c>
      <c r="BG101" s="33">
        <f>VLOOKUP($O101,Eco_DEM_Data!$D$1:$AC$643,21,False)</f>
        <v>6482</v>
      </c>
      <c r="BH101" s="33">
        <f>VLOOKUP($O101,Eco_DEM_Data!$D$1:$AC$643,26,False)</f>
        <v>1094</v>
      </c>
      <c r="BI101" s="33" t="str">
        <f>VLOOKUP($O101,Eco_DEM_Data!$D$1:$AC$643,9,False)</f>
        <v>Talamancan montane forests</v>
      </c>
      <c r="BJ101" s="33" t="str">
        <f>VLOOKUP($O101,Eco_DEM_Data!$D$1:$AC$643,11,False)</f>
        <v>Tropical &amp; Subtropical Moist Broadleaf Forests</v>
      </c>
    </row>
    <row r="102">
      <c r="A102" s="33" t="s">
        <v>591</v>
      </c>
      <c r="B102" s="33" t="s">
        <v>2258</v>
      </c>
      <c r="C102" s="34">
        <v>5.0</v>
      </c>
      <c r="D102" s="33" t="s">
        <v>268</v>
      </c>
      <c r="E102" s="34">
        <v>2001.0</v>
      </c>
      <c r="F102" s="33" t="s">
        <v>592</v>
      </c>
      <c r="G102" s="45" t="s">
        <v>593</v>
      </c>
      <c r="H102" s="46"/>
      <c r="I102" s="33"/>
      <c r="J102" s="33" t="s">
        <v>594</v>
      </c>
      <c r="K102" s="34">
        <v>11.0</v>
      </c>
      <c r="L102" s="33"/>
      <c r="M102" s="6" t="s">
        <v>595</v>
      </c>
      <c r="N102" s="35" t="s">
        <v>60</v>
      </c>
      <c r="O102" s="33" t="s">
        <v>598</v>
      </c>
      <c r="P102" s="36" t="s">
        <v>62</v>
      </c>
      <c r="Q102" s="36" t="s">
        <v>112</v>
      </c>
      <c r="R102" s="36" t="s">
        <v>597</v>
      </c>
      <c r="S102" s="37">
        <v>8.813</v>
      </c>
      <c r="T102" s="37">
        <v>-82.963</v>
      </c>
      <c r="U102" s="36" t="s">
        <v>148</v>
      </c>
      <c r="V102" s="38" t="s">
        <v>523</v>
      </c>
      <c r="W102" s="33" t="s">
        <v>72</v>
      </c>
      <c r="X102" s="3" t="s">
        <v>72</v>
      </c>
      <c r="Y102" s="33" t="s">
        <v>600</v>
      </c>
      <c r="Z102" s="36"/>
      <c r="AA102" s="37">
        <v>3.0</v>
      </c>
      <c r="AB102" s="36"/>
      <c r="AC102" s="36"/>
      <c r="AD102" s="36"/>
      <c r="AE102" s="36"/>
      <c r="AF102" s="36"/>
      <c r="AG102" s="36"/>
      <c r="AH102" s="38" t="s">
        <v>72</v>
      </c>
      <c r="AI102" s="37">
        <v>-1050.0</v>
      </c>
      <c r="AJ102" s="37">
        <v>1997.0</v>
      </c>
      <c r="AK102" s="6" t="s">
        <v>100</v>
      </c>
      <c r="AL102" s="6" t="s">
        <v>76</v>
      </c>
      <c r="AM102" s="33" t="s">
        <v>74</v>
      </c>
      <c r="AN102" s="6" t="s">
        <v>72</v>
      </c>
      <c r="AO102" s="33"/>
      <c r="AP102" s="6" t="s">
        <v>75</v>
      </c>
      <c r="AQ102" s="33"/>
      <c r="AR102" s="33"/>
      <c r="AS102" s="33"/>
      <c r="AT102" s="6" t="s">
        <v>76</v>
      </c>
      <c r="AU102" s="33"/>
      <c r="AV102" s="33"/>
      <c r="AW102" s="33"/>
      <c r="AX102" s="33"/>
      <c r="AY102" s="33"/>
      <c r="AZ102" s="6" t="s">
        <v>76</v>
      </c>
      <c r="BA102" s="33"/>
      <c r="BB102" s="33">
        <f>VLOOKUP(O102,Eco_DEM_Data!$D$1:$AC$643,20,False)</f>
        <v>2841</v>
      </c>
      <c r="BC102" s="33">
        <f>VLOOKUP($O102,Eco_DEM_Data!$D$1:$AC$643,20,False)</f>
        <v>2841</v>
      </c>
      <c r="BD102" s="33">
        <f>VLOOKUP($O102,Eco_DEM_Data!$D$1:$AC$643,25,False)</f>
        <v>1165</v>
      </c>
      <c r="BE102" s="33">
        <f>VLOOKUP($O102,Eco_DEM_Data!$D$1:$AC$643,22,False)</f>
        <v>40</v>
      </c>
      <c r="BF102" s="33">
        <f>VLOOKUP($O102,Eco_DEM_Data!$D$1:$AC$643,23,False)</f>
        <v>166</v>
      </c>
      <c r="BG102" s="33">
        <f>VLOOKUP($O102,Eco_DEM_Data!$D$1:$AC$643,21,False)</f>
        <v>6482</v>
      </c>
      <c r="BH102" s="33">
        <f>VLOOKUP($O102,Eco_DEM_Data!$D$1:$AC$643,26,False)</f>
        <v>1094</v>
      </c>
      <c r="BI102" s="33" t="str">
        <f>VLOOKUP($O102,Eco_DEM_Data!$D$1:$AC$643,9,False)</f>
        <v>Talamancan montane forests</v>
      </c>
      <c r="BJ102" s="33" t="str">
        <f>VLOOKUP($O102,Eco_DEM_Data!$D$1:$AC$643,11,False)</f>
        <v>Tropical &amp; Subtropical Moist Broadleaf Forests</v>
      </c>
    </row>
    <row r="103">
      <c r="A103" s="33" t="s">
        <v>591</v>
      </c>
      <c r="B103" s="33" t="s">
        <v>2258</v>
      </c>
      <c r="C103" s="34">
        <v>5.0</v>
      </c>
      <c r="D103" s="33" t="s">
        <v>268</v>
      </c>
      <c r="E103" s="34">
        <v>2001.0</v>
      </c>
      <c r="F103" s="33" t="s">
        <v>592</v>
      </c>
      <c r="G103" s="45" t="s">
        <v>593</v>
      </c>
      <c r="H103" s="46"/>
      <c r="I103" s="33"/>
      <c r="J103" s="33" t="s">
        <v>594</v>
      </c>
      <c r="K103" s="34">
        <v>11.0</v>
      </c>
      <c r="L103" s="33"/>
      <c r="M103" s="6" t="s">
        <v>595</v>
      </c>
      <c r="N103" s="35" t="s">
        <v>60</v>
      </c>
      <c r="O103" s="33" t="s">
        <v>601</v>
      </c>
      <c r="P103" s="36" t="s">
        <v>62</v>
      </c>
      <c r="Q103" s="36" t="s">
        <v>112</v>
      </c>
      <c r="R103" s="36" t="s">
        <v>597</v>
      </c>
      <c r="S103" s="37">
        <v>8.813</v>
      </c>
      <c r="T103" s="37">
        <v>-82.963</v>
      </c>
      <c r="U103" s="36" t="s">
        <v>148</v>
      </c>
      <c r="V103" s="6" t="s">
        <v>275</v>
      </c>
      <c r="W103" s="33" t="s">
        <v>72</v>
      </c>
      <c r="X103" s="1" t="s">
        <v>278</v>
      </c>
      <c r="Y103" s="33" t="s">
        <v>279</v>
      </c>
      <c r="Z103" s="36"/>
      <c r="AA103" s="37">
        <v>3.0</v>
      </c>
      <c r="AB103" s="36"/>
      <c r="AC103" s="36"/>
      <c r="AD103" s="36"/>
      <c r="AE103" s="36"/>
      <c r="AF103" s="36"/>
      <c r="AG103" s="36"/>
      <c r="AH103" s="38" t="s">
        <v>72</v>
      </c>
      <c r="AI103" s="37">
        <v>-1050.0</v>
      </c>
      <c r="AJ103" s="37">
        <v>1997.0</v>
      </c>
      <c r="AK103" s="6" t="s">
        <v>100</v>
      </c>
      <c r="AL103" s="6" t="s">
        <v>76</v>
      </c>
      <c r="AM103" s="33" t="s">
        <v>74</v>
      </c>
      <c r="AN103" s="6" t="s">
        <v>72</v>
      </c>
      <c r="AO103" s="33"/>
      <c r="AP103" s="6" t="s">
        <v>75</v>
      </c>
      <c r="AQ103" s="33"/>
      <c r="AR103" s="33"/>
      <c r="AS103" s="33"/>
      <c r="AT103" s="6" t="s">
        <v>76</v>
      </c>
      <c r="AU103" s="33"/>
      <c r="AV103" s="33"/>
      <c r="AW103" s="33"/>
      <c r="AX103" s="33"/>
      <c r="AY103" s="33"/>
      <c r="AZ103" s="6" t="s">
        <v>76</v>
      </c>
      <c r="BA103" s="33"/>
      <c r="BB103" s="33">
        <f>VLOOKUP(O103,Eco_DEM_Data!$D$1:$AC$643,20,False)</f>
        <v>2841</v>
      </c>
      <c r="BC103" s="33">
        <f>VLOOKUP($O103,Eco_DEM_Data!$D$1:$AC$643,20,False)</f>
        <v>2841</v>
      </c>
      <c r="BD103" s="33">
        <f>VLOOKUP($O103,Eco_DEM_Data!$D$1:$AC$643,25,False)</f>
        <v>1165</v>
      </c>
      <c r="BE103" s="33">
        <f>VLOOKUP($O103,Eco_DEM_Data!$D$1:$AC$643,22,False)</f>
        <v>40</v>
      </c>
      <c r="BF103" s="33">
        <f>VLOOKUP($O103,Eco_DEM_Data!$D$1:$AC$643,23,False)</f>
        <v>166</v>
      </c>
      <c r="BG103" s="33">
        <f>VLOOKUP($O103,Eco_DEM_Data!$D$1:$AC$643,21,False)</f>
        <v>6482</v>
      </c>
      <c r="BH103" s="33">
        <f>VLOOKUP($O103,Eco_DEM_Data!$D$1:$AC$643,26,False)</f>
        <v>1094</v>
      </c>
      <c r="BI103" s="33" t="str">
        <f>VLOOKUP($O103,Eco_DEM_Data!$D$1:$AC$643,9,False)</f>
        <v>Talamancan montane forests</v>
      </c>
      <c r="BJ103" s="33" t="str">
        <f>VLOOKUP($O103,Eco_DEM_Data!$D$1:$AC$643,11,False)</f>
        <v>Tropical &amp; Subtropical Moist Broadleaf Forests</v>
      </c>
    </row>
    <row r="104">
      <c r="A104" s="33" t="s">
        <v>591</v>
      </c>
      <c r="B104" s="33" t="s">
        <v>2258</v>
      </c>
      <c r="C104" s="34">
        <v>5.0</v>
      </c>
      <c r="D104" s="33" t="s">
        <v>268</v>
      </c>
      <c r="E104" s="34">
        <v>2001.0</v>
      </c>
      <c r="F104" s="33" t="s">
        <v>592</v>
      </c>
      <c r="G104" s="45" t="s">
        <v>593</v>
      </c>
      <c r="H104" s="46"/>
      <c r="I104" s="33"/>
      <c r="J104" s="33" t="s">
        <v>594</v>
      </c>
      <c r="K104" s="34">
        <v>11.0</v>
      </c>
      <c r="L104" s="33"/>
      <c r="M104" s="6" t="s">
        <v>595</v>
      </c>
      <c r="N104" s="35" t="s">
        <v>60</v>
      </c>
      <c r="O104" s="33" t="s">
        <v>602</v>
      </c>
      <c r="P104" s="36" t="s">
        <v>62</v>
      </c>
      <c r="Q104" s="36" t="s">
        <v>112</v>
      </c>
      <c r="R104" s="36" t="s">
        <v>597</v>
      </c>
      <c r="S104" s="37">
        <v>8.813</v>
      </c>
      <c r="T104" s="37">
        <v>-82.963</v>
      </c>
      <c r="U104" s="36" t="s">
        <v>148</v>
      </c>
      <c r="V104" s="38" t="s">
        <v>194</v>
      </c>
      <c r="W104" s="33" t="s">
        <v>72</v>
      </c>
      <c r="X104" s="1" t="s">
        <v>286</v>
      </c>
      <c r="Y104" s="33" t="s">
        <v>70</v>
      </c>
      <c r="Z104" s="36"/>
      <c r="AA104" s="37">
        <v>3.0</v>
      </c>
      <c r="AB104" s="36"/>
      <c r="AC104" s="36"/>
      <c r="AD104" s="36"/>
      <c r="AE104" s="36"/>
      <c r="AF104" s="36"/>
      <c r="AG104" s="36"/>
      <c r="AH104" s="38" t="s">
        <v>72</v>
      </c>
      <c r="AI104" s="37">
        <v>-1050.0</v>
      </c>
      <c r="AJ104" s="37">
        <v>1997.0</v>
      </c>
      <c r="AK104" s="6" t="s">
        <v>100</v>
      </c>
      <c r="AL104" s="6" t="s">
        <v>76</v>
      </c>
      <c r="AM104" s="33" t="s">
        <v>74</v>
      </c>
      <c r="AN104" s="6" t="s">
        <v>72</v>
      </c>
      <c r="AO104" s="33"/>
      <c r="AP104" s="6" t="s">
        <v>75</v>
      </c>
      <c r="AQ104" s="33"/>
      <c r="AR104" s="33"/>
      <c r="AS104" s="33"/>
      <c r="AT104" s="6" t="s">
        <v>76</v>
      </c>
      <c r="AU104" s="33"/>
      <c r="AV104" s="33"/>
      <c r="AW104" s="33"/>
      <c r="AX104" s="33"/>
      <c r="AY104" s="33"/>
      <c r="AZ104" s="6" t="s">
        <v>76</v>
      </c>
      <c r="BA104" s="33"/>
      <c r="BB104" s="33">
        <f>VLOOKUP(O104,Eco_DEM_Data!$D$1:$AC$643,20,False)</f>
        <v>2841</v>
      </c>
      <c r="BC104" s="33">
        <f>VLOOKUP($O104,Eco_DEM_Data!$D$1:$AC$643,20,False)</f>
        <v>2841</v>
      </c>
      <c r="BD104" s="33">
        <f>VLOOKUP($O104,Eco_DEM_Data!$D$1:$AC$643,25,False)</f>
        <v>1165</v>
      </c>
      <c r="BE104" s="33">
        <f>VLOOKUP($O104,Eco_DEM_Data!$D$1:$AC$643,22,False)</f>
        <v>40</v>
      </c>
      <c r="BF104" s="33">
        <f>VLOOKUP($O104,Eco_DEM_Data!$D$1:$AC$643,23,False)</f>
        <v>166</v>
      </c>
      <c r="BG104" s="33">
        <f>VLOOKUP($O104,Eco_DEM_Data!$D$1:$AC$643,21,False)</f>
        <v>6482</v>
      </c>
      <c r="BH104" s="33">
        <f>VLOOKUP($O104,Eco_DEM_Data!$D$1:$AC$643,26,False)</f>
        <v>1094</v>
      </c>
      <c r="BI104" s="33" t="str">
        <f>VLOOKUP($O104,Eco_DEM_Data!$D$1:$AC$643,9,False)</f>
        <v>Talamancan montane forests</v>
      </c>
      <c r="BJ104" s="33" t="str">
        <f>VLOOKUP($O104,Eco_DEM_Data!$D$1:$AC$643,11,False)</f>
        <v>Tropical &amp; Subtropical Moist Broadleaf Forests</v>
      </c>
    </row>
    <row r="105">
      <c r="A105" s="33" t="s">
        <v>591</v>
      </c>
      <c r="B105" s="33" t="s">
        <v>2258</v>
      </c>
      <c r="C105" s="34">
        <v>5.0</v>
      </c>
      <c r="D105" s="33" t="s">
        <v>268</v>
      </c>
      <c r="E105" s="34">
        <v>2001.0</v>
      </c>
      <c r="F105" s="33" t="s">
        <v>592</v>
      </c>
      <c r="G105" s="45" t="s">
        <v>593</v>
      </c>
      <c r="H105" s="46"/>
      <c r="I105" s="33"/>
      <c r="J105" s="33" t="s">
        <v>594</v>
      </c>
      <c r="K105" s="34">
        <v>11.0</v>
      </c>
      <c r="L105" s="33"/>
      <c r="M105" s="6" t="s">
        <v>595</v>
      </c>
      <c r="N105" s="35" t="s">
        <v>60</v>
      </c>
      <c r="O105" s="33" t="s">
        <v>1971</v>
      </c>
      <c r="P105" s="36" t="s">
        <v>62</v>
      </c>
      <c r="Q105" s="36" t="s">
        <v>112</v>
      </c>
      <c r="R105" s="36" t="s">
        <v>597</v>
      </c>
      <c r="S105" s="37">
        <v>8.813</v>
      </c>
      <c r="T105" s="37">
        <v>-82.963</v>
      </c>
      <c r="U105" s="36" t="s">
        <v>148</v>
      </c>
      <c r="V105" s="38" t="s">
        <v>66</v>
      </c>
      <c r="W105" s="41" t="s">
        <v>823</v>
      </c>
      <c r="X105" s="10" t="s">
        <v>72</v>
      </c>
      <c r="Y105" s="41" t="s">
        <v>70</v>
      </c>
      <c r="Z105" s="43"/>
      <c r="AA105" s="42">
        <v>3.0</v>
      </c>
      <c r="AB105" s="43"/>
      <c r="AC105" s="43"/>
      <c r="AD105" s="43"/>
      <c r="AE105" s="43"/>
      <c r="AF105" s="43"/>
      <c r="AG105" s="43"/>
      <c r="AH105" s="38" t="s">
        <v>72</v>
      </c>
      <c r="AI105" s="42">
        <v>-1050.0</v>
      </c>
      <c r="AJ105" s="42">
        <v>1997.0</v>
      </c>
      <c r="AK105" s="5" t="s">
        <v>100</v>
      </c>
      <c r="AL105" s="5" t="s">
        <v>76</v>
      </c>
      <c r="AM105" s="41" t="s">
        <v>74</v>
      </c>
      <c r="AN105" s="5" t="s">
        <v>72</v>
      </c>
      <c r="AO105" s="41"/>
      <c r="AP105" s="5" t="s">
        <v>75</v>
      </c>
      <c r="AQ105" s="41"/>
      <c r="AR105" s="41"/>
      <c r="AS105" s="41"/>
      <c r="AT105" s="5" t="s">
        <v>60</v>
      </c>
      <c r="AU105" s="33"/>
      <c r="AV105" s="33"/>
      <c r="AW105" s="33"/>
      <c r="AX105" s="33"/>
      <c r="AY105" s="33"/>
      <c r="AZ105" s="6" t="s">
        <v>76</v>
      </c>
      <c r="BA105" s="33"/>
      <c r="BB105" s="33">
        <f>VLOOKUP(O105,Eco_DEM_Data!$D$1:$AC$643,20,False)</f>
        <v>2841</v>
      </c>
      <c r="BC105" s="33">
        <f>VLOOKUP($O105,Eco_DEM_Data!$D$1:$AC$643,20,False)</f>
        <v>2841</v>
      </c>
      <c r="BD105" s="33">
        <f>VLOOKUP($O105,Eco_DEM_Data!$D$1:$AC$643,25,False)</f>
        <v>1165</v>
      </c>
      <c r="BE105" s="33">
        <f>VLOOKUP($O105,Eco_DEM_Data!$D$1:$AC$643,22,False)</f>
        <v>40</v>
      </c>
      <c r="BF105" s="33">
        <f>VLOOKUP($O105,Eco_DEM_Data!$D$1:$AC$643,23,False)</f>
        <v>166</v>
      </c>
      <c r="BG105" s="33">
        <f>VLOOKUP($O105,Eco_DEM_Data!$D$1:$AC$643,21,False)</f>
        <v>6482</v>
      </c>
      <c r="BH105" s="33">
        <f>VLOOKUP($O105,Eco_DEM_Data!$D$1:$AC$643,26,False)</f>
        <v>1094</v>
      </c>
      <c r="BI105" s="33" t="str">
        <f>VLOOKUP($O105,Eco_DEM_Data!$D$1:$AC$643,9,False)</f>
        <v>Talamancan montane forests</v>
      </c>
      <c r="BJ105" s="33" t="str">
        <f>VLOOKUP($O105,Eco_DEM_Data!$D$1:$AC$643,11,False)</f>
        <v>Tropical &amp; Subtropical Moist Broadleaf Forests</v>
      </c>
    </row>
    <row r="106">
      <c r="A106" s="33" t="s">
        <v>1126</v>
      </c>
      <c r="B106" s="33" t="s">
        <v>2258</v>
      </c>
      <c r="C106" s="34">
        <v>1.0</v>
      </c>
      <c r="D106" s="33" t="s">
        <v>53</v>
      </c>
      <c r="E106" s="34">
        <v>2001.0</v>
      </c>
      <c r="F106" s="33" t="s">
        <v>1127</v>
      </c>
      <c r="G106" s="33" t="s">
        <v>1128</v>
      </c>
      <c r="H106" s="45" t="s">
        <v>1121</v>
      </c>
      <c r="I106" s="33"/>
      <c r="J106" s="33" t="s">
        <v>1129</v>
      </c>
      <c r="K106" s="34">
        <v>17.0</v>
      </c>
      <c r="L106" s="33"/>
      <c r="M106" s="6" t="s">
        <v>1130</v>
      </c>
      <c r="N106" s="35" t="s">
        <v>76</v>
      </c>
      <c r="O106" s="33" t="s">
        <v>1126</v>
      </c>
      <c r="P106" s="36" t="s">
        <v>62</v>
      </c>
      <c r="Q106" s="36" t="s">
        <v>112</v>
      </c>
      <c r="R106" s="36" t="s">
        <v>1131</v>
      </c>
      <c r="S106" s="37">
        <v>10.75</v>
      </c>
      <c r="T106" s="37">
        <v>-85.5</v>
      </c>
      <c r="U106" s="36" t="s">
        <v>225</v>
      </c>
      <c r="V106" s="38" t="s">
        <v>225</v>
      </c>
      <c r="W106" s="6" t="s">
        <v>1132</v>
      </c>
      <c r="X106" s="1" t="s">
        <v>1133</v>
      </c>
      <c r="Y106" s="58" t="s">
        <v>83</v>
      </c>
      <c r="Z106" s="36"/>
      <c r="AA106" s="37"/>
      <c r="AB106" s="36"/>
      <c r="AC106" s="36"/>
      <c r="AD106" s="36"/>
      <c r="AE106" s="36"/>
      <c r="AF106" s="37">
        <v>1.0</v>
      </c>
      <c r="AG106" s="36"/>
      <c r="AH106" s="36"/>
      <c r="AI106" s="37">
        <v>1912.0</v>
      </c>
      <c r="AJ106" s="37">
        <v>1997.0</v>
      </c>
      <c r="AK106" s="6" t="s">
        <v>153</v>
      </c>
      <c r="AL106" s="6" t="s">
        <v>60</v>
      </c>
      <c r="AM106" s="6" t="s">
        <v>76</v>
      </c>
      <c r="AN106" s="6" t="s">
        <v>101</v>
      </c>
      <c r="AO106" s="33"/>
      <c r="AP106" s="6" t="s">
        <v>102</v>
      </c>
      <c r="AQ106" s="33"/>
      <c r="AR106" s="33"/>
      <c r="AS106" s="33"/>
      <c r="AT106" s="6" t="s">
        <v>76</v>
      </c>
      <c r="AU106" s="33"/>
      <c r="AV106" s="33"/>
      <c r="AW106" s="33"/>
      <c r="AX106" s="33"/>
      <c r="AY106" s="33"/>
      <c r="AZ106" s="6" t="s">
        <v>76</v>
      </c>
      <c r="BA106" s="33"/>
      <c r="BB106" s="33">
        <f>VLOOKUP(O106,Eco_DEM_Data!$D$1:$AC$643,20,False)</f>
        <v>1713</v>
      </c>
      <c r="BC106" s="33">
        <f>VLOOKUP($O106,Eco_DEM_Data!$D$1:$AC$643,20,False)</f>
        <v>1713</v>
      </c>
      <c r="BD106" s="33">
        <f>VLOOKUP($O106,Eco_DEM_Data!$D$1:$AC$643,25,False)</f>
        <v>864</v>
      </c>
      <c r="BE106" s="33">
        <f>VLOOKUP($O106,Eco_DEM_Data!$D$1:$AC$643,22,False)</f>
        <v>2</v>
      </c>
      <c r="BF106" s="33">
        <f>VLOOKUP($O106,Eco_DEM_Data!$D$1:$AC$643,23,False)</f>
        <v>9</v>
      </c>
      <c r="BG106" s="33">
        <f>VLOOKUP($O106,Eco_DEM_Data!$D$1:$AC$643,21,False)</f>
        <v>9030</v>
      </c>
      <c r="BH106" s="33">
        <f>VLOOKUP($O106,Eco_DEM_Data!$D$1:$AC$643,26,False)</f>
        <v>100</v>
      </c>
      <c r="BI106" s="33" t="str">
        <f>VLOOKUP($O106,Eco_DEM_Data!$D$1:$AC$643,9,False)</f>
        <v>Central American dry forests</v>
      </c>
      <c r="BJ106" s="33" t="str">
        <f>VLOOKUP($O106,Eco_DEM_Data!$D$1:$AC$643,11,False)</f>
        <v>Tropical &amp; Subtropical Dry Broadleaf Forests</v>
      </c>
    </row>
    <row r="107">
      <c r="A107" s="33" t="s">
        <v>1830</v>
      </c>
      <c r="B107" s="33" t="s">
        <v>2258</v>
      </c>
      <c r="C107" s="34">
        <v>1.0</v>
      </c>
      <c r="D107" s="33" t="s">
        <v>53</v>
      </c>
      <c r="E107" s="34">
        <v>2001.0</v>
      </c>
      <c r="F107" s="33" t="s">
        <v>1831</v>
      </c>
      <c r="G107" s="33" t="s">
        <v>1832</v>
      </c>
      <c r="H107" s="33" t="s">
        <v>1818</v>
      </c>
      <c r="I107" s="33" t="s">
        <v>1833</v>
      </c>
      <c r="J107" s="33" t="s">
        <v>1834</v>
      </c>
      <c r="K107" s="34">
        <v>292.0</v>
      </c>
      <c r="L107" s="34">
        <v>5520.0</v>
      </c>
      <c r="M107" s="6" t="s">
        <v>1835</v>
      </c>
      <c r="N107" s="35" t="s">
        <v>60</v>
      </c>
      <c r="O107" s="33" t="s">
        <v>1836</v>
      </c>
      <c r="P107" s="36" t="s">
        <v>62</v>
      </c>
      <c r="Q107" s="36" t="s">
        <v>92</v>
      </c>
      <c r="R107" s="36" t="s">
        <v>466</v>
      </c>
      <c r="S107" s="37">
        <v>19.87</v>
      </c>
      <c r="T107" s="37">
        <v>-88.77</v>
      </c>
      <c r="U107" s="36" t="s">
        <v>148</v>
      </c>
      <c r="V107" s="6" t="s">
        <v>95</v>
      </c>
      <c r="W107" s="6" t="s">
        <v>96</v>
      </c>
      <c r="X107" s="3" t="s">
        <v>72</v>
      </c>
      <c r="Y107" s="33" t="s">
        <v>256</v>
      </c>
      <c r="Z107" s="36"/>
      <c r="AA107" s="37">
        <v>9.0</v>
      </c>
      <c r="AB107" s="36"/>
      <c r="AC107" s="36"/>
      <c r="AD107" s="36"/>
      <c r="AE107" s="36"/>
      <c r="AF107" s="36"/>
      <c r="AG107" s="36"/>
      <c r="AH107" s="38" t="s">
        <v>72</v>
      </c>
      <c r="AI107" s="37">
        <v>-650.0</v>
      </c>
      <c r="AJ107" s="37">
        <v>2000.0</v>
      </c>
      <c r="AK107" s="6" t="s">
        <v>73</v>
      </c>
      <c r="AL107" s="6" t="s">
        <v>72</v>
      </c>
      <c r="AM107" s="6" t="s">
        <v>400</v>
      </c>
      <c r="AN107" s="6" t="s">
        <v>76</v>
      </c>
      <c r="AO107" s="33"/>
      <c r="AP107" s="6" t="s">
        <v>102</v>
      </c>
      <c r="AQ107" s="33"/>
      <c r="AR107" s="33"/>
      <c r="AS107" s="33"/>
      <c r="AT107" s="6" t="s">
        <v>76</v>
      </c>
      <c r="AU107" s="33"/>
      <c r="AV107" s="33"/>
      <c r="AW107" s="33"/>
      <c r="AX107" s="33"/>
      <c r="AY107" s="33"/>
      <c r="AZ107" s="6" t="s">
        <v>76</v>
      </c>
      <c r="BA107" s="33"/>
      <c r="BB107" s="33">
        <f>VLOOKUP(O107,Eco_DEM_Data!$D$1:$AC$643,20,False)</f>
        <v>1244</v>
      </c>
      <c r="BC107" s="33">
        <f>VLOOKUP($O107,Eco_DEM_Data!$D$1:$AC$643,20,False)</f>
        <v>1244</v>
      </c>
      <c r="BD107" s="33">
        <f>VLOOKUP($O107,Eco_DEM_Data!$D$1:$AC$643,25,False)</f>
        <v>548</v>
      </c>
      <c r="BE107" s="33">
        <f>VLOOKUP($O107,Eco_DEM_Data!$D$1:$AC$643,22,False)</f>
        <v>31</v>
      </c>
      <c r="BF107" s="33">
        <f>VLOOKUP($O107,Eco_DEM_Data!$D$1:$AC$643,23,False)</f>
        <v>105</v>
      </c>
      <c r="BG107" s="33">
        <f>VLOOKUP($O107,Eco_DEM_Data!$D$1:$AC$643,21,False)</f>
        <v>6267</v>
      </c>
      <c r="BH107" s="33">
        <f>VLOOKUP($O107,Eco_DEM_Data!$D$1:$AC$643,26,False)</f>
        <v>36</v>
      </c>
      <c r="BI107" s="33" t="str">
        <f>VLOOKUP($O107,Eco_DEM_Data!$D$1:$AC$643,9,False)</f>
        <v>Yucatán moist forests</v>
      </c>
      <c r="BJ107" s="33" t="str">
        <f>VLOOKUP($O107,Eco_DEM_Data!$D$1:$AC$643,11,False)</f>
        <v>Tropical &amp; Subtropical Moist Broadleaf Forests</v>
      </c>
    </row>
    <row r="108">
      <c r="A108" s="33" t="s">
        <v>1830</v>
      </c>
      <c r="B108" s="33" t="s">
        <v>2258</v>
      </c>
      <c r="C108" s="34">
        <v>1.0</v>
      </c>
      <c r="D108" s="33" t="s">
        <v>53</v>
      </c>
      <c r="E108" s="34">
        <v>2001.0</v>
      </c>
      <c r="F108" s="33" t="s">
        <v>1831</v>
      </c>
      <c r="G108" s="33" t="s">
        <v>1832</v>
      </c>
      <c r="H108" s="33" t="s">
        <v>1818</v>
      </c>
      <c r="I108" s="33" t="s">
        <v>1833</v>
      </c>
      <c r="J108" s="33" t="s">
        <v>1834</v>
      </c>
      <c r="K108" s="34">
        <v>292.0</v>
      </c>
      <c r="L108" s="34">
        <v>5520.0</v>
      </c>
      <c r="M108" s="6" t="s">
        <v>1835</v>
      </c>
      <c r="N108" s="35" t="s">
        <v>60</v>
      </c>
      <c r="O108" s="33" t="s">
        <v>1837</v>
      </c>
      <c r="P108" s="36" t="s">
        <v>62</v>
      </c>
      <c r="Q108" s="36" t="s">
        <v>92</v>
      </c>
      <c r="R108" s="36" t="s">
        <v>466</v>
      </c>
      <c r="S108" s="37">
        <v>19.87</v>
      </c>
      <c r="T108" s="37">
        <v>-88.77</v>
      </c>
      <c r="U108" s="36" t="s">
        <v>148</v>
      </c>
      <c r="V108" s="6" t="s">
        <v>189</v>
      </c>
      <c r="W108" s="6" t="s">
        <v>96</v>
      </c>
      <c r="X108" s="1" t="s">
        <v>1838</v>
      </c>
      <c r="Y108" s="33" t="s">
        <v>256</v>
      </c>
      <c r="Z108" s="36"/>
      <c r="AA108" s="37">
        <v>9.0</v>
      </c>
      <c r="AB108" s="36"/>
      <c r="AC108" s="36"/>
      <c r="AD108" s="36"/>
      <c r="AE108" s="36"/>
      <c r="AF108" s="36"/>
      <c r="AG108" s="36"/>
      <c r="AH108" s="38" t="s">
        <v>72</v>
      </c>
      <c r="AI108" s="37">
        <v>-650.0</v>
      </c>
      <c r="AJ108" s="37">
        <v>2000.0</v>
      </c>
      <c r="AK108" s="6" t="s">
        <v>73</v>
      </c>
      <c r="AL108" s="6" t="s">
        <v>72</v>
      </c>
      <c r="AM108" s="6" t="s">
        <v>400</v>
      </c>
      <c r="AN108" s="6" t="s">
        <v>76</v>
      </c>
      <c r="AO108" s="33"/>
      <c r="AP108" s="6" t="s">
        <v>102</v>
      </c>
      <c r="AQ108" s="33"/>
      <c r="AR108" s="33"/>
      <c r="AS108" s="33"/>
      <c r="AT108" s="6" t="s">
        <v>76</v>
      </c>
      <c r="AU108" s="33"/>
      <c r="AV108" s="33"/>
      <c r="AW108" s="33"/>
      <c r="AX108" s="33"/>
      <c r="AY108" s="33"/>
      <c r="AZ108" s="6" t="s">
        <v>76</v>
      </c>
      <c r="BA108" s="33"/>
      <c r="BB108" s="33">
        <f>VLOOKUP(O108,Eco_DEM_Data!$D$1:$AC$643,20,False)</f>
        <v>1244</v>
      </c>
      <c r="BC108" s="33">
        <f>VLOOKUP($O108,Eco_DEM_Data!$D$1:$AC$643,20,False)</f>
        <v>1244</v>
      </c>
      <c r="BD108" s="33">
        <f>VLOOKUP($O108,Eco_DEM_Data!$D$1:$AC$643,25,False)</f>
        <v>548</v>
      </c>
      <c r="BE108" s="33">
        <f>VLOOKUP($O108,Eco_DEM_Data!$D$1:$AC$643,22,False)</f>
        <v>31</v>
      </c>
      <c r="BF108" s="33">
        <f>VLOOKUP($O108,Eco_DEM_Data!$D$1:$AC$643,23,False)</f>
        <v>105</v>
      </c>
      <c r="BG108" s="33">
        <f>VLOOKUP($O108,Eco_DEM_Data!$D$1:$AC$643,21,False)</f>
        <v>6267</v>
      </c>
      <c r="BH108" s="33">
        <f>VLOOKUP($O108,Eco_DEM_Data!$D$1:$AC$643,26,False)</f>
        <v>36</v>
      </c>
      <c r="BI108" s="33" t="str">
        <f>VLOOKUP($O108,Eco_DEM_Data!$D$1:$AC$643,9,False)</f>
        <v>Yucatán moist forests</v>
      </c>
      <c r="BJ108" s="33" t="str">
        <f>VLOOKUP($O108,Eco_DEM_Data!$D$1:$AC$643,11,False)</f>
        <v>Tropical &amp; Subtropical Moist Broadleaf Forests</v>
      </c>
    </row>
    <row r="109">
      <c r="A109" s="33" t="s">
        <v>105</v>
      </c>
      <c r="B109" s="33" t="s">
        <v>2259</v>
      </c>
      <c r="C109" s="34">
        <v>1.0</v>
      </c>
      <c r="D109" s="33" t="s">
        <v>53</v>
      </c>
      <c r="E109" s="34">
        <v>2001.0</v>
      </c>
      <c r="F109" s="33" t="s">
        <v>106</v>
      </c>
      <c r="G109" s="33" t="s">
        <v>107</v>
      </c>
      <c r="H109" s="33" t="s">
        <v>108</v>
      </c>
      <c r="I109" s="33" t="s">
        <v>109</v>
      </c>
      <c r="J109" s="33" t="s">
        <v>110</v>
      </c>
      <c r="K109" s="34">
        <v>33.0</v>
      </c>
      <c r="L109" s="33"/>
      <c r="M109" s="6" t="s">
        <v>111</v>
      </c>
      <c r="N109" s="35" t="s">
        <v>76</v>
      </c>
      <c r="O109" s="33" t="s">
        <v>105</v>
      </c>
      <c r="P109" s="36" t="s">
        <v>62</v>
      </c>
      <c r="Q109" s="36" t="s">
        <v>112</v>
      </c>
      <c r="R109" s="36" t="s">
        <v>113</v>
      </c>
      <c r="S109" s="37">
        <v>10.433333</v>
      </c>
      <c r="T109" s="37">
        <v>-83.983333</v>
      </c>
      <c r="U109" s="36" t="s">
        <v>114</v>
      </c>
      <c r="V109" s="38" t="s">
        <v>66</v>
      </c>
      <c r="W109" s="41" t="s">
        <v>1287</v>
      </c>
      <c r="X109" s="7" t="s">
        <v>117</v>
      </c>
      <c r="Y109" s="57" t="s">
        <v>83</v>
      </c>
      <c r="Z109" s="43"/>
      <c r="AA109" s="42">
        <v>1.0</v>
      </c>
      <c r="AB109" s="43"/>
      <c r="AC109" s="43"/>
      <c r="AD109" s="43"/>
      <c r="AE109" s="43"/>
      <c r="AF109" s="43"/>
      <c r="AG109" s="43"/>
      <c r="AH109" s="38" t="s">
        <v>72</v>
      </c>
      <c r="AI109" s="42">
        <v>-770.0</v>
      </c>
      <c r="AJ109" s="42">
        <v>1992.0</v>
      </c>
      <c r="AK109" s="5" t="s">
        <v>72</v>
      </c>
      <c r="AL109" s="5" t="s">
        <v>72</v>
      </c>
      <c r="AM109" s="41" t="s">
        <v>119</v>
      </c>
      <c r="AN109" s="5" t="s">
        <v>72</v>
      </c>
      <c r="AO109" s="41"/>
      <c r="AP109" s="5" t="s">
        <v>75</v>
      </c>
      <c r="AQ109" s="5" t="s">
        <v>101</v>
      </c>
      <c r="AR109" s="5" t="s">
        <v>101</v>
      </c>
      <c r="AS109" s="5" t="s">
        <v>101</v>
      </c>
      <c r="AT109" s="5" t="s">
        <v>60</v>
      </c>
      <c r="AU109" s="33" t="s">
        <v>2263</v>
      </c>
      <c r="AV109" s="34">
        <v>-750.0</v>
      </c>
      <c r="AW109" s="33"/>
      <c r="AX109" s="33"/>
      <c r="AY109" s="40" t="s">
        <v>76</v>
      </c>
      <c r="AZ109" s="6" t="s">
        <v>76</v>
      </c>
      <c r="BA109" s="33"/>
      <c r="BB109" s="33">
        <f>VLOOKUP(O109,Eco_DEM_Data!$D$1:$AC$643,20,False)</f>
        <v>3724</v>
      </c>
      <c r="BC109" s="33">
        <f>VLOOKUP($O109,Eco_DEM_Data!$D$1:$AC$643,20,False)</f>
        <v>3724</v>
      </c>
      <c r="BD109" s="33">
        <f>VLOOKUP($O109,Eco_DEM_Data!$D$1:$AC$643,25,False)</f>
        <v>1231</v>
      </c>
      <c r="BE109" s="33">
        <f>VLOOKUP($O109,Eco_DEM_Data!$D$1:$AC$643,22,False)</f>
        <v>127</v>
      </c>
      <c r="BF109" s="33">
        <f>VLOOKUP($O109,Eco_DEM_Data!$D$1:$AC$643,23,False)</f>
        <v>471</v>
      </c>
      <c r="BG109" s="33">
        <f>VLOOKUP($O109,Eco_DEM_Data!$D$1:$AC$643,21,False)</f>
        <v>3850</v>
      </c>
      <c r="BH109" s="33">
        <f>VLOOKUP($O109,Eco_DEM_Data!$D$1:$AC$643,26,False)</f>
        <v>50</v>
      </c>
      <c r="BI109" s="33" t="str">
        <f>VLOOKUP($O109,Eco_DEM_Data!$D$1:$AC$643,9,False)</f>
        <v>Isthmian-Atlantic moist forests</v>
      </c>
      <c r="BJ109" s="33" t="str">
        <f>VLOOKUP($O109,Eco_DEM_Data!$D$1:$AC$643,11,False)</f>
        <v>Tropical &amp; Subtropical Moist Broadleaf Forests</v>
      </c>
    </row>
    <row r="110">
      <c r="A110" s="33" t="s">
        <v>628</v>
      </c>
      <c r="B110" s="33" t="s">
        <v>2259</v>
      </c>
      <c r="C110" s="34">
        <v>8.0</v>
      </c>
      <c r="D110" s="33" t="s">
        <v>53</v>
      </c>
      <c r="E110" s="34">
        <v>2001.0</v>
      </c>
      <c r="F110" s="33" t="s">
        <v>629</v>
      </c>
      <c r="G110" s="33" t="s">
        <v>630</v>
      </c>
      <c r="H110" s="33" t="s">
        <v>631</v>
      </c>
      <c r="I110" s="33" t="s">
        <v>632</v>
      </c>
      <c r="J110" s="33" t="s">
        <v>633</v>
      </c>
      <c r="K110" s="34">
        <v>12.0</v>
      </c>
      <c r="L110" s="34">
        <v>2.0</v>
      </c>
      <c r="M110" s="6" t="s">
        <v>634</v>
      </c>
      <c r="N110" s="35" t="s">
        <v>60</v>
      </c>
      <c r="O110" s="33" t="s">
        <v>635</v>
      </c>
      <c r="P110" s="36" t="s">
        <v>62</v>
      </c>
      <c r="Q110" s="36" t="s">
        <v>167</v>
      </c>
      <c r="R110" s="36" t="s">
        <v>636</v>
      </c>
      <c r="S110" s="37">
        <v>16.2</v>
      </c>
      <c r="T110" s="37">
        <v>-90.1</v>
      </c>
      <c r="U110" s="36" t="s">
        <v>148</v>
      </c>
      <c r="V110" s="6" t="s">
        <v>189</v>
      </c>
      <c r="W110" s="33" t="s">
        <v>173</v>
      </c>
      <c r="X110" s="1" t="s">
        <v>637</v>
      </c>
      <c r="Y110" s="33" t="s">
        <v>70</v>
      </c>
      <c r="Z110" s="36"/>
      <c r="AA110" s="37">
        <v>4.0</v>
      </c>
      <c r="AB110" s="36"/>
      <c r="AC110" s="36"/>
      <c r="AD110" s="36"/>
      <c r="AE110" s="36"/>
      <c r="AF110" s="36"/>
      <c r="AG110" s="36"/>
      <c r="AH110" s="36" t="s">
        <v>638</v>
      </c>
      <c r="AI110" s="37">
        <v>-2080.0</v>
      </c>
      <c r="AJ110" s="37">
        <v>1950.0</v>
      </c>
      <c r="AK110" s="6" t="s">
        <v>100</v>
      </c>
      <c r="AL110" s="6" t="s">
        <v>60</v>
      </c>
      <c r="AM110" s="6" t="s">
        <v>72</v>
      </c>
      <c r="AN110" s="6" t="s">
        <v>60</v>
      </c>
      <c r="AO110" s="33"/>
      <c r="AP110" s="6" t="s">
        <v>75</v>
      </c>
      <c r="AQ110" s="33"/>
      <c r="AR110" s="33"/>
      <c r="AS110" s="33"/>
      <c r="AT110" s="6" t="s">
        <v>76</v>
      </c>
      <c r="AU110" s="33"/>
      <c r="AV110" s="33"/>
      <c r="AW110" s="33"/>
      <c r="AX110" s="33"/>
      <c r="AY110" s="33"/>
      <c r="AZ110" s="6" t="s">
        <v>76</v>
      </c>
      <c r="BA110" s="33"/>
      <c r="BB110" s="33">
        <f>VLOOKUP(O110,Eco_DEM_Data!$D$1:$AC$643,20,False)</f>
        <v>3418</v>
      </c>
      <c r="BC110" s="33">
        <f>VLOOKUP($O110,Eco_DEM_Data!$D$1:$AC$643,20,False)</f>
        <v>3418</v>
      </c>
      <c r="BD110" s="33">
        <f>VLOOKUP($O110,Eco_DEM_Data!$D$1:$AC$643,25,False)</f>
        <v>1440</v>
      </c>
      <c r="BE110" s="33">
        <f>VLOOKUP($O110,Eco_DEM_Data!$D$1:$AC$643,22,False)</f>
        <v>86</v>
      </c>
      <c r="BF110" s="33">
        <f>VLOOKUP($O110,Eco_DEM_Data!$D$1:$AC$643,23,False)</f>
        <v>311</v>
      </c>
      <c r="BG110" s="33">
        <f>VLOOKUP($O110,Eco_DEM_Data!$D$1:$AC$643,21,False)</f>
        <v>5582</v>
      </c>
      <c r="BH110" s="33">
        <f>VLOOKUP($O110,Eco_DEM_Data!$D$1:$AC$643,26,False)</f>
        <v>136</v>
      </c>
      <c r="BI110" s="33" t="str">
        <f>VLOOKUP($O110,Eco_DEM_Data!$D$1:$AC$643,9,False)</f>
        <v>Petén-Veracruz moist forests</v>
      </c>
      <c r="BJ110" s="33" t="str">
        <f>VLOOKUP($O110,Eco_DEM_Data!$D$1:$AC$643,11,False)</f>
        <v>Tropical &amp; Subtropical Moist Broadleaf Forests</v>
      </c>
    </row>
    <row r="111">
      <c r="A111" s="33" t="s">
        <v>628</v>
      </c>
      <c r="B111" s="33" t="s">
        <v>2259</v>
      </c>
      <c r="C111" s="34">
        <v>8.0</v>
      </c>
      <c r="D111" s="33" t="s">
        <v>53</v>
      </c>
      <c r="E111" s="34">
        <v>2001.0</v>
      </c>
      <c r="F111" s="33" t="s">
        <v>629</v>
      </c>
      <c r="G111" s="33" t="s">
        <v>630</v>
      </c>
      <c r="H111" s="33" t="s">
        <v>631</v>
      </c>
      <c r="I111" s="33" t="s">
        <v>632</v>
      </c>
      <c r="J111" s="33" t="s">
        <v>633</v>
      </c>
      <c r="K111" s="34">
        <v>12.0</v>
      </c>
      <c r="L111" s="34">
        <v>2.0</v>
      </c>
      <c r="M111" s="6" t="s">
        <v>634</v>
      </c>
      <c r="N111" s="35" t="s">
        <v>60</v>
      </c>
      <c r="O111" s="33" t="s">
        <v>1142</v>
      </c>
      <c r="P111" s="36" t="s">
        <v>62</v>
      </c>
      <c r="Q111" s="36" t="s">
        <v>167</v>
      </c>
      <c r="R111" s="36" t="s">
        <v>636</v>
      </c>
      <c r="S111" s="37">
        <v>16.2</v>
      </c>
      <c r="T111" s="37">
        <v>-90.1</v>
      </c>
      <c r="U111" s="36" t="s">
        <v>148</v>
      </c>
      <c r="V111" s="38" t="s">
        <v>66</v>
      </c>
      <c r="W111" s="41" t="s">
        <v>823</v>
      </c>
      <c r="X111" s="7" t="s">
        <v>1143</v>
      </c>
      <c r="Y111" s="5" t="s">
        <v>70</v>
      </c>
      <c r="Z111" s="43"/>
      <c r="AA111" s="42">
        <v>4.0</v>
      </c>
      <c r="AB111" s="43"/>
      <c r="AC111" s="43"/>
      <c r="AD111" s="43"/>
      <c r="AE111" s="43"/>
      <c r="AF111" s="43"/>
      <c r="AG111" s="43"/>
      <c r="AH111" s="43" t="s">
        <v>638</v>
      </c>
      <c r="AI111" s="42">
        <v>-2080.0</v>
      </c>
      <c r="AJ111" s="42">
        <v>1950.0</v>
      </c>
      <c r="AK111" s="5" t="s">
        <v>100</v>
      </c>
      <c r="AL111" s="5" t="s">
        <v>60</v>
      </c>
      <c r="AM111" s="5" t="s">
        <v>72</v>
      </c>
      <c r="AN111" s="5" t="s">
        <v>60</v>
      </c>
      <c r="AO111" s="41"/>
      <c r="AP111" s="5" t="s">
        <v>75</v>
      </c>
      <c r="AQ111" s="41"/>
      <c r="AR111" s="41"/>
      <c r="AS111" s="41"/>
      <c r="AT111" s="5" t="s">
        <v>60</v>
      </c>
      <c r="AU111" s="33"/>
      <c r="AV111" s="33"/>
      <c r="AW111" s="33"/>
      <c r="AX111" s="33"/>
      <c r="AY111" s="33"/>
      <c r="AZ111" s="6" t="s">
        <v>76</v>
      </c>
      <c r="BA111" s="33"/>
      <c r="BB111" s="33">
        <f>VLOOKUP(O111,Eco_DEM_Data!$D$1:$AC$643,20,False)</f>
        <v>3418</v>
      </c>
      <c r="BC111" s="33">
        <f>VLOOKUP($O111,Eco_DEM_Data!$D$1:$AC$643,20,False)</f>
        <v>3418</v>
      </c>
      <c r="BD111" s="33">
        <f>VLOOKUP($O111,Eco_DEM_Data!$D$1:$AC$643,25,False)</f>
        <v>1440</v>
      </c>
      <c r="BE111" s="33">
        <f>VLOOKUP($O111,Eco_DEM_Data!$D$1:$AC$643,22,False)</f>
        <v>86</v>
      </c>
      <c r="BF111" s="33">
        <f>VLOOKUP($O111,Eco_DEM_Data!$D$1:$AC$643,23,False)</f>
        <v>311</v>
      </c>
      <c r="BG111" s="33">
        <f>VLOOKUP($O111,Eco_DEM_Data!$D$1:$AC$643,21,False)</f>
        <v>5582</v>
      </c>
      <c r="BH111" s="33">
        <f>VLOOKUP($O111,Eco_DEM_Data!$D$1:$AC$643,26,False)</f>
        <v>136</v>
      </c>
      <c r="BI111" s="33" t="str">
        <f>VLOOKUP($O111,Eco_DEM_Data!$D$1:$AC$643,9,False)</f>
        <v>Petén-Veracruz moist forests</v>
      </c>
      <c r="BJ111" s="33" t="str">
        <f>VLOOKUP($O111,Eco_DEM_Data!$D$1:$AC$643,11,False)</f>
        <v>Tropical &amp; Subtropical Moist Broadleaf Forests</v>
      </c>
    </row>
    <row r="112">
      <c r="A112" s="33" t="s">
        <v>628</v>
      </c>
      <c r="B112" s="33" t="s">
        <v>2259</v>
      </c>
      <c r="C112" s="34">
        <v>8.0</v>
      </c>
      <c r="D112" s="33" t="s">
        <v>53</v>
      </c>
      <c r="E112" s="34">
        <v>2001.0</v>
      </c>
      <c r="F112" s="33" t="s">
        <v>629</v>
      </c>
      <c r="G112" s="33" t="s">
        <v>630</v>
      </c>
      <c r="H112" s="33" t="s">
        <v>631</v>
      </c>
      <c r="I112" s="33" t="s">
        <v>632</v>
      </c>
      <c r="J112" s="33" t="s">
        <v>633</v>
      </c>
      <c r="K112" s="34">
        <v>12.0</v>
      </c>
      <c r="L112" s="34">
        <v>2.0</v>
      </c>
      <c r="M112" s="6" t="s">
        <v>634</v>
      </c>
      <c r="N112" s="35" t="s">
        <v>60</v>
      </c>
      <c r="O112" s="33" t="s">
        <v>1144</v>
      </c>
      <c r="P112" s="36" t="s">
        <v>62</v>
      </c>
      <c r="Q112" s="36" t="s">
        <v>167</v>
      </c>
      <c r="R112" s="36" t="s">
        <v>636</v>
      </c>
      <c r="S112" s="37">
        <v>16.2</v>
      </c>
      <c r="T112" s="37">
        <v>-90.1</v>
      </c>
      <c r="U112" s="36" t="s">
        <v>148</v>
      </c>
      <c r="V112" s="38" t="s">
        <v>382</v>
      </c>
      <c r="W112" s="33" t="s">
        <v>173</v>
      </c>
      <c r="X112" s="1" t="s">
        <v>1145</v>
      </c>
      <c r="Y112" s="33" t="s">
        <v>544</v>
      </c>
      <c r="Z112" s="36"/>
      <c r="AA112" s="37">
        <v>4.0</v>
      </c>
      <c r="AB112" s="36"/>
      <c r="AC112" s="36"/>
      <c r="AD112" s="36"/>
      <c r="AE112" s="36"/>
      <c r="AF112" s="36"/>
      <c r="AG112" s="36"/>
      <c r="AH112" s="36" t="s">
        <v>638</v>
      </c>
      <c r="AI112" s="37">
        <v>-2080.0</v>
      </c>
      <c r="AJ112" s="37">
        <v>1950.0</v>
      </c>
      <c r="AK112" s="6" t="s">
        <v>100</v>
      </c>
      <c r="AL112" s="6" t="s">
        <v>60</v>
      </c>
      <c r="AM112" s="6" t="s">
        <v>72</v>
      </c>
      <c r="AN112" s="6" t="s">
        <v>60</v>
      </c>
      <c r="AO112" s="33"/>
      <c r="AP112" s="6" t="s">
        <v>75</v>
      </c>
      <c r="AQ112" s="33"/>
      <c r="AR112" s="33"/>
      <c r="AS112" s="33"/>
      <c r="AT112" s="6" t="s">
        <v>76</v>
      </c>
      <c r="AU112" s="33"/>
      <c r="AV112" s="33"/>
      <c r="AW112" s="33"/>
      <c r="AX112" s="33"/>
      <c r="AY112" s="33"/>
      <c r="AZ112" s="6" t="s">
        <v>76</v>
      </c>
      <c r="BA112" s="33"/>
      <c r="BB112" s="33">
        <f>VLOOKUP(O112,Eco_DEM_Data!$D$1:$AC$643,20,False)</f>
        <v>3418</v>
      </c>
      <c r="BC112" s="33">
        <f>VLOOKUP($O112,Eco_DEM_Data!$D$1:$AC$643,20,False)</f>
        <v>3418</v>
      </c>
      <c r="BD112" s="33">
        <f>VLOOKUP($O112,Eco_DEM_Data!$D$1:$AC$643,25,False)</f>
        <v>1440</v>
      </c>
      <c r="BE112" s="33">
        <f>VLOOKUP($O112,Eco_DEM_Data!$D$1:$AC$643,22,False)</f>
        <v>86</v>
      </c>
      <c r="BF112" s="33">
        <f>VLOOKUP($O112,Eco_DEM_Data!$D$1:$AC$643,23,False)</f>
        <v>311</v>
      </c>
      <c r="BG112" s="33">
        <f>VLOOKUP($O112,Eco_DEM_Data!$D$1:$AC$643,21,False)</f>
        <v>5582</v>
      </c>
      <c r="BH112" s="33">
        <f>VLOOKUP($O112,Eco_DEM_Data!$D$1:$AC$643,26,False)</f>
        <v>136</v>
      </c>
      <c r="BI112" s="33" t="str">
        <f>VLOOKUP($O112,Eco_DEM_Data!$D$1:$AC$643,9,False)</f>
        <v>Petén-Veracruz moist forests</v>
      </c>
      <c r="BJ112" s="33" t="str">
        <f>VLOOKUP($O112,Eco_DEM_Data!$D$1:$AC$643,11,False)</f>
        <v>Tropical &amp; Subtropical Moist Broadleaf Forests</v>
      </c>
    </row>
    <row r="113">
      <c r="A113" s="33" t="s">
        <v>628</v>
      </c>
      <c r="B113" s="33" t="s">
        <v>2259</v>
      </c>
      <c r="C113" s="34">
        <v>8.0</v>
      </c>
      <c r="D113" s="33" t="s">
        <v>53</v>
      </c>
      <c r="E113" s="34">
        <v>2001.0</v>
      </c>
      <c r="F113" s="33" t="s">
        <v>629</v>
      </c>
      <c r="G113" s="33" t="s">
        <v>630</v>
      </c>
      <c r="H113" s="33" t="s">
        <v>631</v>
      </c>
      <c r="I113" s="33" t="s">
        <v>632</v>
      </c>
      <c r="J113" s="33" t="s">
        <v>633</v>
      </c>
      <c r="K113" s="34">
        <v>12.0</v>
      </c>
      <c r="L113" s="34">
        <v>2.0</v>
      </c>
      <c r="M113" s="6" t="s">
        <v>634</v>
      </c>
      <c r="N113" s="35" t="s">
        <v>60</v>
      </c>
      <c r="O113" s="33" t="s">
        <v>1146</v>
      </c>
      <c r="P113" s="36" t="s">
        <v>62</v>
      </c>
      <c r="Q113" s="36" t="s">
        <v>167</v>
      </c>
      <c r="R113" s="36" t="s">
        <v>636</v>
      </c>
      <c r="S113" s="37">
        <v>16.2</v>
      </c>
      <c r="T113" s="37">
        <v>-90.1</v>
      </c>
      <c r="U113" s="36" t="s">
        <v>148</v>
      </c>
      <c r="V113" s="6" t="s">
        <v>169</v>
      </c>
      <c r="W113" s="33" t="s">
        <v>173</v>
      </c>
      <c r="X113" s="1" t="s">
        <v>1147</v>
      </c>
      <c r="Y113" s="6" t="s">
        <v>575</v>
      </c>
      <c r="Z113" s="36"/>
      <c r="AA113" s="37">
        <v>4.0</v>
      </c>
      <c r="AB113" s="36"/>
      <c r="AC113" s="36"/>
      <c r="AD113" s="36"/>
      <c r="AE113" s="36"/>
      <c r="AF113" s="36"/>
      <c r="AG113" s="36"/>
      <c r="AH113" s="36" t="s">
        <v>638</v>
      </c>
      <c r="AI113" s="37">
        <v>-2080.0</v>
      </c>
      <c r="AJ113" s="37">
        <v>1950.0</v>
      </c>
      <c r="AK113" s="6" t="s">
        <v>100</v>
      </c>
      <c r="AL113" s="6" t="s">
        <v>60</v>
      </c>
      <c r="AM113" s="6" t="s">
        <v>72</v>
      </c>
      <c r="AN113" s="6" t="s">
        <v>60</v>
      </c>
      <c r="AO113" s="33"/>
      <c r="AP113" s="6" t="s">
        <v>75</v>
      </c>
      <c r="AQ113" s="33"/>
      <c r="AR113" s="33"/>
      <c r="AS113" s="33"/>
      <c r="AT113" s="6" t="s">
        <v>76</v>
      </c>
      <c r="AU113" s="33"/>
      <c r="AV113" s="33"/>
      <c r="AW113" s="33"/>
      <c r="AX113" s="33"/>
      <c r="AY113" s="33"/>
      <c r="AZ113" s="6" t="s">
        <v>76</v>
      </c>
      <c r="BA113" s="33"/>
      <c r="BB113" s="33">
        <f>VLOOKUP(O113,Eco_DEM_Data!$D$1:$AC$643,20,False)</f>
        <v>3418</v>
      </c>
      <c r="BC113" s="33">
        <f>VLOOKUP($O113,Eco_DEM_Data!$D$1:$AC$643,20,False)</f>
        <v>3418</v>
      </c>
      <c r="BD113" s="33">
        <f>VLOOKUP($O113,Eco_DEM_Data!$D$1:$AC$643,25,False)</f>
        <v>1440</v>
      </c>
      <c r="BE113" s="33">
        <f>VLOOKUP($O113,Eco_DEM_Data!$D$1:$AC$643,22,False)</f>
        <v>86</v>
      </c>
      <c r="BF113" s="33">
        <f>VLOOKUP($O113,Eco_DEM_Data!$D$1:$AC$643,23,False)</f>
        <v>311</v>
      </c>
      <c r="BG113" s="33">
        <f>VLOOKUP($O113,Eco_DEM_Data!$D$1:$AC$643,21,False)</f>
        <v>5582</v>
      </c>
      <c r="BH113" s="33">
        <f>VLOOKUP($O113,Eco_DEM_Data!$D$1:$AC$643,26,False)</f>
        <v>136</v>
      </c>
      <c r="BI113" s="33" t="str">
        <f>VLOOKUP($O113,Eco_DEM_Data!$D$1:$AC$643,9,False)</f>
        <v>Petén-Veracruz moist forests</v>
      </c>
      <c r="BJ113" s="33" t="str">
        <f>VLOOKUP($O113,Eco_DEM_Data!$D$1:$AC$643,11,False)</f>
        <v>Tropical &amp; Subtropical Moist Broadleaf Forests</v>
      </c>
    </row>
    <row r="114">
      <c r="A114" s="33" t="s">
        <v>628</v>
      </c>
      <c r="B114" s="33" t="s">
        <v>2259</v>
      </c>
      <c r="C114" s="34">
        <v>8.0</v>
      </c>
      <c r="D114" s="33" t="s">
        <v>53</v>
      </c>
      <c r="E114" s="34">
        <v>2001.0</v>
      </c>
      <c r="F114" s="33" t="s">
        <v>629</v>
      </c>
      <c r="G114" s="33" t="s">
        <v>630</v>
      </c>
      <c r="H114" s="33" t="s">
        <v>631</v>
      </c>
      <c r="I114" s="33" t="s">
        <v>632</v>
      </c>
      <c r="J114" s="33" t="s">
        <v>633</v>
      </c>
      <c r="K114" s="34">
        <v>12.0</v>
      </c>
      <c r="L114" s="34">
        <v>2.0</v>
      </c>
      <c r="M114" s="6" t="s">
        <v>634</v>
      </c>
      <c r="N114" s="35" t="s">
        <v>60</v>
      </c>
      <c r="O114" s="33" t="s">
        <v>646</v>
      </c>
      <c r="P114" s="36" t="s">
        <v>62</v>
      </c>
      <c r="Q114" s="36" t="s">
        <v>167</v>
      </c>
      <c r="R114" s="36" t="s">
        <v>636</v>
      </c>
      <c r="S114" s="37">
        <v>16.2</v>
      </c>
      <c r="T114" s="37">
        <v>-90.1</v>
      </c>
      <c r="U114" s="36" t="s">
        <v>148</v>
      </c>
      <c r="V114" s="6" t="s">
        <v>275</v>
      </c>
      <c r="W114" s="33" t="s">
        <v>276</v>
      </c>
      <c r="X114" s="1" t="s">
        <v>278</v>
      </c>
      <c r="Y114" s="33" t="s">
        <v>279</v>
      </c>
      <c r="Z114" s="36"/>
      <c r="AA114" s="37">
        <v>4.0</v>
      </c>
      <c r="AB114" s="36"/>
      <c r="AC114" s="36"/>
      <c r="AD114" s="36"/>
      <c r="AE114" s="36"/>
      <c r="AF114" s="36"/>
      <c r="AG114" s="36"/>
      <c r="AH114" s="36" t="s">
        <v>638</v>
      </c>
      <c r="AI114" s="37">
        <v>-2080.0</v>
      </c>
      <c r="AJ114" s="37">
        <v>1950.0</v>
      </c>
      <c r="AK114" s="6" t="s">
        <v>100</v>
      </c>
      <c r="AL114" s="6" t="s">
        <v>60</v>
      </c>
      <c r="AM114" s="6" t="s">
        <v>72</v>
      </c>
      <c r="AN114" s="6" t="s">
        <v>60</v>
      </c>
      <c r="AO114" s="33"/>
      <c r="AP114" s="6" t="s">
        <v>75</v>
      </c>
      <c r="AQ114" s="33"/>
      <c r="AR114" s="33"/>
      <c r="AS114" s="33"/>
      <c r="AT114" s="6" t="s">
        <v>76</v>
      </c>
      <c r="AU114" s="33"/>
      <c r="AV114" s="33"/>
      <c r="AW114" s="33"/>
      <c r="AX114" s="33"/>
      <c r="AY114" s="33"/>
      <c r="AZ114" s="6" t="s">
        <v>76</v>
      </c>
      <c r="BA114" s="33"/>
      <c r="BB114" s="33">
        <f>VLOOKUP(O114,Eco_DEM_Data!$D$1:$AC$643,20,False)</f>
        <v>3418</v>
      </c>
      <c r="BC114" s="33">
        <f>VLOOKUP($O114,Eco_DEM_Data!$D$1:$AC$643,20,False)</f>
        <v>3418</v>
      </c>
      <c r="BD114" s="33">
        <f>VLOOKUP($O114,Eco_DEM_Data!$D$1:$AC$643,25,False)</f>
        <v>1440</v>
      </c>
      <c r="BE114" s="33">
        <f>VLOOKUP($O114,Eco_DEM_Data!$D$1:$AC$643,22,False)</f>
        <v>86</v>
      </c>
      <c r="BF114" s="33">
        <f>VLOOKUP($O114,Eco_DEM_Data!$D$1:$AC$643,23,False)</f>
        <v>311</v>
      </c>
      <c r="BG114" s="33">
        <f>VLOOKUP($O114,Eco_DEM_Data!$D$1:$AC$643,21,False)</f>
        <v>5582</v>
      </c>
      <c r="BH114" s="33">
        <f>VLOOKUP($O114,Eco_DEM_Data!$D$1:$AC$643,26,False)</f>
        <v>136</v>
      </c>
      <c r="BI114" s="33" t="str">
        <f>VLOOKUP($O114,Eco_DEM_Data!$D$1:$AC$643,9,False)</f>
        <v>Petén-Veracruz moist forests</v>
      </c>
      <c r="BJ114" s="33" t="str">
        <f>VLOOKUP($O114,Eco_DEM_Data!$D$1:$AC$643,11,False)</f>
        <v>Tropical &amp; Subtropical Moist Broadleaf Forests</v>
      </c>
    </row>
    <row r="115">
      <c r="A115" s="33" t="s">
        <v>628</v>
      </c>
      <c r="B115" s="33" t="s">
        <v>2259</v>
      </c>
      <c r="C115" s="34">
        <v>8.0</v>
      </c>
      <c r="D115" s="33" t="s">
        <v>53</v>
      </c>
      <c r="E115" s="34">
        <v>2001.0</v>
      </c>
      <c r="F115" s="33" t="s">
        <v>629</v>
      </c>
      <c r="G115" s="33" t="s">
        <v>630</v>
      </c>
      <c r="H115" s="33" t="s">
        <v>631</v>
      </c>
      <c r="I115" s="33" t="s">
        <v>632</v>
      </c>
      <c r="J115" s="33" t="s">
        <v>633</v>
      </c>
      <c r="K115" s="34">
        <v>12.0</v>
      </c>
      <c r="L115" s="34">
        <v>2.0</v>
      </c>
      <c r="M115" s="6" t="s">
        <v>634</v>
      </c>
      <c r="N115" s="35" t="s">
        <v>60</v>
      </c>
      <c r="O115" s="33" t="s">
        <v>1148</v>
      </c>
      <c r="P115" s="36" t="s">
        <v>62</v>
      </c>
      <c r="Q115" s="36" t="s">
        <v>167</v>
      </c>
      <c r="R115" s="36" t="s">
        <v>636</v>
      </c>
      <c r="S115" s="37">
        <v>16.2</v>
      </c>
      <c r="T115" s="37">
        <v>-90.1</v>
      </c>
      <c r="U115" s="36" t="s">
        <v>148</v>
      </c>
      <c r="V115" s="38" t="s">
        <v>194</v>
      </c>
      <c r="W115" s="33" t="s">
        <v>173</v>
      </c>
      <c r="X115" s="1" t="s">
        <v>637</v>
      </c>
      <c r="Y115" s="33" t="s">
        <v>70</v>
      </c>
      <c r="Z115" s="36"/>
      <c r="AA115" s="37">
        <v>4.0</v>
      </c>
      <c r="AB115" s="36"/>
      <c r="AC115" s="36"/>
      <c r="AD115" s="36"/>
      <c r="AE115" s="36"/>
      <c r="AF115" s="36"/>
      <c r="AG115" s="36"/>
      <c r="AH115" s="36" t="s">
        <v>638</v>
      </c>
      <c r="AI115" s="37">
        <v>-2080.0</v>
      </c>
      <c r="AJ115" s="37">
        <v>1950.0</v>
      </c>
      <c r="AK115" s="6" t="s">
        <v>100</v>
      </c>
      <c r="AL115" s="6" t="s">
        <v>60</v>
      </c>
      <c r="AM115" s="6" t="s">
        <v>72</v>
      </c>
      <c r="AN115" s="6" t="s">
        <v>60</v>
      </c>
      <c r="AO115" s="33"/>
      <c r="AP115" s="6" t="s">
        <v>75</v>
      </c>
      <c r="AQ115" s="33"/>
      <c r="AR115" s="33"/>
      <c r="AS115" s="33"/>
      <c r="AT115" s="6" t="s">
        <v>76</v>
      </c>
      <c r="AU115" s="33"/>
      <c r="AV115" s="33"/>
      <c r="AW115" s="33"/>
      <c r="AX115" s="33"/>
      <c r="AY115" s="33"/>
      <c r="AZ115" s="6" t="s">
        <v>76</v>
      </c>
      <c r="BA115" s="33"/>
      <c r="BB115" s="33">
        <f>VLOOKUP(O115,Eco_DEM_Data!$D$1:$AC$643,20,False)</f>
        <v>3418</v>
      </c>
      <c r="BC115" s="33">
        <f>VLOOKUP($O115,Eco_DEM_Data!$D$1:$AC$643,20,False)</f>
        <v>3418</v>
      </c>
      <c r="BD115" s="33">
        <f>VLOOKUP($O115,Eco_DEM_Data!$D$1:$AC$643,25,False)</f>
        <v>1440</v>
      </c>
      <c r="BE115" s="33">
        <f>VLOOKUP($O115,Eco_DEM_Data!$D$1:$AC$643,22,False)</f>
        <v>86</v>
      </c>
      <c r="BF115" s="33">
        <f>VLOOKUP($O115,Eco_DEM_Data!$D$1:$AC$643,23,False)</f>
        <v>311</v>
      </c>
      <c r="BG115" s="33">
        <f>VLOOKUP($O115,Eco_DEM_Data!$D$1:$AC$643,21,False)</f>
        <v>5582</v>
      </c>
      <c r="BH115" s="33">
        <f>VLOOKUP($O115,Eco_DEM_Data!$D$1:$AC$643,26,False)</f>
        <v>136</v>
      </c>
      <c r="BI115" s="33" t="str">
        <f>VLOOKUP($O115,Eco_DEM_Data!$D$1:$AC$643,9,False)</f>
        <v>Petén-Veracruz moist forests</v>
      </c>
      <c r="BJ115" s="33" t="str">
        <f>VLOOKUP($O115,Eco_DEM_Data!$D$1:$AC$643,11,False)</f>
        <v>Tropical &amp; Subtropical Moist Broadleaf Forests</v>
      </c>
    </row>
    <row r="116">
      <c r="A116" s="33" t="s">
        <v>628</v>
      </c>
      <c r="B116" s="33" t="s">
        <v>2259</v>
      </c>
      <c r="C116" s="34">
        <v>8.0</v>
      </c>
      <c r="D116" s="33" t="s">
        <v>53</v>
      </c>
      <c r="E116" s="34">
        <v>2001.0</v>
      </c>
      <c r="F116" s="33" t="s">
        <v>629</v>
      </c>
      <c r="G116" s="33" t="s">
        <v>630</v>
      </c>
      <c r="H116" s="33" t="s">
        <v>631</v>
      </c>
      <c r="I116" s="33" t="s">
        <v>632</v>
      </c>
      <c r="J116" s="33" t="s">
        <v>633</v>
      </c>
      <c r="K116" s="34">
        <v>12.0</v>
      </c>
      <c r="L116" s="34">
        <v>2.0</v>
      </c>
      <c r="M116" s="6" t="s">
        <v>634</v>
      </c>
      <c r="N116" s="35" t="s">
        <v>60</v>
      </c>
      <c r="O116" s="33" t="s">
        <v>1149</v>
      </c>
      <c r="P116" s="36" t="s">
        <v>62</v>
      </c>
      <c r="Q116" s="36" t="s">
        <v>167</v>
      </c>
      <c r="R116" s="36" t="s">
        <v>636</v>
      </c>
      <c r="S116" s="37">
        <v>16.2</v>
      </c>
      <c r="T116" s="37">
        <v>-90.1</v>
      </c>
      <c r="U116" s="36" t="s">
        <v>148</v>
      </c>
      <c r="V116" s="38" t="s">
        <v>2264</v>
      </c>
      <c r="W116" s="33" t="s">
        <v>156</v>
      </c>
      <c r="X116" s="3" t="s">
        <v>72</v>
      </c>
      <c r="Y116" s="6" t="s">
        <v>1151</v>
      </c>
      <c r="Z116" s="36"/>
      <c r="AA116" s="37">
        <v>4.0</v>
      </c>
      <c r="AB116" s="36"/>
      <c r="AC116" s="36"/>
      <c r="AD116" s="36"/>
      <c r="AE116" s="36"/>
      <c r="AF116" s="36"/>
      <c r="AG116" s="36"/>
      <c r="AH116" s="36" t="s">
        <v>638</v>
      </c>
      <c r="AI116" s="37">
        <v>-2080.0</v>
      </c>
      <c r="AJ116" s="37">
        <v>1950.0</v>
      </c>
      <c r="AK116" s="6" t="s">
        <v>100</v>
      </c>
      <c r="AL116" s="6" t="s">
        <v>60</v>
      </c>
      <c r="AM116" s="6" t="s">
        <v>72</v>
      </c>
      <c r="AN116" s="6" t="s">
        <v>60</v>
      </c>
      <c r="AO116" s="33"/>
      <c r="AP116" s="6" t="s">
        <v>75</v>
      </c>
      <c r="AQ116" s="33"/>
      <c r="AR116" s="33"/>
      <c r="AS116" s="33"/>
      <c r="AT116" s="6" t="s">
        <v>76</v>
      </c>
      <c r="AU116" s="33"/>
      <c r="AV116" s="33"/>
      <c r="AW116" s="33"/>
      <c r="AX116" s="33"/>
      <c r="AY116" s="33"/>
      <c r="AZ116" s="6" t="s">
        <v>76</v>
      </c>
      <c r="BA116" s="33"/>
      <c r="BB116" s="33">
        <f>VLOOKUP(O116,Eco_DEM_Data!$D$1:$AC$643,20,False)</f>
        <v>3418</v>
      </c>
      <c r="BC116" s="33">
        <f>VLOOKUP($O116,Eco_DEM_Data!$D$1:$AC$643,20,False)</f>
        <v>3418</v>
      </c>
      <c r="BD116" s="33">
        <f>VLOOKUP($O116,Eco_DEM_Data!$D$1:$AC$643,25,False)</f>
        <v>1440</v>
      </c>
      <c r="BE116" s="33">
        <f>VLOOKUP($O116,Eco_DEM_Data!$D$1:$AC$643,22,False)</f>
        <v>86</v>
      </c>
      <c r="BF116" s="33">
        <f>VLOOKUP($O116,Eco_DEM_Data!$D$1:$AC$643,23,False)</f>
        <v>311</v>
      </c>
      <c r="BG116" s="33">
        <f>VLOOKUP($O116,Eco_DEM_Data!$D$1:$AC$643,21,False)</f>
        <v>5582</v>
      </c>
      <c r="BH116" s="33">
        <f>VLOOKUP($O116,Eco_DEM_Data!$D$1:$AC$643,26,False)</f>
        <v>136</v>
      </c>
      <c r="BI116" s="33" t="str">
        <f>VLOOKUP($O116,Eco_DEM_Data!$D$1:$AC$643,9,False)</f>
        <v>Petén-Veracruz moist forests</v>
      </c>
      <c r="BJ116" s="33" t="str">
        <f>VLOOKUP($O116,Eco_DEM_Data!$D$1:$AC$643,11,False)</f>
        <v>Tropical &amp; Subtropical Moist Broadleaf Forests</v>
      </c>
    </row>
    <row r="117">
      <c r="A117" s="33" t="s">
        <v>628</v>
      </c>
      <c r="B117" s="33" t="s">
        <v>2259</v>
      </c>
      <c r="C117" s="34">
        <v>8.0</v>
      </c>
      <c r="D117" s="33" t="s">
        <v>53</v>
      </c>
      <c r="E117" s="34">
        <v>2001.0</v>
      </c>
      <c r="F117" s="33" t="s">
        <v>629</v>
      </c>
      <c r="G117" s="33" t="s">
        <v>630</v>
      </c>
      <c r="H117" s="33" t="s">
        <v>631</v>
      </c>
      <c r="I117" s="33" t="s">
        <v>632</v>
      </c>
      <c r="J117" s="33" t="s">
        <v>633</v>
      </c>
      <c r="K117" s="34">
        <v>12.0</v>
      </c>
      <c r="L117" s="34">
        <v>2.0</v>
      </c>
      <c r="M117" s="6" t="s">
        <v>634</v>
      </c>
      <c r="N117" s="35" t="s">
        <v>60</v>
      </c>
      <c r="O117" s="33" t="s">
        <v>1152</v>
      </c>
      <c r="P117" s="36" t="s">
        <v>62</v>
      </c>
      <c r="Q117" s="36" t="s">
        <v>167</v>
      </c>
      <c r="R117" s="36" t="s">
        <v>636</v>
      </c>
      <c r="S117" s="37">
        <v>16.2</v>
      </c>
      <c r="T117" s="37">
        <v>-90.1</v>
      </c>
      <c r="U117" s="36" t="s">
        <v>148</v>
      </c>
      <c r="V117" s="6" t="s">
        <v>80</v>
      </c>
      <c r="W117" s="33" t="s">
        <v>156</v>
      </c>
      <c r="X117" s="3" t="s">
        <v>72</v>
      </c>
      <c r="Y117" s="6" t="s">
        <v>1151</v>
      </c>
      <c r="Z117" s="36"/>
      <c r="AA117" s="37">
        <v>4.0</v>
      </c>
      <c r="AB117" s="36"/>
      <c r="AC117" s="36"/>
      <c r="AD117" s="36"/>
      <c r="AE117" s="36"/>
      <c r="AF117" s="36"/>
      <c r="AG117" s="36"/>
      <c r="AH117" s="36" t="s">
        <v>638</v>
      </c>
      <c r="AI117" s="37">
        <v>-2080.0</v>
      </c>
      <c r="AJ117" s="37">
        <v>1950.0</v>
      </c>
      <c r="AK117" s="6" t="s">
        <v>100</v>
      </c>
      <c r="AL117" s="6" t="s">
        <v>60</v>
      </c>
      <c r="AM117" s="6" t="s">
        <v>72</v>
      </c>
      <c r="AN117" s="6" t="s">
        <v>60</v>
      </c>
      <c r="AO117" s="33"/>
      <c r="AP117" s="6" t="s">
        <v>75</v>
      </c>
      <c r="AQ117" s="33"/>
      <c r="AR117" s="33"/>
      <c r="AS117" s="33"/>
      <c r="AT117" s="6" t="s">
        <v>76</v>
      </c>
      <c r="AU117" s="33"/>
      <c r="AV117" s="33"/>
      <c r="AW117" s="33"/>
      <c r="AX117" s="33"/>
      <c r="AY117" s="33"/>
      <c r="AZ117" s="6" t="s">
        <v>76</v>
      </c>
      <c r="BA117" s="33"/>
      <c r="BB117" s="33">
        <f>VLOOKUP(O117,Eco_DEM_Data!$D$1:$AC$643,20,False)</f>
        <v>3418</v>
      </c>
      <c r="BC117" s="33">
        <f>VLOOKUP($O117,Eco_DEM_Data!$D$1:$AC$643,20,False)</f>
        <v>3418</v>
      </c>
      <c r="BD117" s="33">
        <f>VLOOKUP($O117,Eco_DEM_Data!$D$1:$AC$643,25,False)</f>
        <v>1440</v>
      </c>
      <c r="BE117" s="33">
        <f>VLOOKUP($O117,Eco_DEM_Data!$D$1:$AC$643,22,False)</f>
        <v>86</v>
      </c>
      <c r="BF117" s="33">
        <f>VLOOKUP($O117,Eco_DEM_Data!$D$1:$AC$643,23,False)</f>
        <v>311</v>
      </c>
      <c r="BG117" s="33">
        <f>VLOOKUP($O117,Eco_DEM_Data!$D$1:$AC$643,21,False)</f>
        <v>5582</v>
      </c>
      <c r="BH117" s="33">
        <f>VLOOKUP($O117,Eco_DEM_Data!$D$1:$AC$643,26,False)</f>
        <v>136</v>
      </c>
      <c r="BI117" s="33" t="str">
        <f>VLOOKUP($O117,Eco_DEM_Data!$D$1:$AC$643,9,False)</f>
        <v>Petén-Veracruz moist forests</v>
      </c>
      <c r="BJ117" s="33" t="str">
        <f>VLOOKUP($O117,Eco_DEM_Data!$D$1:$AC$643,11,False)</f>
        <v>Tropical &amp; Subtropical Moist Broadleaf Forests</v>
      </c>
    </row>
    <row r="118">
      <c r="A118" s="33" t="s">
        <v>1839</v>
      </c>
      <c r="B118" s="33" t="s">
        <v>2259</v>
      </c>
      <c r="C118" s="34">
        <v>1.0</v>
      </c>
      <c r="D118" s="33" t="s">
        <v>53</v>
      </c>
      <c r="E118" s="34">
        <v>2001.0</v>
      </c>
      <c r="F118" s="33" t="s">
        <v>1840</v>
      </c>
      <c r="G118" s="33" t="s">
        <v>1841</v>
      </c>
      <c r="H118" s="33" t="s">
        <v>1818</v>
      </c>
      <c r="I118" s="33" t="s">
        <v>1842</v>
      </c>
      <c r="J118" s="33" t="s">
        <v>1843</v>
      </c>
      <c r="K118" s="34">
        <v>292.0</v>
      </c>
      <c r="L118" s="34">
        <v>5520.0</v>
      </c>
      <c r="M118" s="6" t="s">
        <v>1844</v>
      </c>
      <c r="N118" s="35" t="s">
        <v>76</v>
      </c>
      <c r="O118" s="33" t="s">
        <v>1839</v>
      </c>
      <c r="P118" s="36" t="s">
        <v>62</v>
      </c>
      <c r="Q118" s="36" t="s">
        <v>92</v>
      </c>
      <c r="R118" s="36" t="s">
        <v>1399</v>
      </c>
      <c r="S118" s="37">
        <v>18.140625</v>
      </c>
      <c r="T118" s="37">
        <v>-93.988578</v>
      </c>
      <c r="U118" s="36" t="s">
        <v>148</v>
      </c>
      <c r="V118" s="38" t="s">
        <v>66</v>
      </c>
      <c r="W118" s="41" t="s">
        <v>1287</v>
      </c>
      <c r="X118" s="10" t="s">
        <v>72</v>
      </c>
      <c r="Y118" s="5" t="s">
        <v>72</v>
      </c>
      <c r="Z118" s="42">
        <v>1.0</v>
      </c>
      <c r="AA118" s="42">
        <v>25.0</v>
      </c>
      <c r="AB118" s="43"/>
      <c r="AC118" s="43"/>
      <c r="AD118" s="43"/>
      <c r="AE118" s="43"/>
      <c r="AF118" s="43"/>
      <c r="AG118" s="43"/>
      <c r="AH118" s="43" t="s">
        <v>1845</v>
      </c>
      <c r="AI118" s="42">
        <v>-5100.0</v>
      </c>
      <c r="AJ118" s="42">
        <v>-399.0</v>
      </c>
      <c r="AK118" s="5" t="s">
        <v>100</v>
      </c>
      <c r="AL118" s="5" t="s">
        <v>76</v>
      </c>
      <c r="AM118" s="5" t="s">
        <v>72</v>
      </c>
      <c r="AN118" s="5" t="s">
        <v>72</v>
      </c>
      <c r="AO118" s="41"/>
      <c r="AP118" s="5" t="s">
        <v>75</v>
      </c>
      <c r="AQ118" s="5" t="s">
        <v>101</v>
      </c>
      <c r="AR118" s="5" t="s">
        <v>101</v>
      </c>
      <c r="AS118" s="5" t="s">
        <v>101</v>
      </c>
      <c r="AT118" s="5" t="s">
        <v>60</v>
      </c>
      <c r="AU118" s="33" t="s">
        <v>2263</v>
      </c>
      <c r="AV118" s="34">
        <v>-5100.0</v>
      </c>
      <c r="AW118" s="33"/>
      <c r="AX118" s="33"/>
      <c r="AY118" s="40" t="s">
        <v>76</v>
      </c>
      <c r="AZ118" s="6" t="s">
        <v>76</v>
      </c>
      <c r="BA118" s="33"/>
      <c r="BB118" s="33">
        <f>VLOOKUP(O118,Eco_DEM_Data!$D$1:$AC$643,20,False)</f>
        <v>2413</v>
      </c>
      <c r="BC118" s="33">
        <f>VLOOKUP($O118,Eco_DEM_Data!$D$1:$AC$643,20,False)</f>
        <v>2413</v>
      </c>
      <c r="BD118" s="33">
        <f>VLOOKUP($O118,Eco_DEM_Data!$D$1:$AC$643,25,False)</f>
        <v>1084</v>
      </c>
      <c r="BE118" s="33">
        <f>VLOOKUP($O118,Eco_DEM_Data!$D$1:$AC$643,22,False)</f>
        <v>46</v>
      </c>
      <c r="BF118" s="33">
        <f>VLOOKUP($O118,Eco_DEM_Data!$D$1:$AC$643,23,False)</f>
        <v>172</v>
      </c>
      <c r="BG118" s="33">
        <f>VLOOKUP($O118,Eco_DEM_Data!$D$1:$AC$643,21,False)</f>
        <v>6130</v>
      </c>
      <c r="BH118" s="33">
        <f>VLOOKUP($O118,Eco_DEM_Data!$D$1:$AC$643,26,False)</f>
        <v>3</v>
      </c>
      <c r="BI118" s="33" t="str">
        <f>VLOOKUP($O118,Eco_DEM_Data!$D$1:$AC$643,9,False)</f>
        <v>Petén-Veracruz moist forests</v>
      </c>
      <c r="BJ118" s="33" t="str">
        <f>VLOOKUP($O118,Eco_DEM_Data!$D$1:$AC$643,11,False)</f>
        <v>Tropical &amp; Subtropical Moist Broadleaf Forests</v>
      </c>
    </row>
    <row r="119">
      <c r="A119" s="33" t="s">
        <v>1374</v>
      </c>
      <c r="B119" s="33" t="s">
        <v>2259</v>
      </c>
      <c r="C119" s="34">
        <v>1.0</v>
      </c>
      <c r="D119" s="33" t="s">
        <v>53</v>
      </c>
      <c r="E119" s="34">
        <v>2002.0</v>
      </c>
      <c r="F119" s="33" t="s">
        <v>1375</v>
      </c>
      <c r="G119" s="33" t="s">
        <v>1376</v>
      </c>
      <c r="H119" s="33" t="s">
        <v>1377</v>
      </c>
      <c r="I119" s="33" t="s">
        <v>1378</v>
      </c>
      <c r="J119" s="33" t="s">
        <v>1379</v>
      </c>
      <c r="K119" s="34">
        <v>160.0</v>
      </c>
      <c r="L119" s="33"/>
      <c r="M119" s="6" t="s">
        <v>1380</v>
      </c>
      <c r="N119" s="35" t="s">
        <v>76</v>
      </c>
      <c r="O119" s="33" t="s">
        <v>1374</v>
      </c>
      <c r="P119" s="36" t="s">
        <v>62</v>
      </c>
      <c r="Q119" s="36" t="s">
        <v>92</v>
      </c>
      <c r="R119" s="36" t="s">
        <v>1381</v>
      </c>
      <c r="S119" s="37">
        <v>20.849071</v>
      </c>
      <c r="T119" s="37">
        <v>-86.878374</v>
      </c>
      <c r="U119" s="36" t="s">
        <v>148</v>
      </c>
      <c r="V119" s="38" t="s">
        <v>66</v>
      </c>
      <c r="W119" s="41" t="s">
        <v>1287</v>
      </c>
      <c r="X119" s="7" t="s">
        <v>1382</v>
      </c>
      <c r="Y119" s="41" t="s">
        <v>70</v>
      </c>
      <c r="Z119" s="43"/>
      <c r="AA119" s="42">
        <v>2.0</v>
      </c>
      <c r="AB119" s="43"/>
      <c r="AC119" s="43"/>
      <c r="AD119" s="43"/>
      <c r="AE119" s="43"/>
      <c r="AF119" s="43"/>
      <c r="AG119" s="43"/>
      <c r="AH119" s="38" t="s">
        <v>72</v>
      </c>
      <c r="AI119" s="42">
        <v>-550.0</v>
      </c>
      <c r="AJ119" s="42">
        <v>1999.0</v>
      </c>
      <c r="AK119" s="5" t="s">
        <v>73</v>
      </c>
      <c r="AL119" s="5" t="s">
        <v>76</v>
      </c>
      <c r="AM119" s="5" t="s">
        <v>72</v>
      </c>
      <c r="AN119" s="5" t="s">
        <v>72</v>
      </c>
      <c r="AO119" s="41"/>
      <c r="AP119" s="5" t="s">
        <v>75</v>
      </c>
      <c r="AQ119" s="5" t="s">
        <v>101</v>
      </c>
      <c r="AR119" s="5" t="s">
        <v>101</v>
      </c>
      <c r="AS119" s="5" t="s">
        <v>101</v>
      </c>
      <c r="AT119" s="5" t="s">
        <v>76</v>
      </c>
      <c r="AU119" s="33"/>
      <c r="AV119" s="33"/>
      <c r="AW119" s="33"/>
      <c r="AX119" s="33"/>
      <c r="AY119" s="40" t="s">
        <v>76</v>
      </c>
      <c r="AZ119" s="6" t="s">
        <v>76</v>
      </c>
      <c r="BA119" s="33"/>
      <c r="BB119" s="33">
        <f>VLOOKUP(O119,Eco_DEM_Data!$D$1:$AC$643,20,False)</f>
        <v>1267</v>
      </c>
      <c r="BC119" s="33">
        <f>VLOOKUP($O119,Eco_DEM_Data!$D$1:$AC$643,20,False)</f>
        <v>1267</v>
      </c>
      <c r="BD119" s="33">
        <f>VLOOKUP($O119,Eco_DEM_Data!$D$1:$AC$643,25,False)</f>
        <v>517</v>
      </c>
      <c r="BE119" s="33">
        <f>VLOOKUP($O119,Eco_DEM_Data!$D$1:$AC$643,22,False)</f>
        <v>40</v>
      </c>
      <c r="BF119" s="33">
        <f>VLOOKUP($O119,Eco_DEM_Data!$D$1:$AC$643,23,False)</f>
        <v>141</v>
      </c>
      <c r="BG119" s="33">
        <f>VLOOKUP($O119,Eco_DEM_Data!$D$1:$AC$643,21,False)</f>
        <v>4890</v>
      </c>
      <c r="BH119" s="33">
        <f>VLOOKUP($O119,Eco_DEM_Data!$D$1:$AC$643,26,False)</f>
        <v>1</v>
      </c>
      <c r="BI119" s="33" t="str">
        <f>VLOOKUP($O119,Eco_DEM_Data!$D$1:$AC$643,9,False)</f>
        <v>Mesoamerican Gulf-Caribbean mangroves</v>
      </c>
      <c r="BJ119" s="33" t="str">
        <f>VLOOKUP($O119,Eco_DEM_Data!$D$1:$AC$643,11,False)</f>
        <v>Mangroves</v>
      </c>
    </row>
    <row r="120">
      <c r="A120" s="33" t="s">
        <v>195</v>
      </c>
      <c r="B120" s="33" t="s">
        <v>2259</v>
      </c>
      <c r="C120" s="34">
        <v>18.0</v>
      </c>
      <c r="D120" s="33" t="s">
        <v>53</v>
      </c>
      <c r="E120" s="34">
        <v>2002.0</v>
      </c>
      <c r="F120" s="33" t="s">
        <v>196</v>
      </c>
      <c r="G120" s="33" t="s">
        <v>197</v>
      </c>
      <c r="H120" s="33" t="s">
        <v>198</v>
      </c>
      <c r="I120" s="33" t="s">
        <v>199</v>
      </c>
      <c r="J120" s="33" t="s">
        <v>200</v>
      </c>
      <c r="K120" s="34">
        <v>48.0</v>
      </c>
      <c r="L120" s="34">
        <v>4.0</v>
      </c>
      <c r="M120" s="6" t="s">
        <v>201</v>
      </c>
      <c r="N120" s="35" t="s">
        <v>60</v>
      </c>
      <c r="O120" s="33" t="s">
        <v>665</v>
      </c>
      <c r="P120" s="36" t="s">
        <v>62</v>
      </c>
      <c r="Q120" s="36" t="s">
        <v>187</v>
      </c>
      <c r="R120" s="36" t="s">
        <v>203</v>
      </c>
      <c r="S120" s="37">
        <v>18.441426</v>
      </c>
      <c r="T120" s="37">
        <v>-88.476495</v>
      </c>
      <c r="U120" s="36" t="s">
        <v>114</v>
      </c>
      <c r="V120" s="6" t="s">
        <v>189</v>
      </c>
      <c r="W120" s="33" t="s">
        <v>276</v>
      </c>
      <c r="X120" s="1" t="s">
        <v>666</v>
      </c>
      <c r="Y120" s="33" t="s">
        <v>70</v>
      </c>
      <c r="Z120" s="36"/>
      <c r="AA120" s="37"/>
      <c r="AB120" s="36"/>
      <c r="AC120" s="37">
        <v>13.0</v>
      </c>
      <c r="AD120" s="36"/>
      <c r="AE120" s="36"/>
      <c r="AF120" s="36"/>
      <c r="AG120" s="36"/>
      <c r="AH120" s="36"/>
      <c r="AI120" s="37">
        <v>1889.0</v>
      </c>
      <c r="AJ120" s="37">
        <v>1998.0</v>
      </c>
      <c r="AK120" s="6" t="s">
        <v>153</v>
      </c>
      <c r="AL120" s="6" t="s">
        <v>60</v>
      </c>
      <c r="AM120" s="6" t="s">
        <v>72</v>
      </c>
      <c r="AN120" s="6" t="s">
        <v>101</v>
      </c>
      <c r="AO120" s="33"/>
      <c r="AP120" s="6" t="s">
        <v>75</v>
      </c>
      <c r="AQ120" s="33"/>
      <c r="AR120" s="33"/>
      <c r="AS120" s="33"/>
      <c r="AT120" s="6" t="s">
        <v>76</v>
      </c>
      <c r="AU120" s="33"/>
      <c r="AV120" s="33"/>
      <c r="AW120" s="33"/>
      <c r="AX120" s="33"/>
      <c r="AY120" s="33"/>
      <c r="AZ120" s="6" t="s">
        <v>76</v>
      </c>
      <c r="BA120" s="33"/>
      <c r="BB120" s="33">
        <f>VLOOKUP(O120,Eco_DEM_Data!$D$1:$AC$643,20,False)</f>
        <v>1213</v>
      </c>
      <c r="BC120" s="33">
        <f>VLOOKUP($O120,Eco_DEM_Data!$D$1:$AC$643,20,False)</f>
        <v>1213</v>
      </c>
      <c r="BD120" s="33">
        <f>VLOOKUP($O120,Eco_DEM_Data!$D$1:$AC$643,25,False)</f>
        <v>500</v>
      </c>
      <c r="BE120" s="33">
        <f>VLOOKUP($O120,Eco_DEM_Data!$D$1:$AC$643,22,False)</f>
        <v>23</v>
      </c>
      <c r="BF120" s="33">
        <f>VLOOKUP($O120,Eco_DEM_Data!$D$1:$AC$643,23,False)</f>
        <v>86</v>
      </c>
      <c r="BG120" s="33">
        <f>VLOOKUP($O120,Eco_DEM_Data!$D$1:$AC$643,21,False)</f>
        <v>6265</v>
      </c>
      <c r="BH120" s="33">
        <f>VLOOKUP($O120,Eco_DEM_Data!$D$1:$AC$643,26,False)</f>
        <v>3</v>
      </c>
      <c r="BI120" s="33" t="str">
        <f>VLOOKUP($O120,Eco_DEM_Data!$D$1:$AC$643,9,False)</f>
        <v>Petén-Veracruz moist forests</v>
      </c>
      <c r="BJ120" s="33" t="str">
        <f>VLOOKUP($O120,Eco_DEM_Data!$D$1:$AC$643,11,False)</f>
        <v>Tropical &amp; Subtropical Moist Broadleaf Forests</v>
      </c>
    </row>
    <row r="121">
      <c r="A121" s="33" t="s">
        <v>195</v>
      </c>
      <c r="B121" s="33" t="s">
        <v>2259</v>
      </c>
      <c r="C121" s="34">
        <v>18.0</v>
      </c>
      <c r="D121" s="33" t="s">
        <v>53</v>
      </c>
      <c r="E121" s="34">
        <v>2002.0</v>
      </c>
      <c r="F121" s="33" t="s">
        <v>196</v>
      </c>
      <c r="G121" s="33" t="s">
        <v>197</v>
      </c>
      <c r="H121" s="33" t="s">
        <v>198</v>
      </c>
      <c r="I121" s="33" t="s">
        <v>199</v>
      </c>
      <c r="J121" s="33" t="s">
        <v>200</v>
      </c>
      <c r="K121" s="34">
        <v>48.0</v>
      </c>
      <c r="L121" s="34">
        <v>4.0</v>
      </c>
      <c r="M121" s="6" t="s">
        <v>201</v>
      </c>
      <c r="N121" s="35" t="s">
        <v>60</v>
      </c>
      <c r="O121" s="33" t="s">
        <v>667</v>
      </c>
      <c r="P121" s="36" t="s">
        <v>62</v>
      </c>
      <c r="Q121" s="36" t="s">
        <v>187</v>
      </c>
      <c r="R121" s="36" t="s">
        <v>208</v>
      </c>
      <c r="S121" s="37">
        <v>18.385586</v>
      </c>
      <c r="T121" s="37">
        <v>-88.470017</v>
      </c>
      <c r="U121" s="36" t="s">
        <v>114</v>
      </c>
      <c r="V121" s="6" t="s">
        <v>189</v>
      </c>
      <c r="W121" s="33" t="s">
        <v>276</v>
      </c>
      <c r="X121" s="1" t="s">
        <v>666</v>
      </c>
      <c r="Y121" s="33" t="s">
        <v>70</v>
      </c>
      <c r="Z121" s="36"/>
      <c r="AA121" s="37"/>
      <c r="AB121" s="36"/>
      <c r="AC121" s="37">
        <v>15.0</v>
      </c>
      <c r="AD121" s="36"/>
      <c r="AE121" s="36"/>
      <c r="AF121" s="36"/>
      <c r="AG121" s="36"/>
      <c r="AH121" s="36"/>
      <c r="AI121" s="37">
        <v>1880.0</v>
      </c>
      <c r="AJ121" s="37">
        <v>1998.0</v>
      </c>
      <c r="AK121" s="6" t="s">
        <v>153</v>
      </c>
      <c r="AL121" s="6" t="s">
        <v>60</v>
      </c>
      <c r="AM121" s="6" t="s">
        <v>72</v>
      </c>
      <c r="AN121" s="6" t="s">
        <v>101</v>
      </c>
      <c r="AO121" s="33"/>
      <c r="AP121" s="6" t="s">
        <v>75</v>
      </c>
      <c r="AQ121" s="33"/>
      <c r="AR121" s="33"/>
      <c r="AS121" s="33"/>
      <c r="AT121" s="6" t="s">
        <v>76</v>
      </c>
      <c r="AU121" s="33"/>
      <c r="AV121" s="33"/>
      <c r="AW121" s="33"/>
      <c r="AX121" s="33"/>
      <c r="AY121" s="33"/>
      <c r="AZ121" s="6" t="s">
        <v>76</v>
      </c>
      <c r="BA121" s="33"/>
      <c r="BB121" s="33">
        <f>VLOOKUP(O121,Eco_DEM_Data!$D$1:$AC$643,20,False)</f>
        <v>1249</v>
      </c>
      <c r="BC121" s="33">
        <f>VLOOKUP($O121,Eco_DEM_Data!$D$1:$AC$643,20,False)</f>
        <v>1249</v>
      </c>
      <c r="BD121" s="33">
        <f>VLOOKUP($O121,Eco_DEM_Data!$D$1:$AC$643,25,False)</f>
        <v>516</v>
      </c>
      <c r="BE121" s="33">
        <f>VLOOKUP($O121,Eco_DEM_Data!$D$1:$AC$643,22,False)</f>
        <v>23</v>
      </c>
      <c r="BF121" s="33">
        <f>VLOOKUP($O121,Eco_DEM_Data!$D$1:$AC$643,23,False)</f>
        <v>86</v>
      </c>
      <c r="BG121" s="33">
        <f>VLOOKUP($O121,Eco_DEM_Data!$D$1:$AC$643,21,False)</f>
        <v>6353</v>
      </c>
      <c r="BH121" s="33">
        <f>VLOOKUP($O121,Eco_DEM_Data!$D$1:$AC$643,26,False)</f>
        <v>14</v>
      </c>
      <c r="BI121" s="33" t="str">
        <f>VLOOKUP($O121,Eco_DEM_Data!$D$1:$AC$643,9,False)</f>
        <v>Petén-Veracruz moist forests</v>
      </c>
      <c r="BJ121" s="33" t="str">
        <f>VLOOKUP($O121,Eco_DEM_Data!$D$1:$AC$643,11,False)</f>
        <v>Tropical &amp; Subtropical Moist Broadleaf Forests</v>
      </c>
    </row>
    <row r="122">
      <c r="A122" s="33" t="s">
        <v>195</v>
      </c>
      <c r="B122" s="33" t="s">
        <v>2259</v>
      </c>
      <c r="C122" s="34">
        <v>18.0</v>
      </c>
      <c r="D122" s="33" t="s">
        <v>53</v>
      </c>
      <c r="E122" s="34">
        <v>2002.0</v>
      </c>
      <c r="F122" s="33" t="s">
        <v>196</v>
      </c>
      <c r="G122" s="33" t="s">
        <v>197</v>
      </c>
      <c r="H122" s="33" t="s">
        <v>198</v>
      </c>
      <c r="I122" s="33" t="s">
        <v>199</v>
      </c>
      <c r="J122" s="33" t="s">
        <v>200</v>
      </c>
      <c r="K122" s="34">
        <v>48.0</v>
      </c>
      <c r="L122" s="34">
        <v>4.0</v>
      </c>
      <c r="M122" s="6" t="s">
        <v>201</v>
      </c>
      <c r="N122" s="35" t="s">
        <v>60</v>
      </c>
      <c r="O122" s="33" t="s">
        <v>668</v>
      </c>
      <c r="P122" s="36" t="s">
        <v>62</v>
      </c>
      <c r="Q122" s="36" t="s">
        <v>187</v>
      </c>
      <c r="R122" s="36" t="s">
        <v>210</v>
      </c>
      <c r="S122" s="37">
        <v>18.0866</v>
      </c>
      <c r="T122" s="37">
        <v>-88.448328</v>
      </c>
      <c r="U122" s="36" t="s">
        <v>114</v>
      </c>
      <c r="V122" s="6" t="s">
        <v>189</v>
      </c>
      <c r="W122" s="33" t="s">
        <v>276</v>
      </c>
      <c r="X122" s="1" t="s">
        <v>666</v>
      </c>
      <c r="Y122" s="33" t="s">
        <v>70</v>
      </c>
      <c r="Z122" s="36"/>
      <c r="AA122" s="37"/>
      <c r="AB122" s="36"/>
      <c r="AC122" s="37">
        <v>15.0</v>
      </c>
      <c r="AD122" s="36"/>
      <c r="AE122" s="36"/>
      <c r="AF122" s="36"/>
      <c r="AG122" s="36"/>
      <c r="AH122" s="36"/>
      <c r="AI122" s="37">
        <v>1898.0</v>
      </c>
      <c r="AJ122" s="37">
        <v>1998.0</v>
      </c>
      <c r="AK122" s="6" t="s">
        <v>153</v>
      </c>
      <c r="AL122" s="6" t="s">
        <v>60</v>
      </c>
      <c r="AM122" s="6" t="s">
        <v>72</v>
      </c>
      <c r="AN122" s="6" t="s">
        <v>101</v>
      </c>
      <c r="AO122" s="33"/>
      <c r="AP122" s="6" t="s">
        <v>75</v>
      </c>
      <c r="AQ122" s="33"/>
      <c r="AR122" s="33"/>
      <c r="AS122" s="33"/>
      <c r="AT122" s="6" t="s">
        <v>76</v>
      </c>
      <c r="AU122" s="33"/>
      <c r="AV122" s="33"/>
      <c r="AW122" s="33"/>
      <c r="AX122" s="33"/>
      <c r="AY122" s="33"/>
      <c r="AZ122" s="6" t="s">
        <v>76</v>
      </c>
      <c r="BA122" s="33"/>
      <c r="BB122" s="33">
        <f>VLOOKUP(O122,Eco_DEM_Data!$D$1:$AC$643,20,False)</f>
        <v>1484</v>
      </c>
      <c r="BC122" s="33">
        <f>VLOOKUP($O122,Eco_DEM_Data!$D$1:$AC$643,20,False)</f>
        <v>1484</v>
      </c>
      <c r="BD122" s="33">
        <f>VLOOKUP($O122,Eco_DEM_Data!$D$1:$AC$643,25,False)</f>
        <v>582</v>
      </c>
      <c r="BE122" s="33">
        <f>VLOOKUP($O122,Eco_DEM_Data!$D$1:$AC$643,22,False)</f>
        <v>33</v>
      </c>
      <c r="BF122" s="33">
        <f>VLOOKUP($O122,Eco_DEM_Data!$D$1:$AC$643,23,False)</f>
        <v>113</v>
      </c>
      <c r="BG122" s="33">
        <f>VLOOKUP($O122,Eco_DEM_Data!$D$1:$AC$643,21,False)</f>
        <v>5756</v>
      </c>
      <c r="BH122" s="33">
        <f>VLOOKUP($O122,Eco_DEM_Data!$D$1:$AC$643,26,False)</f>
        <v>10</v>
      </c>
      <c r="BI122" s="33" t="str">
        <f>VLOOKUP($O122,Eco_DEM_Data!$D$1:$AC$643,9,False)</f>
        <v>Petén-Veracruz moist forests</v>
      </c>
      <c r="BJ122" s="33" t="str">
        <f>VLOOKUP($O122,Eco_DEM_Data!$D$1:$AC$643,11,False)</f>
        <v>Tropical &amp; Subtropical Moist Broadleaf Forests</v>
      </c>
    </row>
    <row r="123">
      <c r="A123" s="33" t="s">
        <v>195</v>
      </c>
      <c r="B123" s="33" t="s">
        <v>2259</v>
      </c>
      <c r="C123" s="34">
        <v>18.0</v>
      </c>
      <c r="D123" s="33" t="s">
        <v>53</v>
      </c>
      <c r="E123" s="34">
        <v>2002.0</v>
      </c>
      <c r="F123" s="33" t="s">
        <v>196</v>
      </c>
      <c r="G123" s="33" t="s">
        <v>197</v>
      </c>
      <c r="H123" s="33" t="s">
        <v>198</v>
      </c>
      <c r="I123" s="33" t="s">
        <v>199</v>
      </c>
      <c r="J123" s="33" t="s">
        <v>200</v>
      </c>
      <c r="K123" s="34">
        <v>48.0</v>
      </c>
      <c r="L123" s="34">
        <v>4.0</v>
      </c>
      <c r="M123" s="6" t="s">
        <v>201</v>
      </c>
      <c r="N123" s="35" t="s">
        <v>60</v>
      </c>
      <c r="O123" s="33" t="s">
        <v>669</v>
      </c>
      <c r="P123" s="36" t="s">
        <v>62</v>
      </c>
      <c r="Q123" s="36" t="s">
        <v>187</v>
      </c>
      <c r="R123" s="36" t="s">
        <v>212</v>
      </c>
      <c r="S123" s="37">
        <v>17.98935</v>
      </c>
      <c r="T123" s="37">
        <v>-88.466374</v>
      </c>
      <c r="U123" s="36" t="s">
        <v>114</v>
      </c>
      <c r="V123" s="6" t="s">
        <v>189</v>
      </c>
      <c r="W123" s="33" t="s">
        <v>276</v>
      </c>
      <c r="X123" s="1" t="s">
        <v>666</v>
      </c>
      <c r="Y123" s="33" t="s">
        <v>70</v>
      </c>
      <c r="Z123" s="36"/>
      <c r="AA123" s="37"/>
      <c r="AB123" s="36"/>
      <c r="AC123" s="37">
        <v>13.0</v>
      </c>
      <c r="AD123" s="36"/>
      <c r="AE123" s="36"/>
      <c r="AF123" s="36"/>
      <c r="AG123" s="36"/>
      <c r="AH123" s="36"/>
      <c r="AI123" s="37">
        <v>1857.0</v>
      </c>
      <c r="AJ123" s="37">
        <v>1998.0</v>
      </c>
      <c r="AK123" s="6" t="s">
        <v>153</v>
      </c>
      <c r="AL123" s="6" t="s">
        <v>60</v>
      </c>
      <c r="AM123" s="6" t="s">
        <v>72</v>
      </c>
      <c r="AN123" s="6" t="s">
        <v>101</v>
      </c>
      <c r="AO123" s="33"/>
      <c r="AP123" s="6" t="s">
        <v>75</v>
      </c>
      <c r="AQ123" s="33"/>
      <c r="AR123" s="33"/>
      <c r="AS123" s="33"/>
      <c r="AT123" s="6" t="s">
        <v>76</v>
      </c>
      <c r="AU123" s="33"/>
      <c r="AV123" s="33"/>
      <c r="AW123" s="33"/>
      <c r="AX123" s="33"/>
      <c r="AY123" s="33"/>
      <c r="AZ123" s="6" t="s">
        <v>76</v>
      </c>
      <c r="BA123" s="33"/>
      <c r="BB123" s="33">
        <f>VLOOKUP(O123,Eco_DEM_Data!$D$1:$AC$643,20,False)</f>
        <v>1563</v>
      </c>
      <c r="BC123" s="33">
        <f>VLOOKUP($O123,Eco_DEM_Data!$D$1:$AC$643,20,False)</f>
        <v>1563</v>
      </c>
      <c r="BD123" s="33">
        <f>VLOOKUP($O123,Eco_DEM_Data!$D$1:$AC$643,25,False)</f>
        <v>606</v>
      </c>
      <c r="BE123" s="33">
        <f>VLOOKUP($O123,Eco_DEM_Data!$D$1:$AC$643,22,False)</f>
        <v>40</v>
      </c>
      <c r="BF123" s="33">
        <f>VLOOKUP($O123,Eco_DEM_Data!$D$1:$AC$643,23,False)</f>
        <v>126</v>
      </c>
      <c r="BG123" s="33">
        <f>VLOOKUP($O123,Eco_DEM_Data!$D$1:$AC$643,21,False)</f>
        <v>5565</v>
      </c>
      <c r="BH123" s="33">
        <f>VLOOKUP($O123,Eco_DEM_Data!$D$1:$AC$643,26,False)</f>
        <v>20</v>
      </c>
      <c r="BI123" s="33" t="str">
        <f>VLOOKUP($O123,Eco_DEM_Data!$D$1:$AC$643,9,False)</f>
        <v>Petén-Veracruz moist forests</v>
      </c>
      <c r="BJ123" s="33" t="str">
        <f>VLOOKUP($O123,Eco_DEM_Data!$D$1:$AC$643,11,False)</f>
        <v>Tropical &amp; Subtropical Moist Broadleaf Forests</v>
      </c>
    </row>
    <row r="124">
      <c r="A124" s="33" t="s">
        <v>195</v>
      </c>
      <c r="B124" s="33" t="s">
        <v>2259</v>
      </c>
      <c r="C124" s="34">
        <v>18.0</v>
      </c>
      <c r="D124" s="33" t="s">
        <v>53</v>
      </c>
      <c r="E124" s="34">
        <v>2002.0</v>
      </c>
      <c r="F124" s="33" t="s">
        <v>196</v>
      </c>
      <c r="G124" s="33" t="s">
        <v>197</v>
      </c>
      <c r="H124" s="33" t="s">
        <v>198</v>
      </c>
      <c r="I124" s="33" t="s">
        <v>199</v>
      </c>
      <c r="J124" s="33" t="s">
        <v>200</v>
      </c>
      <c r="K124" s="34">
        <v>48.0</v>
      </c>
      <c r="L124" s="34">
        <v>4.0</v>
      </c>
      <c r="M124" s="6" t="s">
        <v>201</v>
      </c>
      <c r="N124" s="35" t="s">
        <v>60</v>
      </c>
      <c r="O124" s="33" t="s">
        <v>670</v>
      </c>
      <c r="P124" s="36" t="s">
        <v>62</v>
      </c>
      <c r="Q124" s="36" t="s">
        <v>187</v>
      </c>
      <c r="R124" s="36" t="s">
        <v>214</v>
      </c>
      <c r="S124" s="37">
        <v>17.988299</v>
      </c>
      <c r="T124" s="37">
        <v>-88.511265</v>
      </c>
      <c r="U124" s="36" t="s">
        <v>114</v>
      </c>
      <c r="V124" s="6" t="s">
        <v>189</v>
      </c>
      <c r="W124" s="33" t="s">
        <v>276</v>
      </c>
      <c r="X124" s="1" t="s">
        <v>666</v>
      </c>
      <c r="Y124" s="33" t="s">
        <v>70</v>
      </c>
      <c r="Z124" s="36"/>
      <c r="AA124" s="37"/>
      <c r="AB124" s="36"/>
      <c r="AC124" s="37">
        <v>13.0</v>
      </c>
      <c r="AD124" s="36"/>
      <c r="AE124" s="36"/>
      <c r="AF124" s="36"/>
      <c r="AG124" s="36"/>
      <c r="AH124" s="36"/>
      <c r="AI124" s="37">
        <v>1868.0</v>
      </c>
      <c r="AJ124" s="37">
        <v>1998.0</v>
      </c>
      <c r="AK124" s="6" t="s">
        <v>153</v>
      </c>
      <c r="AL124" s="6" t="s">
        <v>60</v>
      </c>
      <c r="AM124" s="6" t="s">
        <v>72</v>
      </c>
      <c r="AN124" s="6" t="s">
        <v>101</v>
      </c>
      <c r="AO124" s="33"/>
      <c r="AP124" s="6" t="s">
        <v>75</v>
      </c>
      <c r="AQ124" s="33"/>
      <c r="AR124" s="33"/>
      <c r="AS124" s="33"/>
      <c r="AT124" s="6" t="s">
        <v>76</v>
      </c>
      <c r="AU124" s="33"/>
      <c r="AV124" s="33"/>
      <c r="AW124" s="33"/>
      <c r="AX124" s="33"/>
      <c r="AY124" s="33"/>
      <c r="AZ124" s="6" t="s">
        <v>76</v>
      </c>
      <c r="BA124" s="33"/>
      <c r="BB124" s="33">
        <f>VLOOKUP(O124,Eco_DEM_Data!$D$1:$AC$643,20,False)</f>
        <v>1550</v>
      </c>
      <c r="BC124" s="33">
        <f>VLOOKUP($O124,Eco_DEM_Data!$D$1:$AC$643,20,False)</f>
        <v>1550</v>
      </c>
      <c r="BD124" s="33">
        <f>VLOOKUP($O124,Eco_DEM_Data!$D$1:$AC$643,25,False)</f>
        <v>608</v>
      </c>
      <c r="BE124" s="33">
        <f>VLOOKUP($O124,Eco_DEM_Data!$D$1:$AC$643,22,False)</f>
        <v>38</v>
      </c>
      <c r="BF124" s="33">
        <f>VLOOKUP($O124,Eco_DEM_Data!$D$1:$AC$643,23,False)</f>
        <v>124</v>
      </c>
      <c r="BG124" s="33">
        <f>VLOOKUP($O124,Eco_DEM_Data!$D$1:$AC$643,21,False)</f>
        <v>5599</v>
      </c>
      <c r="BH124" s="33">
        <f>VLOOKUP($O124,Eco_DEM_Data!$D$1:$AC$643,26,False)</f>
        <v>41</v>
      </c>
      <c r="BI124" s="33" t="str">
        <f>VLOOKUP($O124,Eco_DEM_Data!$D$1:$AC$643,9,False)</f>
        <v>Petén-Veracruz moist forests</v>
      </c>
      <c r="BJ124" s="33" t="str">
        <f>VLOOKUP($O124,Eco_DEM_Data!$D$1:$AC$643,11,False)</f>
        <v>Tropical &amp; Subtropical Moist Broadleaf Forests</v>
      </c>
    </row>
    <row r="125">
      <c r="A125" s="33" t="s">
        <v>195</v>
      </c>
      <c r="B125" s="33" t="s">
        <v>2259</v>
      </c>
      <c r="C125" s="34">
        <v>18.0</v>
      </c>
      <c r="D125" s="33" t="s">
        <v>53</v>
      </c>
      <c r="E125" s="34">
        <v>2002.0</v>
      </c>
      <c r="F125" s="33" t="s">
        <v>196</v>
      </c>
      <c r="G125" s="33" t="s">
        <v>197</v>
      </c>
      <c r="H125" s="33" t="s">
        <v>198</v>
      </c>
      <c r="I125" s="33" t="s">
        <v>199</v>
      </c>
      <c r="J125" s="33" t="s">
        <v>200</v>
      </c>
      <c r="K125" s="34">
        <v>48.0</v>
      </c>
      <c r="L125" s="34">
        <v>4.0</v>
      </c>
      <c r="M125" s="6" t="s">
        <v>201</v>
      </c>
      <c r="N125" s="35" t="s">
        <v>60</v>
      </c>
      <c r="O125" s="33" t="s">
        <v>671</v>
      </c>
      <c r="P125" s="36" t="s">
        <v>62</v>
      </c>
      <c r="Q125" s="36" t="s">
        <v>187</v>
      </c>
      <c r="R125" s="36" t="s">
        <v>216</v>
      </c>
      <c r="S125" s="37">
        <v>17.986626</v>
      </c>
      <c r="T125" s="37">
        <v>-88.417657</v>
      </c>
      <c r="U125" s="36" t="s">
        <v>114</v>
      </c>
      <c r="V125" s="6" t="s">
        <v>189</v>
      </c>
      <c r="W125" s="33" t="s">
        <v>276</v>
      </c>
      <c r="X125" s="1" t="s">
        <v>666</v>
      </c>
      <c r="Y125" s="33" t="s">
        <v>70</v>
      </c>
      <c r="Z125" s="36"/>
      <c r="AA125" s="37"/>
      <c r="AB125" s="36"/>
      <c r="AC125" s="37">
        <v>14.0</v>
      </c>
      <c r="AD125" s="36"/>
      <c r="AE125" s="36"/>
      <c r="AF125" s="36"/>
      <c r="AG125" s="36"/>
      <c r="AH125" s="36"/>
      <c r="AI125" s="37">
        <v>1855.0</v>
      </c>
      <c r="AJ125" s="37">
        <v>1998.0</v>
      </c>
      <c r="AK125" s="6" t="s">
        <v>153</v>
      </c>
      <c r="AL125" s="6" t="s">
        <v>60</v>
      </c>
      <c r="AM125" s="6" t="s">
        <v>72</v>
      </c>
      <c r="AN125" s="6" t="s">
        <v>101</v>
      </c>
      <c r="AO125" s="33"/>
      <c r="AP125" s="6" t="s">
        <v>75</v>
      </c>
      <c r="AQ125" s="33"/>
      <c r="AR125" s="33"/>
      <c r="AS125" s="33"/>
      <c r="AT125" s="6" t="s">
        <v>76</v>
      </c>
      <c r="AU125" s="33"/>
      <c r="AV125" s="33"/>
      <c r="AW125" s="33"/>
      <c r="AX125" s="33"/>
      <c r="AY125" s="33"/>
      <c r="AZ125" s="6" t="s">
        <v>76</v>
      </c>
      <c r="BA125" s="33"/>
      <c r="BB125" s="33">
        <f>VLOOKUP(O125,Eco_DEM_Data!$D$1:$AC$643,20,False)</f>
        <v>1575</v>
      </c>
      <c r="BC125" s="33">
        <f>VLOOKUP($O125,Eco_DEM_Data!$D$1:$AC$643,20,False)</f>
        <v>1575</v>
      </c>
      <c r="BD125" s="33">
        <f>VLOOKUP($O125,Eco_DEM_Data!$D$1:$AC$643,25,False)</f>
        <v>608</v>
      </c>
      <c r="BE125" s="33">
        <f>VLOOKUP($O125,Eco_DEM_Data!$D$1:$AC$643,22,False)</f>
        <v>40</v>
      </c>
      <c r="BF125" s="33">
        <f>VLOOKUP($O125,Eco_DEM_Data!$D$1:$AC$643,23,False)</f>
        <v>126</v>
      </c>
      <c r="BG125" s="33">
        <f>VLOOKUP($O125,Eco_DEM_Data!$D$1:$AC$643,21,False)</f>
        <v>5511</v>
      </c>
      <c r="BH125" s="33">
        <f>VLOOKUP($O125,Eco_DEM_Data!$D$1:$AC$643,26,False)</f>
        <v>18</v>
      </c>
      <c r="BI125" s="33" t="str">
        <f>VLOOKUP($O125,Eco_DEM_Data!$D$1:$AC$643,9,False)</f>
        <v>Petén-Veracruz moist forests</v>
      </c>
      <c r="BJ125" s="33" t="str">
        <f>VLOOKUP($O125,Eco_DEM_Data!$D$1:$AC$643,11,False)</f>
        <v>Tropical &amp; Subtropical Moist Broadleaf Forests</v>
      </c>
    </row>
    <row r="126">
      <c r="A126" s="33" t="s">
        <v>195</v>
      </c>
      <c r="B126" s="33" t="s">
        <v>2259</v>
      </c>
      <c r="C126" s="34">
        <v>18.0</v>
      </c>
      <c r="D126" s="33" t="s">
        <v>53</v>
      </c>
      <c r="E126" s="34">
        <v>2002.0</v>
      </c>
      <c r="F126" s="33" t="s">
        <v>196</v>
      </c>
      <c r="G126" s="33" t="s">
        <v>197</v>
      </c>
      <c r="H126" s="33" t="s">
        <v>198</v>
      </c>
      <c r="I126" s="33" t="s">
        <v>199</v>
      </c>
      <c r="J126" s="33" t="s">
        <v>200</v>
      </c>
      <c r="K126" s="34">
        <v>48.0</v>
      </c>
      <c r="L126" s="34">
        <v>4.0</v>
      </c>
      <c r="M126" s="6" t="s">
        <v>201</v>
      </c>
      <c r="N126" s="35" t="s">
        <v>60</v>
      </c>
      <c r="O126" s="33" t="s">
        <v>202</v>
      </c>
      <c r="P126" s="36" t="s">
        <v>62</v>
      </c>
      <c r="Q126" s="36" t="s">
        <v>187</v>
      </c>
      <c r="R126" s="36" t="s">
        <v>203</v>
      </c>
      <c r="S126" s="37">
        <v>18.441426</v>
      </c>
      <c r="T126" s="37">
        <v>-88.476495</v>
      </c>
      <c r="U126" s="36" t="s">
        <v>114</v>
      </c>
      <c r="V126" s="38" t="s">
        <v>204</v>
      </c>
      <c r="W126" s="6" t="s">
        <v>205</v>
      </c>
      <c r="X126" s="1" t="s">
        <v>206</v>
      </c>
      <c r="Y126" s="6" t="s">
        <v>83</v>
      </c>
      <c r="Z126" s="36"/>
      <c r="AA126" s="37"/>
      <c r="AB126" s="36"/>
      <c r="AC126" s="37">
        <v>13.0</v>
      </c>
      <c r="AD126" s="36"/>
      <c r="AE126" s="36"/>
      <c r="AF126" s="36"/>
      <c r="AG126" s="36"/>
      <c r="AH126" s="36"/>
      <c r="AI126" s="37">
        <v>1889.0</v>
      </c>
      <c r="AJ126" s="37">
        <v>1998.0</v>
      </c>
      <c r="AK126" s="6" t="s">
        <v>153</v>
      </c>
      <c r="AL126" s="6" t="s">
        <v>60</v>
      </c>
      <c r="AM126" s="6" t="s">
        <v>72</v>
      </c>
      <c r="AN126" s="6" t="s">
        <v>101</v>
      </c>
      <c r="AO126" s="33"/>
      <c r="AP126" s="6" t="s">
        <v>75</v>
      </c>
      <c r="AQ126" s="33"/>
      <c r="AR126" s="33"/>
      <c r="AS126" s="33"/>
      <c r="AT126" s="6" t="s">
        <v>76</v>
      </c>
      <c r="AU126" s="33"/>
      <c r="AV126" s="33"/>
      <c r="AW126" s="33"/>
      <c r="AX126" s="33"/>
      <c r="AY126" s="33"/>
      <c r="AZ126" s="6" t="s">
        <v>76</v>
      </c>
      <c r="BA126" s="33"/>
      <c r="BB126" s="33">
        <f>VLOOKUP(O126,Eco_DEM_Data!$D$1:$AC$643,20,False)</f>
        <v>1213</v>
      </c>
      <c r="BC126" s="33">
        <f>VLOOKUP($O126,Eco_DEM_Data!$D$1:$AC$643,20,False)</f>
        <v>1213</v>
      </c>
      <c r="BD126" s="33">
        <f>VLOOKUP($O126,Eco_DEM_Data!$D$1:$AC$643,25,False)</f>
        <v>500</v>
      </c>
      <c r="BE126" s="33">
        <f>VLOOKUP($O126,Eco_DEM_Data!$D$1:$AC$643,22,False)</f>
        <v>23</v>
      </c>
      <c r="BF126" s="33">
        <f>VLOOKUP($O126,Eco_DEM_Data!$D$1:$AC$643,23,False)</f>
        <v>86</v>
      </c>
      <c r="BG126" s="33">
        <f>VLOOKUP($O126,Eco_DEM_Data!$D$1:$AC$643,21,False)</f>
        <v>6265</v>
      </c>
      <c r="BH126" s="33">
        <f>VLOOKUP($O126,Eco_DEM_Data!$D$1:$AC$643,26,False)</f>
        <v>3</v>
      </c>
      <c r="BI126" s="33" t="str">
        <f>VLOOKUP($O126,Eco_DEM_Data!$D$1:$AC$643,9,False)</f>
        <v>Petén-Veracruz moist forests</v>
      </c>
      <c r="BJ126" s="33" t="str">
        <f>VLOOKUP($O126,Eco_DEM_Data!$D$1:$AC$643,11,False)</f>
        <v>Tropical &amp; Subtropical Moist Broadleaf Forests</v>
      </c>
    </row>
    <row r="127">
      <c r="A127" s="33" t="s">
        <v>195</v>
      </c>
      <c r="B127" s="33" t="s">
        <v>2259</v>
      </c>
      <c r="C127" s="34">
        <v>18.0</v>
      </c>
      <c r="D127" s="33" t="s">
        <v>53</v>
      </c>
      <c r="E127" s="34">
        <v>2002.0</v>
      </c>
      <c r="F127" s="33" t="s">
        <v>196</v>
      </c>
      <c r="G127" s="33" t="s">
        <v>197</v>
      </c>
      <c r="H127" s="33" t="s">
        <v>198</v>
      </c>
      <c r="I127" s="33" t="s">
        <v>199</v>
      </c>
      <c r="J127" s="33" t="s">
        <v>200</v>
      </c>
      <c r="K127" s="34">
        <v>48.0</v>
      </c>
      <c r="L127" s="34">
        <v>4.0</v>
      </c>
      <c r="M127" s="6" t="s">
        <v>201</v>
      </c>
      <c r="N127" s="35" t="s">
        <v>60</v>
      </c>
      <c r="O127" s="33" t="s">
        <v>207</v>
      </c>
      <c r="P127" s="36" t="s">
        <v>62</v>
      </c>
      <c r="Q127" s="36" t="s">
        <v>187</v>
      </c>
      <c r="R127" s="36" t="s">
        <v>208</v>
      </c>
      <c r="S127" s="37">
        <v>18.385586</v>
      </c>
      <c r="T127" s="37">
        <v>-88.470017</v>
      </c>
      <c r="U127" s="36" t="s">
        <v>114</v>
      </c>
      <c r="V127" s="38" t="s">
        <v>204</v>
      </c>
      <c r="W127" s="6" t="s">
        <v>205</v>
      </c>
      <c r="X127" s="1" t="s">
        <v>206</v>
      </c>
      <c r="Y127" s="6" t="s">
        <v>83</v>
      </c>
      <c r="Z127" s="36"/>
      <c r="AA127" s="37"/>
      <c r="AB127" s="36"/>
      <c r="AC127" s="37">
        <v>15.0</v>
      </c>
      <c r="AD127" s="36"/>
      <c r="AE127" s="36"/>
      <c r="AF127" s="36"/>
      <c r="AG127" s="36"/>
      <c r="AH127" s="36"/>
      <c r="AI127" s="37">
        <v>1880.0</v>
      </c>
      <c r="AJ127" s="37">
        <v>1998.0</v>
      </c>
      <c r="AK127" s="6" t="s">
        <v>153</v>
      </c>
      <c r="AL127" s="6" t="s">
        <v>60</v>
      </c>
      <c r="AM127" s="6" t="s">
        <v>72</v>
      </c>
      <c r="AN127" s="6" t="s">
        <v>101</v>
      </c>
      <c r="AO127" s="33"/>
      <c r="AP127" s="6" t="s">
        <v>75</v>
      </c>
      <c r="AQ127" s="33"/>
      <c r="AR127" s="33"/>
      <c r="AS127" s="33"/>
      <c r="AT127" s="6" t="s">
        <v>76</v>
      </c>
      <c r="AU127" s="33"/>
      <c r="AV127" s="33"/>
      <c r="AW127" s="33"/>
      <c r="AX127" s="33"/>
      <c r="AY127" s="33"/>
      <c r="AZ127" s="6" t="s">
        <v>76</v>
      </c>
      <c r="BA127" s="33"/>
      <c r="BB127" s="33">
        <f>VLOOKUP(O127,Eco_DEM_Data!$D$1:$AC$643,20,False)</f>
        <v>1249</v>
      </c>
      <c r="BC127" s="33">
        <f>VLOOKUP($O127,Eco_DEM_Data!$D$1:$AC$643,20,False)</f>
        <v>1249</v>
      </c>
      <c r="BD127" s="33">
        <f>VLOOKUP($O127,Eco_DEM_Data!$D$1:$AC$643,25,False)</f>
        <v>516</v>
      </c>
      <c r="BE127" s="33">
        <f>VLOOKUP($O127,Eco_DEM_Data!$D$1:$AC$643,22,False)</f>
        <v>23</v>
      </c>
      <c r="BF127" s="33">
        <f>VLOOKUP($O127,Eco_DEM_Data!$D$1:$AC$643,23,False)</f>
        <v>86</v>
      </c>
      <c r="BG127" s="33">
        <f>VLOOKUP($O127,Eco_DEM_Data!$D$1:$AC$643,21,False)</f>
        <v>6353</v>
      </c>
      <c r="BH127" s="33">
        <f>VLOOKUP($O127,Eco_DEM_Data!$D$1:$AC$643,26,False)</f>
        <v>14</v>
      </c>
      <c r="BI127" s="33" t="str">
        <f>VLOOKUP($O127,Eco_DEM_Data!$D$1:$AC$643,9,False)</f>
        <v>Petén-Veracruz moist forests</v>
      </c>
      <c r="BJ127" s="33" t="str">
        <f>VLOOKUP($O127,Eco_DEM_Data!$D$1:$AC$643,11,False)</f>
        <v>Tropical &amp; Subtropical Moist Broadleaf Forests</v>
      </c>
    </row>
    <row r="128">
      <c r="A128" s="33" t="s">
        <v>195</v>
      </c>
      <c r="B128" s="33" t="s">
        <v>2259</v>
      </c>
      <c r="C128" s="34">
        <v>18.0</v>
      </c>
      <c r="D128" s="33" t="s">
        <v>53</v>
      </c>
      <c r="E128" s="34">
        <v>2002.0</v>
      </c>
      <c r="F128" s="33" t="s">
        <v>196</v>
      </c>
      <c r="G128" s="33" t="s">
        <v>197</v>
      </c>
      <c r="H128" s="33" t="s">
        <v>198</v>
      </c>
      <c r="I128" s="33" t="s">
        <v>199</v>
      </c>
      <c r="J128" s="33" t="s">
        <v>200</v>
      </c>
      <c r="K128" s="34">
        <v>48.0</v>
      </c>
      <c r="L128" s="34">
        <v>4.0</v>
      </c>
      <c r="M128" s="6" t="s">
        <v>201</v>
      </c>
      <c r="N128" s="35" t="s">
        <v>60</v>
      </c>
      <c r="O128" s="33" t="s">
        <v>209</v>
      </c>
      <c r="P128" s="36" t="s">
        <v>62</v>
      </c>
      <c r="Q128" s="36" t="s">
        <v>187</v>
      </c>
      <c r="R128" s="36" t="s">
        <v>210</v>
      </c>
      <c r="S128" s="37">
        <v>18.0866</v>
      </c>
      <c r="T128" s="37">
        <v>-88.448328</v>
      </c>
      <c r="U128" s="36" t="s">
        <v>114</v>
      </c>
      <c r="V128" s="38" t="s">
        <v>204</v>
      </c>
      <c r="W128" s="6" t="s">
        <v>205</v>
      </c>
      <c r="X128" s="1" t="s">
        <v>206</v>
      </c>
      <c r="Y128" s="6" t="s">
        <v>83</v>
      </c>
      <c r="Z128" s="36"/>
      <c r="AA128" s="37"/>
      <c r="AB128" s="36"/>
      <c r="AC128" s="37">
        <v>15.0</v>
      </c>
      <c r="AD128" s="36"/>
      <c r="AE128" s="36"/>
      <c r="AF128" s="36"/>
      <c r="AG128" s="36"/>
      <c r="AH128" s="36"/>
      <c r="AI128" s="37">
        <v>1898.0</v>
      </c>
      <c r="AJ128" s="37">
        <v>1998.0</v>
      </c>
      <c r="AK128" s="6" t="s">
        <v>153</v>
      </c>
      <c r="AL128" s="6" t="s">
        <v>60</v>
      </c>
      <c r="AM128" s="6" t="s">
        <v>72</v>
      </c>
      <c r="AN128" s="6" t="s">
        <v>101</v>
      </c>
      <c r="AO128" s="33"/>
      <c r="AP128" s="6" t="s">
        <v>75</v>
      </c>
      <c r="AQ128" s="33"/>
      <c r="AR128" s="33"/>
      <c r="AS128" s="33"/>
      <c r="AT128" s="6" t="s">
        <v>76</v>
      </c>
      <c r="AU128" s="33"/>
      <c r="AV128" s="33"/>
      <c r="AW128" s="33"/>
      <c r="AX128" s="33"/>
      <c r="AY128" s="33"/>
      <c r="AZ128" s="6" t="s">
        <v>76</v>
      </c>
      <c r="BA128" s="33"/>
      <c r="BB128" s="33">
        <f>VLOOKUP(O128,Eco_DEM_Data!$D$1:$AC$643,20,False)</f>
        <v>1484</v>
      </c>
      <c r="BC128" s="33">
        <f>VLOOKUP($O128,Eco_DEM_Data!$D$1:$AC$643,20,False)</f>
        <v>1484</v>
      </c>
      <c r="BD128" s="33">
        <f>VLOOKUP($O128,Eco_DEM_Data!$D$1:$AC$643,25,False)</f>
        <v>582</v>
      </c>
      <c r="BE128" s="33">
        <f>VLOOKUP($O128,Eco_DEM_Data!$D$1:$AC$643,22,False)</f>
        <v>33</v>
      </c>
      <c r="BF128" s="33">
        <f>VLOOKUP($O128,Eco_DEM_Data!$D$1:$AC$643,23,False)</f>
        <v>113</v>
      </c>
      <c r="BG128" s="33">
        <f>VLOOKUP($O128,Eco_DEM_Data!$D$1:$AC$643,21,False)</f>
        <v>5756</v>
      </c>
      <c r="BH128" s="33">
        <f>VLOOKUP($O128,Eco_DEM_Data!$D$1:$AC$643,26,False)</f>
        <v>10</v>
      </c>
      <c r="BI128" s="33" t="str">
        <f>VLOOKUP($O128,Eco_DEM_Data!$D$1:$AC$643,9,False)</f>
        <v>Petén-Veracruz moist forests</v>
      </c>
      <c r="BJ128" s="33" t="str">
        <f>VLOOKUP($O128,Eco_DEM_Data!$D$1:$AC$643,11,False)</f>
        <v>Tropical &amp; Subtropical Moist Broadleaf Forests</v>
      </c>
    </row>
    <row r="129">
      <c r="A129" s="33" t="s">
        <v>195</v>
      </c>
      <c r="B129" s="33" t="s">
        <v>2259</v>
      </c>
      <c r="C129" s="34">
        <v>18.0</v>
      </c>
      <c r="D129" s="33" t="s">
        <v>53</v>
      </c>
      <c r="E129" s="34">
        <v>2002.0</v>
      </c>
      <c r="F129" s="33" t="s">
        <v>196</v>
      </c>
      <c r="G129" s="33" t="s">
        <v>197</v>
      </c>
      <c r="H129" s="33" t="s">
        <v>198</v>
      </c>
      <c r="I129" s="33" t="s">
        <v>199</v>
      </c>
      <c r="J129" s="33" t="s">
        <v>200</v>
      </c>
      <c r="K129" s="34">
        <v>48.0</v>
      </c>
      <c r="L129" s="34">
        <v>4.0</v>
      </c>
      <c r="M129" s="6" t="s">
        <v>201</v>
      </c>
      <c r="N129" s="35" t="s">
        <v>60</v>
      </c>
      <c r="O129" s="33" t="s">
        <v>211</v>
      </c>
      <c r="P129" s="36" t="s">
        <v>62</v>
      </c>
      <c r="Q129" s="36" t="s">
        <v>187</v>
      </c>
      <c r="R129" s="36" t="s">
        <v>212</v>
      </c>
      <c r="S129" s="37">
        <v>17.98935</v>
      </c>
      <c r="T129" s="37">
        <v>-88.466374</v>
      </c>
      <c r="U129" s="36" t="s">
        <v>114</v>
      </c>
      <c r="V129" s="38" t="s">
        <v>204</v>
      </c>
      <c r="W129" s="6" t="s">
        <v>205</v>
      </c>
      <c r="X129" s="1" t="s">
        <v>206</v>
      </c>
      <c r="Y129" s="6" t="s">
        <v>83</v>
      </c>
      <c r="Z129" s="36"/>
      <c r="AA129" s="37"/>
      <c r="AB129" s="36"/>
      <c r="AC129" s="37">
        <v>13.0</v>
      </c>
      <c r="AD129" s="36"/>
      <c r="AE129" s="36"/>
      <c r="AF129" s="36"/>
      <c r="AG129" s="36"/>
      <c r="AH129" s="36"/>
      <c r="AI129" s="37">
        <v>1857.0</v>
      </c>
      <c r="AJ129" s="37">
        <v>1998.0</v>
      </c>
      <c r="AK129" s="6" t="s">
        <v>153</v>
      </c>
      <c r="AL129" s="6" t="s">
        <v>60</v>
      </c>
      <c r="AM129" s="6" t="s">
        <v>72</v>
      </c>
      <c r="AN129" s="6" t="s">
        <v>101</v>
      </c>
      <c r="AO129" s="33"/>
      <c r="AP129" s="6" t="s">
        <v>75</v>
      </c>
      <c r="AQ129" s="33"/>
      <c r="AR129" s="33"/>
      <c r="AS129" s="33"/>
      <c r="AT129" s="6" t="s">
        <v>76</v>
      </c>
      <c r="AU129" s="33"/>
      <c r="AV129" s="33"/>
      <c r="AW129" s="33"/>
      <c r="AX129" s="33"/>
      <c r="AY129" s="33"/>
      <c r="AZ129" s="6" t="s">
        <v>76</v>
      </c>
      <c r="BA129" s="33"/>
      <c r="BB129" s="33">
        <f>VLOOKUP(O129,Eco_DEM_Data!$D$1:$AC$643,20,False)</f>
        <v>1563</v>
      </c>
      <c r="BC129" s="33">
        <f>VLOOKUP($O129,Eco_DEM_Data!$D$1:$AC$643,20,False)</f>
        <v>1563</v>
      </c>
      <c r="BD129" s="33">
        <f>VLOOKUP($O129,Eco_DEM_Data!$D$1:$AC$643,25,False)</f>
        <v>606</v>
      </c>
      <c r="BE129" s="33">
        <f>VLOOKUP($O129,Eco_DEM_Data!$D$1:$AC$643,22,False)</f>
        <v>40</v>
      </c>
      <c r="BF129" s="33">
        <f>VLOOKUP($O129,Eco_DEM_Data!$D$1:$AC$643,23,False)</f>
        <v>126</v>
      </c>
      <c r="BG129" s="33">
        <f>VLOOKUP($O129,Eco_DEM_Data!$D$1:$AC$643,21,False)</f>
        <v>5565</v>
      </c>
      <c r="BH129" s="33">
        <f>VLOOKUP($O129,Eco_DEM_Data!$D$1:$AC$643,26,False)</f>
        <v>20</v>
      </c>
      <c r="BI129" s="33" t="str">
        <f>VLOOKUP($O129,Eco_DEM_Data!$D$1:$AC$643,9,False)</f>
        <v>Petén-Veracruz moist forests</v>
      </c>
      <c r="BJ129" s="33" t="str">
        <f>VLOOKUP($O129,Eco_DEM_Data!$D$1:$AC$643,11,False)</f>
        <v>Tropical &amp; Subtropical Moist Broadleaf Forests</v>
      </c>
    </row>
    <row r="130">
      <c r="A130" s="33" t="s">
        <v>195</v>
      </c>
      <c r="B130" s="33" t="s">
        <v>2259</v>
      </c>
      <c r="C130" s="34">
        <v>18.0</v>
      </c>
      <c r="D130" s="33" t="s">
        <v>53</v>
      </c>
      <c r="E130" s="34">
        <v>2002.0</v>
      </c>
      <c r="F130" s="33" t="s">
        <v>196</v>
      </c>
      <c r="G130" s="33" t="s">
        <v>197</v>
      </c>
      <c r="H130" s="33" t="s">
        <v>198</v>
      </c>
      <c r="I130" s="33" t="s">
        <v>199</v>
      </c>
      <c r="J130" s="33" t="s">
        <v>200</v>
      </c>
      <c r="K130" s="34">
        <v>48.0</v>
      </c>
      <c r="L130" s="34">
        <v>4.0</v>
      </c>
      <c r="M130" s="6" t="s">
        <v>201</v>
      </c>
      <c r="N130" s="35" t="s">
        <v>60</v>
      </c>
      <c r="O130" s="33" t="s">
        <v>213</v>
      </c>
      <c r="P130" s="36" t="s">
        <v>62</v>
      </c>
      <c r="Q130" s="36" t="s">
        <v>187</v>
      </c>
      <c r="R130" s="36" t="s">
        <v>214</v>
      </c>
      <c r="S130" s="37">
        <v>17.988299</v>
      </c>
      <c r="T130" s="37">
        <v>-88.511265</v>
      </c>
      <c r="U130" s="36" t="s">
        <v>114</v>
      </c>
      <c r="V130" s="38" t="s">
        <v>204</v>
      </c>
      <c r="W130" s="6" t="s">
        <v>205</v>
      </c>
      <c r="X130" s="1" t="s">
        <v>206</v>
      </c>
      <c r="Y130" s="6" t="s">
        <v>83</v>
      </c>
      <c r="Z130" s="36"/>
      <c r="AA130" s="37"/>
      <c r="AB130" s="36"/>
      <c r="AC130" s="37">
        <v>13.0</v>
      </c>
      <c r="AD130" s="36"/>
      <c r="AE130" s="36"/>
      <c r="AF130" s="36"/>
      <c r="AG130" s="36"/>
      <c r="AH130" s="36"/>
      <c r="AI130" s="37">
        <v>1868.0</v>
      </c>
      <c r="AJ130" s="37">
        <v>1998.0</v>
      </c>
      <c r="AK130" s="6" t="s">
        <v>153</v>
      </c>
      <c r="AL130" s="6" t="s">
        <v>60</v>
      </c>
      <c r="AM130" s="6" t="s">
        <v>72</v>
      </c>
      <c r="AN130" s="6" t="s">
        <v>101</v>
      </c>
      <c r="AO130" s="33"/>
      <c r="AP130" s="6" t="s">
        <v>75</v>
      </c>
      <c r="AQ130" s="33"/>
      <c r="AR130" s="33"/>
      <c r="AS130" s="33"/>
      <c r="AT130" s="6" t="s">
        <v>76</v>
      </c>
      <c r="AU130" s="33"/>
      <c r="AV130" s="33"/>
      <c r="AW130" s="33"/>
      <c r="AX130" s="33"/>
      <c r="AY130" s="33"/>
      <c r="AZ130" s="6" t="s">
        <v>76</v>
      </c>
      <c r="BA130" s="33"/>
      <c r="BB130" s="33">
        <f>VLOOKUP(O130,Eco_DEM_Data!$D$1:$AC$643,20,False)</f>
        <v>1550</v>
      </c>
      <c r="BC130" s="33">
        <f>VLOOKUP($O130,Eco_DEM_Data!$D$1:$AC$643,20,False)</f>
        <v>1550</v>
      </c>
      <c r="BD130" s="33">
        <f>VLOOKUP($O130,Eco_DEM_Data!$D$1:$AC$643,25,False)</f>
        <v>608</v>
      </c>
      <c r="BE130" s="33">
        <f>VLOOKUP($O130,Eco_DEM_Data!$D$1:$AC$643,22,False)</f>
        <v>38</v>
      </c>
      <c r="BF130" s="33">
        <f>VLOOKUP($O130,Eco_DEM_Data!$D$1:$AC$643,23,False)</f>
        <v>124</v>
      </c>
      <c r="BG130" s="33">
        <f>VLOOKUP($O130,Eco_DEM_Data!$D$1:$AC$643,21,False)</f>
        <v>5599</v>
      </c>
      <c r="BH130" s="33">
        <f>VLOOKUP($O130,Eco_DEM_Data!$D$1:$AC$643,26,False)</f>
        <v>41</v>
      </c>
      <c r="BI130" s="33" t="str">
        <f>VLOOKUP($O130,Eco_DEM_Data!$D$1:$AC$643,9,False)</f>
        <v>Petén-Veracruz moist forests</v>
      </c>
      <c r="BJ130" s="33" t="str">
        <f>VLOOKUP($O130,Eco_DEM_Data!$D$1:$AC$643,11,False)</f>
        <v>Tropical &amp; Subtropical Moist Broadleaf Forests</v>
      </c>
    </row>
    <row r="131">
      <c r="A131" s="33" t="s">
        <v>195</v>
      </c>
      <c r="B131" s="33" t="s">
        <v>2259</v>
      </c>
      <c r="C131" s="34">
        <v>18.0</v>
      </c>
      <c r="D131" s="33" t="s">
        <v>53</v>
      </c>
      <c r="E131" s="34">
        <v>2002.0</v>
      </c>
      <c r="F131" s="33" t="s">
        <v>196</v>
      </c>
      <c r="G131" s="33" t="s">
        <v>197</v>
      </c>
      <c r="H131" s="33" t="s">
        <v>198</v>
      </c>
      <c r="I131" s="33" t="s">
        <v>199</v>
      </c>
      <c r="J131" s="33" t="s">
        <v>200</v>
      </c>
      <c r="K131" s="34">
        <v>48.0</v>
      </c>
      <c r="L131" s="34">
        <v>4.0</v>
      </c>
      <c r="M131" s="6" t="s">
        <v>201</v>
      </c>
      <c r="N131" s="35" t="s">
        <v>60</v>
      </c>
      <c r="O131" s="33" t="s">
        <v>215</v>
      </c>
      <c r="P131" s="36" t="s">
        <v>62</v>
      </c>
      <c r="Q131" s="36" t="s">
        <v>187</v>
      </c>
      <c r="R131" s="36" t="s">
        <v>216</v>
      </c>
      <c r="S131" s="37">
        <v>17.986626</v>
      </c>
      <c r="T131" s="37">
        <v>-88.417657</v>
      </c>
      <c r="U131" s="36" t="s">
        <v>114</v>
      </c>
      <c r="V131" s="38" t="s">
        <v>204</v>
      </c>
      <c r="W131" s="6" t="s">
        <v>205</v>
      </c>
      <c r="X131" s="1" t="s">
        <v>206</v>
      </c>
      <c r="Y131" s="6" t="s">
        <v>83</v>
      </c>
      <c r="Z131" s="36"/>
      <c r="AA131" s="37"/>
      <c r="AB131" s="36"/>
      <c r="AC131" s="37">
        <v>14.0</v>
      </c>
      <c r="AD131" s="36"/>
      <c r="AE131" s="36"/>
      <c r="AF131" s="36"/>
      <c r="AG131" s="36"/>
      <c r="AH131" s="36"/>
      <c r="AI131" s="37">
        <v>1855.0</v>
      </c>
      <c r="AJ131" s="37">
        <v>1998.0</v>
      </c>
      <c r="AK131" s="6" t="s">
        <v>153</v>
      </c>
      <c r="AL131" s="6" t="s">
        <v>60</v>
      </c>
      <c r="AM131" s="6" t="s">
        <v>72</v>
      </c>
      <c r="AN131" s="6" t="s">
        <v>101</v>
      </c>
      <c r="AO131" s="33"/>
      <c r="AP131" s="6" t="s">
        <v>75</v>
      </c>
      <c r="AQ131" s="33"/>
      <c r="AR131" s="33"/>
      <c r="AS131" s="33"/>
      <c r="AT131" s="6" t="s">
        <v>76</v>
      </c>
      <c r="AU131" s="33"/>
      <c r="AV131" s="33"/>
      <c r="AW131" s="33"/>
      <c r="AX131" s="33"/>
      <c r="AY131" s="33"/>
      <c r="AZ131" s="6" t="s">
        <v>76</v>
      </c>
      <c r="BA131" s="33"/>
      <c r="BB131" s="33">
        <f>VLOOKUP(O131,Eco_DEM_Data!$D$1:$AC$643,20,False)</f>
        <v>1575</v>
      </c>
      <c r="BC131" s="33">
        <f>VLOOKUP($O131,Eco_DEM_Data!$D$1:$AC$643,20,False)</f>
        <v>1575</v>
      </c>
      <c r="BD131" s="33">
        <f>VLOOKUP($O131,Eco_DEM_Data!$D$1:$AC$643,25,False)</f>
        <v>608</v>
      </c>
      <c r="BE131" s="33">
        <f>VLOOKUP($O131,Eco_DEM_Data!$D$1:$AC$643,22,False)</f>
        <v>40</v>
      </c>
      <c r="BF131" s="33">
        <f>VLOOKUP($O131,Eco_DEM_Data!$D$1:$AC$643,23,False)</f>
        <v>126</v>
      </c>
      <c r="BG131" s="33">
        <f>VLOOKUP($O131,Eco_DEM_Data!$D$1:$AC$643,21,False)</f>
        <v>5511</v>
      </c>
      <c r="BH131" s="33">
        <f>VLOOKUP($O131,Eco_DEM_Data!$D$1:$AC$643,26,False)</f>
        <v>18</v>
      </c>
      <c r="BI131" s="33" t="str">
        <f>VLOOKUP($O131,Eco_DEM_Data!$D$1:$AC$643,9,False)</f>
        <v>Petén-Veracruz moist forests</v>
      </c>
      <c r="BJ131" s="33" t="str">
        <f>VLOOKUP($O131,Eco_DEM_Data!$D$1:$AC$643,11,False)</f>
        <v>Tropical &amp; Subtropical Moist Broadleaf Forests</v>
      </c>
    </row>
    <row r="132">
      <c r="A132" s="33" t="s">
        <v>195</v>
      </c>
      <c r="B132" s="33" t="s">
        <v>2259</v>
      </c>
      <c r="C132" s="34">
        <v>18.0</v>
      </c>
      <c r="D132" s="33" t="s">
        <v>53</v>
      </c>
      <c r="E132" s="34">
        <v>2002.0</v>
      </c>
      <c r="F132" s="33" t="s">
        <v>196</v>
      </c>
      <c r="G132" s="33" t="s">
        <v>197</v>
      </c>
      <c r="H132" s="33" t="s">
        <v>198</v>
      </c>
      <c r="I132" s="33" t="s">
        <v>199</v>
      </c>
      <c r="J132" s="33" t="s">
        <v>200</v>
      </c>
      <c r="K132" s="34">
        <v>48.0</v>
      </c>
      <c r="L132" s="34">
        <v>4.0</v>
      </c>
      <c r="M132" s="6" t="s">
        <v>201</v>
      </c>
      <c r="N132" s="35" t="s">
        <v>60</v>
      </c>
      <c r="O132" s="33" t="s">
        <v>682</v>
      </c>
      <c r="P132" s="36" t="s">
        <v>62</v>
      </c>
      <c r="Q132" s="36" t="s">
        <v>187</v>
      </c>
      <c r="R132" s="36" t="s">
        <v>203</v>
      </c>
      <c r="S132" s="37">
        <v>18.441426</v>
      </c>
      <c r="T132" s="37">
        <v>-88.476495</v>
      </c>
      <c r="U132" s="36" t="s">
        <v>114</v>
      </c>
      <c r="V132" s="6" t="s">
        <v>169</v>
      </c>
      <c r="W132" s="33" t="s">
        <v>276</v>
      </c>
      <c r="X132" s="1" t="s">
        <v>683</v>
      </c>
      <c r="Y132" s="33" t="s">
        <v>684</v>
      </c>
      <c r="Z132" s="36"/>
      <c r="AA132" s="37"/>
      <c r="AB132" s="36"/>
      <c r="AC132" s="37">
        <v>13.0</v>
      </c>
      <c r="AD132" s="36"/>
      <c r="AE132" s="36"/>
      <c r="AF132" s="36"/>
      <c r="AG132" s="36"/>
      <c r="AH132" s="36"/>
      <c r="AI132" s="37">
        <v>1889.0</v>
      </c>
      <c r="AJ132" s="37">
        <v>1998.0</v>
      </c>
      <c r="AK132" s="6" t="s">
        <v>153</v>
      </c>
      <c r="AL132" s="6" t="s">
        <v>60</v>
      </c>
      <c r="AM132" s="6" t="s">
        <v>72</v>
      </c>
      <c r="AN132" s="6" t="s">
        <v>101</v>
      </c>
      <c r="AO132" s="33"/>
      <c r="AP132" s="6" t="s">
        <v>75</v>
      </c>
      <c r="AQ132" s="33"/>
      <c r="AR132" s="33"/>
      <c r="AS132" s="33"/>
      <c r="AT132" s="6" t="s">
        <v>76</v>
      </c>
      <c r="AU132" s="33"/>
      <c r="AV132" s="33"/>
      <c r="AW132" s="33"/>
      <c r="AX132" s="33"/>
      <c r="AY132" s="33"/>
      <c r="AZ132" s="6" t="s">
        <v>76</v>
      </c>
      <c r="BA132" s="33"/>
      <c r="BB132" s="33">
        <f>VLOOKUP(O132,Eco_DEM_Data!$D$1:$AC$643,20,False)</f>
        <v>1213</v>
      </c>
      <c r="BC132" s="33">
        <f>VLOOKUP($O132,Eco_DEM_Data!$D$1:$AC$643,20,False)</f>
        <v>1213</v>
      </c>
      <c r="BD132" s="33">
        <f>VLOOKUP($O132,Eco_DEM_Data!$D$1:$AC$643,25,False)</f>
        <v>500</v>
      </c>
      <c r="BE132" s="33">
        <f>VLOOKUP($O132,Eco_DEM_Data!$D$1:$AC$643,22,False)</f>
        <v>23</v>
      </c>
      <c r="BF132" s="33">
        <f>VLOOKUP($O132,Eco_DEM_Data!$D$1:$AC$643,23,False)</f>
        <v>86</v>
      </c>
      <c r="BG132" s="33">
        <f>VLOOKUP($O132,Eco_DEM_Data!$D$1:$AC$643,21,False)</f>
        <v>6265</v>
      </c>
      <c r="BH132" s="33">
        <f>VLOOKUP($O132,Eco_DEM_Data!$D$1:$AC$643,26,False)</f>
        <v>3</v>
      </c>
      <c r="BI132" s="33" t="str">
        <f>VLOOKUP($O132,Eco_DEM_Data!$D$1:$AC$643,9,False)</f>
        <v>Petén-Veracruz moist forests</v>
      </c>
      <c r="BJ132" s="33" t="str">
        <f>VLOOKUP($O132,Eco_DEM_Data!$D$1:$AC$643,11,False)</f>
        <v>Tropical &amp; Subtropical Moist Broadleaf Forests</v>
      </c>
    </row>
    <row r="133">
      <c r="A133" s="33" t="s">
        <v>195</v>
      </c>
      <c r="B133" s="33" t="s">
        <v>2259</v>
      </c>
      <c r="C133" s="34">
        <v>18.0</v>
      </c>
      <c r="D133" s="33" t="s">
        <v>53</v>
      </c>
      <c r="E133" s="34">
        <v>2002.0</v>
      </c>
      <c r="F133" s="33" t="s">
        <v>196</v>
      </c>
      <c r="G133" s="33" t="s">
        <v>197</v>
      </c>
      <c r="H133" s="33" t="s">
        <v>198</v>
      </c>
      <c r="I133" s="33" t="s">
        <v>199</v>
      </c>
      <c r="J133" s="33" t="s">
        <v>200</v>
      </c>
      <c r="K133" s="34">
        <v>48.0</v>
      </c>
      <c r="L133" s="34">
        <v>4.0</v>
      </c>
      <c r="M133" s="6" t="s">
        <v>201</v>
      </c>
      <c r="N133" s="35" t="s">
        <v>60</v>
      </c>
      <c r="O133" s="33" t="s">
        <v>685</v>
      </c>
      <c r="P133" s="36" t="s">
        <v>62</v>
      </c>
      <c r="Q133" s="36" t="s">
        <v>187</v>
      </c>
      <c r="R133" s="36" t="s">
        <v>208</v>
      </c>
      <c r="S133" s="37">
        <v>18.385586</v>
      </c>
      <c r="T133" s="37">
        <v>-88.470017</v>
      </c>
      <c r="U133" s="36" t="s">
        <v>114</v>
      </c>
      <c r="V133" s="6" t="s">
        <v>169</v>
      </c>
      <c r="W133" s="33" t="s">
        <v>276</v>
      </c>
      <c r="X133" s="1" t="s">
        <v>683</v>
      </c>
      <c r="Y133" s="6" t="s">
        <v>684</v>
      </c>
      <c r="Z133" s="36"/>
      <c r="AA133" s="37"/>
      <c r="AB133" s="36"/>
      <c r="AC133" s="37">
        <v>15.0</v>
      </c>
      <c r="AD133" s="36"/>
      <c r="AE133" s="36"/>
      <c r="AF133" s="36"/>
      <c r="AG133" s="36"/>
      <c r="AH133" s="36"/>
      <c r="AI133" s="37">
        <v>1880.0</v>
      </c>
      <c r="AJ133" s="37">
        <v>1998.0</v>
      </c>
      <c r="AK133" s="6" t="s">
        <v>153</v>
      </c>
      <c r="AL133" s="6" t="s">
        <v>60</v>
      </c>
      <c r="AM133" s="6" t="s">
        <v>72</v>
      </c>
      <c r="AN133" s="6" t="s">
        <v>101</v>
      </c>
      <c r="AO133" s="33"/>
      <c r="AP133" s="6" t="s">
        <v>75</v>
      </c>
      <c r="AQ133" s="33"/>
      <c r="AR133" s="33"/>
      <c r="AS133" s="33"/>
      <c r="AT133" s="6" t="s">
        <v>76</v>
      </c>
      <c r="AU133" s="33"/>
      <c r="AV133" s="33"/>
      <c r="AW133" s="33"/>
      <c r="AX133" s="33"/>
      <c r="AY133" s="33"/>
      <c r="AZ133" s="6" t="s">
        <v>76</v>
      </c>
      <c r="BA133" s="33"/>
      <c r="BB133" s="33">
        <f>VLOOKUP(O133,Eco_DEM_Data!$D$1:$AC$643,20,False)</f>
        <v>1249</v>
      </c>
      <c r="BC133" s="33">
        <f>VLOOKUP($O133,Eco_DEM_Data!$D$1:$AC$643,20,False)</f>
        <v>1249</v>
      </c>
      <c r="BD133" s="33">
        <f>VLOOKUP($O133,Eco_DEM_Data!$D$1:$AC$643,25,False)</f>
        <v>516</v>
      </c>
      <c r="BE133" s="33">
        <f>VLOOKUP($O133,Eco_DEM_Data!$D$1:$AC$643,22,False)</f>
        <v>23</v>
      </c>
      <c r="BF133" s="33">
        <f>VLOOKUP($O133,Eco_DEM_Data!$D$1:$AC$643,23,False)</f>
        <v>86</v>
      </c>
      <c r="BG133" s="33">
        <f>VLOOKUP($O133,Eco_DEM_Data!$D$1:$AC$643,21,False)</f>
        <v>6353</v>
      </c>
      <c r="BH133" s="33">
        <f>VLOOKUP($O133,Eco_DEM_Data!$D$1:$AC$643,26,False)</f>
        <v>14</v>
      </c>
      <c r="BI133" s="33" t="str">
        <f>VLOOKUP($O133,Eco_DEM_Data!$D$1:$AC$643,9,False)</f>
        <v>Petén-Veracruz moist forests</v>
      </c>
      <c r="BJ133" s="33" t="str">
        <f>VLOOKUP($O133,Eco_DEM_Data!$D$1:$AC$643,11,False)</f>
        <v>Tropical &amp; Subtropical Moist Broadleaf Forests</v>
      </c>
    </row>
    <row r="134">
      <c r="A134" s="33" t="s">
        <v>195</v>
      </c>
      <c r="B134" s="33" t="s">
        <v>2259</v>
      </c>
      <c r="C134" s="34">
        <v>18.0</v>
      </c>
      <c r="D134" s="33" t="s">
        <v>53</v>
      </c>
      <c r="E134" s="34">
        <v>2002.0</v>
      </c>
      <c r="F134" s="33" t="s">
        <v>196</v>
      </c>
      <c r="G134" s="33" t="s">
        <v>197</v>
      </c>
      <c r="H134" s="33" t="s">
        <v>198</v>
      </c>
      <c r="I134" s="33" t="s">
        <v>199</v>
      </c>
      <c r="J134" s="33" t="s">
        <v>200</v>
      </c>
      <c r="K134" s="34">
        <v>48.0</v>
      </c>
      <c r="L134" s="34">
        <v>4.0</v>
      </c>
      <c r="M134" s="6" t="s">
        <v>201</v>
      </c>
      <c r="N134" s="35" t="s">
        <v>60</v>
      </c>
      <c r="O134" s="33" t="s">
        <v>686</v>
      </c>
      <c r="P134" s="36" t="s">
        <v>62</v>
      </c>
      <c r="Q134" s="36" t="s">
        <v>187</v>
      </c>
      <c r="R134" s="36" t="s">
        <v>210</v>
      </c>
      <c r="S134" s="37">
        <v>18.0866</v>
      </c>
      <c r="T134" s="37">
        <v>-88.448328</v>
      </c>
      <c r="U134" s="36" t="s">
        <v>114</v>
      </c>
      <c r="V134" s="6" t="s">
        <v>169</v>
      </c>
      <c r="W134" s="33" t="s">
        <v>276</v>
      </c>
      <c r="X134" s="1" t="s">
        <v>683</v>
      </c>
      <c r="Y134" s="6" t="s">
        <v>684</v>
      </c>
      <c r="Z134" s="36"/>
      <c r="AA134" s="37"/>
      <c r="AB134" s="36"/>
      <c r="AC134" s="37">
        <v>15.0</v>
      </c>
      <c r="AD134" s="36"/>
      <c r="AE134" s="36"/>
      <c r="AF134" s="36"/>
      <c r="AG134" s="36"/>
      <c r="AH134" s="36"/>
      <c r="AI134" s="37">
        <v>1898.0</v>
      </c>
      <c r="AJ134" s="37">
        <v>1998.0</v>
      </c>
      <c r="AK134" s="6" t="s">
        <v>153</v>
      </c>
      <c r="AL134" s="6" t="s">
        <v>60</v>
      </c>
      <c r="AM134" s="6" t="s">
        <v>72</v>
      </c>
      <c r="AN134" s="6" t="s">
        <v>101</v>
      </c>
      <c r="AO134" s="33"/>
      <c r="AP134" s="6" t="s">
        <v>75</v>
      </c>
      <c r="AQ134" s="33"/>
      <c r="AR134" s="33"/>
      <c r="AS134" s="33"/>
      <c r="AT134" s="6" t="s">
        <v>76</v>
      </c>
      <c r="AU134" s="33"/>
      <c r="AV134" s="33"/>
      <c r="AW134" s="33"/>
      <c r="AX134" s="33"/>
      <c r="AY134" s="33"/>
      <c r="AZ134" s="6" t="s">
        <v>76</v>
      </c>
      <c r="BA134" s="33"/>
      <c r="BB134" s="33">
        <f>VLOOKUP(O134,Eco_DEM_Data!$D$1:$AC$643,20,False)</f>
        <v>1484</v>
      </c>
      <c r="BC134" s="33">
        <f>VLOOKUP($O134,Eco_DEM_Data!$D$1:$AC$643,20,False)</f>
        <v>1484</v>
      </c>
      <c r="BD134" s="33">
        <f>VLOOKUP($O134,Eco_DEM_Data!$D$1:$AC$643,25,False)</f>
        <v>582</v>
      </c>
      <c r="BE134" s="33">
        <f>VLOOKUP($O134,Eco_DEM_Data!$D$1:$AC$643,22,False)</f>
        <v>33</v>
      </c>
      <c r="BF134" s="33">
        <f>VLOOKUP($O134,Eco_DEM_Data!$D$1:$AC$643,23,False)</f>
        <v>113</v>
      </c>
      <c r="BG134" s="33">
        <f>VLOOKUP($O134,Eco_DEM_Data!$D$1:$AC$643,21,False)</f>
        <v>5756</v>
      </c>
      <c r="BH134" s="33">
        <f>VLOOKUP($O134,Eco_DEM_Data!$D$1:$AC$643,26,False)</f>
        <v>10</v>
      </c>
      <c r="BI134" s="33" t="str">
        <f>VLOOKUP($O134,Eco_DEM_Data!$D$1:$AC$643,9,False)</f>
        <v>Petén-Veracruz moist forests</v>
      </c>
      <c r="BJ134" s="33" t="str">
        <f>VLOOKUP($O134,Eco_DEM_Data!$D$1:$AC$643,11,False)</f>
        <v>Tropical &amp; Subtropical Moist Broadleaf Forests</v>
      </c>
    </row>
    <row r="135">
      <c r="A135" s="33" t="s">
        <v>195</v>
      </c>
      <c r="B135" s="33" t="s">
        <v>2259</v>
      </c>
      <c r="C135" s="34">
        <v>18.0</v>
      </c>
      <c r="D135" s="33" t="s">
        <v>53</v>
      </c>
      <c r="E135" s="34">
        <v>2002.0</v>
      </c>
      <c r="F135" s="33" t="s">
        <v>196</v>
      </c>
      <c r="G135" s="33" t="s">
        <v>197</v>
      </c>
      <c r="H135" s="33" t="s">
        <v>198</v>
      </c>
      <c r="I135" s="33" t="s">
        <v>199</v>
      </c>
      <c r="J135" s="33" t="s">
        <v>200</v>
      </c>
      <c r="K135" s="34">
        <v>48.0</v>
      </c>
      <c r="L135" s="34">
        <v>4.0</v>
      </c>
      <c r="M135" s="6" t="s">
        <v>201</v>
      </c>
      <c r="N135" s="35" t="s">
        <v>60</v>
      </c>
      <c r="O135" s="33" t="s">
        <v>687</v>
      </c>
      <c r="P135" s="36" t="s">
        <v>62</v>
      </c>
      <c r="Q135" s="36" t="s">
        <v>187</v>
      </c>
      <c r="R135" s="36" t="s">
        <v>212</v>
      </c>
      <c r="S135" s="37">
        <v>17.98935</v>
      </c>
      <c r="T135" s="37">
        <v>-88.466374</v>
      </c>
      <c r="U135" s="36" t="s">
        <v>114</v>
      </c>
      <c r="V135" s="6" t="s">
        <v>169</v>
      </c>
      <c r="W135" s="33" t="s">
        <v>276</v>
      </c>
      <c r="X135" s="1" t="s">
        <v>683</v>
      </c>
      <c r="Y135" s="6" t="s">
        <v>684</v>
      </c>
      <c r="Z135" s="36"/>
      <c r="AA135" s="37"/>
      <c r="AB135" s="36"/>
      <c r="AC135" s="37">
        <v>13.0</v>
      </c>
      <c r="AD135" s="36"/>
      <c r="AE135" s="36"/>
      <c r="AF135" s="36"/>
      <c r="AG135" s="36"/>
      <c r="AH135" s="36"/>
      <c r="AI135" s="37">
        <v>1857.0</v>
      </c>
      <c r="AJ135" s="37">
        <v>1998.0</v>
      </c>
      <c r="AK135" s="6" t="s">
        <v>153</v>
      </c>
      <c r="AL135" s="6" t="s">
        <v>60</v>
      </c>
      <c r="AM135" s="6" t="s">
        <v>72</v>
      </c>
      <c r="AN135" s="6" t="s">
        <v>101</v>
      </c>
      <c r="AO135" s="33"/>
      <c r="AP135" s="6" t="s">
        <v>75</v>
      </c>
      <c r="AQ135" s="33"/>
      <c r="AR135" s="33"/>
      <c r="AS135" s="33"/>
      <c r="AT135" s="6" t="s">
        <v>76</v>
      </c>
      <c r="AU135" s="33"/>
      <c r="AV135" s="33"/>
      <c r="AW135" s="33"/>
      <c r="AX135" s="33"/>
      <c r="AY135" s="33"/>
      <c r="AZ135" s="6" t="s">
        <v>76</v>
      </c>
      <c r="BA135" s="33"/>
      <c r="BB135" s="33">
        <f>VLOOKUP(O135,Eco_DEM_Data!$D$1:$AC$643,20,False)</f>
        <v>1563</v>
      </c>
      <c r="BC135" s="33">
        <f>VLOOKUP($O135,Eco_DEM_Data!$D$1:$AC$643,20,False)</f>
        <v>1563</v>
      </c>
      <c r="BD135" s="33">
        <f>VLOOKUP($O135,Eco_DEM_Data!$D$1:$AC$643,25,False)</f>
        <v>606</v>
      </c>
      <c r="BE135" s="33">
        <f>VLOOKUP($O135,Eco_DEM_Data!$D$1:$AC$643,22,False)</f>
        <v>40</v>
      </c>
      <c r="BF135" s="33">
        <f>VLOOKUP($O135,Eco_DEM_Data!$D$1:$AC$643,23,False)</f>
        <v>126</v>
      </c>
      <c r="BG135" s="33">
        <f>VLOOKUP($O135,Eco_DEM_Data!$D$1:$AC$643,21,False)</f>
        <v>5565</v>
      </c>
      <c r="BH135" s="33">
        <f>VLOOKUP($O135,Eco_DEM_Data!$D$1:$AC$643,26,False)</f>
        <v>20</v>
      </c>
      <c r="BI135" s="33" t="str">
        <f>VLOOKUP($O135,Eco_DEM_Data!$D$1:$AC$643,9,False)</f>
        <v>Petén-Veracruz moist forests</v>
      </c>
      <c r="BJ135" s="33" t="str">
        <f>VLOOKUP($O135,Eco_DEM_Data!$D$1:$AC$643,11,False)</f>
        <v>Tropical &amp; Subtropical Moist Broadleaf Forests</v>
      </c>
    </row>
    <row r="136">
      <c r="A136" s="33" t="s">
        <v>195</v>
      </c>
      <c r="B136" s="33" t="s">
        <v>2259</v>
      </c>
      <c r="C136" s="34">
        <v>18.0</v>
      </c>
      <c r="D136" s="33" t="s">
        <v>53</v>
      </c>
      <c r="E136" s="34">
        <v>2002.0</v>
      </c>
      <c r="F136" s="33" t="s">
        <v>196</v>
      </c>
      <c r="G136" s="33" t="s">
        <v>197</v>
      </c>
      <c r="H136" s="33" t="s">
        <v>198</v>
      </c>
      <c r="I136" s="33" t="s">
        <v>199</v>
      </c>
      <c r="J136" s="33" t="s">
        <v>200</v>
      </c>
      <c r="K136" s="34">
        <v>48.0</v>
      </c>
      <c r="L136" s="34">
        <v>4.0</v>
      </c>
      <c r="M136" s="6" t="s">
        <v>201</v>
      </c>
      <c r="N136" s="35" t="s">
        <v>60</v>
      </c>
      <c r="O136" s="33" t="s">
        <v>688</v>
      </c>
      <c r="P136" s="36" t="s">
        <v>62</v>
      </c>
      <c r="Q136" s="36" t="s">
        <v>187</v>
      </c>
      <c r="R136" s="36" t="s">
        <v>214</v>
      </c>
      <c r="S136" s="37">
        <v>17.988299</v>
      </c>
      <c r="T136" s="37">
        <v>-88.511265</v>
      </c>
      <c r="U136" s="36" t="s">
        <v>114</v>
      </c>
      <c r="V136" s="6" t="s">
        <v>169</v>
      </c>
      <c r="W136" s="33" t="s">
        <v>276</v>
      </c>
      <c r="X136" s="1" t="s">
        <v>683</v>
      </c>
      <c r="Y136" s="6" t="s">
        <v>684</v>
      </c>
      <c r="Z136" s="36"/>
      <c r="AA136" s="37"/>
      <c r="AB136" s="36"/>
      <c r="AC136" s="37">
        <v>13.0</v>
      </c>
      <c r="AD136" s="36"/>
      <c r="AE136" s="36"/>
      <c r="AF136" s="36"/>
      <c r="AG136" s="36"/>
      <c r="AH136" s="36"/>
      <c r="AI136" s="37">
        <v>1868.0</v>
      </c>
      <c r="AJ136" s="37">
        <v>1998.0</v>
      </c>
      <c r="AK136" s="6" t="s">
        <v>153</v>
      </c>
      <c r="AL136" s="6" t="s">
        <v>60</v>
      </c>
      <c r="AM136" s="6" t="s">
        <v>72</v>
      </c>
      <c r="AN136" s="6" t="s">
        <v>101</v>
      </c>
      <c r="AO136" s="33"/>
      <c r="AP136" s="6" t="s">
        <v>75</v>
      </c>
      <c r="AQ136" s="33"/>
      <c r="AR136" s="33"/>
      <c r="AS136" s="33"/>
      <c r="AT136" s="6" t="s">
        <v>76</v>
      </c>
      <c r="AU136" s="33"/>
      <c r="AV136" s="33"/>
      <c r="AW136" s="33"/>
      <c r="AX136" s="33"/>
      <c r="AY136" s="33"/>
      <c r="AZ136" s="6" t="s">
        <v>76</v>
      </c>
      <c r="BA136" s="33"/>
      <c r="BB136" s="33">
        <f>VLOOKUP(O136,Eco_DEM_Data!$D$1:$AC$643,20,False)</f>
        <v>1550</v>
      </c>
      <c r="BC136" s="33">
        <f>VLOOKUP($O136,Eco_DEM_Data!$D$1:$AC$643,20,False)</f>
        <v>1550</v>
      </c>
      <c r="BD136" s="33">
        <f>VLOOKUP($O136,Eco_DEM_Data!$D$1:$AC$643,25,False)</f>
        <v>608</v>
      </c>
      <c r="BE136" s="33">
        <f>VLOOKUP($O136,Eco_DEM_Data!$D$1:$AC$643,22,False)</f>
        <v>38</v>
      </c>
      <c r="BF136" s="33">
        <f>VLOOKUP($O136,Eco_DEM_Data!$D$1:$AC$643,23,False)</f>
        <v>124</v>
      </c>
      <c r="BG136" s="33">
        <f>VLOOKUP($O136,Eco_DEM_Data!$D$1:$AC$643,21,False)</f>
        <v>5599</v>
      </c>
      <c r="BH136" s="33">
        <f>VLOOKUP($O136,Eco_DEM_Data!$D$1:$AC$643,26,False)</f>
        <v>41</v>
      </c>
      <c r="BI136" s="33" t="str">
        <f>VLOOKUP($O136,Eco_DEM_Data!$D$1:$AC$643,9,False)</f>
        <v>Petén-Veracruz moist forests</v>
      </c>
      <c r="BJ136" s="33" t="str">
        <f>VLOOKUP($O136,Eco_DEM_Data!$D$1:$AC$643,11,False)</f>
        <v>Tropical &amp; Subtropical Moist Broadleaf Forests</v>
      </c>
    </row>
    <row r="137">
      <c r="A137" s="33" t="s">
        <v>195</v>
      </c>
      <c r="B137" s="33" t="s">
        <v>2259</v>
      </c>
      <c r="C137" s="34">
        <v>18.0</v>
      </c>
      <c r="D137" s="33" t="s">
        <v>53</v>
      </c>
      <c r="E137" s="34">
        <v>2002.0</v>
      </c>
      <c r="F137" s="33" t="s">
        <v>196</v>
      </c>
      <c r="G137" s="33" t="s">
        <v>197</v>
      </c>
      <c r="H137" s="33" t="s">
        <v>198</v>
      </c>
      <c r="I137" s="33" t="s">
        <v>199</v>
      </c>
      <c r="J137" s="33" t="s">
        <v>200</v>
      </c>
      <c r="K137" s="34">
        <v>48.0</v>
      </c>
      <c r="L137" s="34">
        <v>4.0</v>
      </c>
      <c r="M137" s="6" t="s">
        <v>201</v>
      </c>
      <c r="N137" s="35" t="s">
        <v>60</v>
      </c>
      <c r="O137" s="33" t="s">
        <v>689</v>
      </c>
      <c r="P137" s="36" t="s">
        <v>62</v>
      </c>
      <c r="Q137" s="36" t="s">
        <v>187</v>
      </c>
      <c r="R137" s="36" t="s">
        <v>216</v>
      </c>
      <c r="S137" s="37">
        <v>17.986626</v>
      </c>
      <c r="T137" s="37">
        <v>-88.417657</v>
      </c>
      <c r="U137" s="36" t="s">
        <v>114</v>
      </c>
      <c r="V137" s="6" t="s">
        <v>169</v>
      </c>
      <c r="W137" s="33" t="s">
        <v>276</v>
      </c>
      <c r="X137" s="1" t="s">
        <v>683</v>
      </c>
      <c r="Y137" s="6" t="s">
        <v>684</v>
      </c>
      <c r="Z137" s="36"/>
      <c r="AA137" s="37"/>
      <c r="AB137" s="36"/>
      <c r="AC137" s="37">
        <v>14.0</v>
      </c>
      <c r="AD137" s="36"/>
      <c r="AE137" s="36"/>
      <c r="AF137" s="36"/>
      <c r="AG137" s="36"/>
      <c r="AH137" s="36"/>
      <c r="AI137" s="37">
        <v>1855.0</v>
      </c>
      <c r="AJ137" s="37">
        <v>1998.0</v>
      </c>
      <c r="AK137" s="6" t="s">
        <v>153</v>
      </c>
      <c r="AL137" s="6" t="s">
        <v>60</v>
      </c>
      <c r="AM137" s="6" t="s">
        <v>72</v>
      </c>
      <c r="AN137" s="6" t="s">
        <v>101</v>
      </c>
      <c r="AO137" s="33"/>
      <c r="AP137" s="6" t="s">
        <v>75</v>
      </c>
      <c r="AQ137" s="33"/>
      <c r="AR137" s="33"/>
      <c r="AS137" s="33"/>
      <c r="AT137" s="6" t="s">
        <v>76</v>
      </c>
      <c r="AU137" s="33"/>
      <c r="AV137" s="33"/>
      <c r="AW137" s="33"/>
      <c r="AX137" s="33"/>
      <c r="AY137" s="33"/>
      <c r="AZ137" s="6" t="s">
        <v>76</v>
      </c>
      <c r="BA137" s="33"/>
      <c r="BB137" s="33">
        <f>VLOOKUP(O137,Eco_DEM_Data!$D$1:$AC$643,20,False)</f>
        <v>1575</v>
      </c>
      <c r="BC137" s="33">
        <f>VLOOKUP($O137,Eco_DEM_Data!$D$1:$AC$643,20,False)</f>
        <v>1575</v>
      </c>
      <c r="BD137" s="33">
        <f>VLOOKUP($O137,Eco_DEM_Data!$D$1:$AC$643,25,False)</f>
        <v>608</v>
      </c>
      <c r="BE137" s="33">
        <f>VLOOKUP($O137,Eco_DEM_Data!$D$1:$AC$643,22,False)</f>
        <v>40</v>
      </c>
      <c r="BF137" s="33">
        <f>VLOOKUP($O137,Eco_DEM_Data!$D$1:$AC$643,23,False)</f>
        <v>126</v>
      </c>
      <c r="BG137" s="33">
        <f>VLOOKUP($O137,Eco_DEM_Data!$D$1:$AC$643,21,False)</f>
        <v>5511</v>
      </c>
      <c r="BH137" s="33">
        <f>VLOOKUP($O137,Eco_DEM_Data!$D$1:$AC$643,26,False)</f>
        <v>18</v>
      </c>
      <c r="BI137" s="33" t="str">
        <f>VLOOKUP($O137,Eco_DEM_Data!$D$1:$AC$643,9,False)</f>
        <v>Petén-Veracruz moist forests</v>
      </c>
      <c r="BJ137" s="33" t="str">
        <f>VLOOKUP($O137,Eco_DEM_Data!$D$1:$AC$643,11,False)</f>
        <v>Tropical &amp; Subtropical Moist Broadleaf Forests</v>
      </c>
    </row>
    <row r="138">
      <c r="A138" s="33" t="s">
        <v>1550</v>
      </c>
      <c r="B138" s="33" t="s">
        <v>2259</v>
      </c>
      <c r="C138" s="34">
        <v>2.0</v>
      </c>
      <c r="D138" s="33" t="s">
        <v>53</v>
      </c>
      <c r="E138" s="34">
        <v>2002.0</v>
      </c>
      <c r="F138" s="33" t="s">
        <v>1551</v>
      </c>
      <c r="G138" s="33" t="s">
        <v>1552</v>
      </c>
      <c r="H138" s="33" t="s">
        <v>303</v>
      </c>
      <c r="I138" s="50" t="s">
        <v>1553</v>
      </c>
      <c r="J138" s="33" t="s">
        <v>1554</v>
      </c>
      <c r="K138" s="34">
        <v>57.0</v>
      </c>
      <c r="L138" s="33"/>
      <c r="M138" s="6" t="s">
        <v>1555</v>
      </c>
      <c r="N138" s="35" t="s">
        <v>60</v>
      </c>
      <c r="O138" s="33" t="s">
        <v>1556</v>
      </c>
      <c r="P138" s="36" t="s">
        <v>62</v>
      </c>
      <c r="Q138" s="36" t="s">
        <v>167</v>
      </c>
      <c r="R138" s="36" t="s">
        <v>878</v>
      </c>
      <c r="S138" s="37">
        <v>16.98567</v>
      </c>
      <c r="T138" s="37">
        <v>-89.674358</v>
      </c>
      <c r="U138" s="36" t="s">
        <v>148</v>
      </c>
      <c r="V138" s="6" t="s">
        <v>95</v>
      </c>
      <c r="W138" s="33" t="s">
        <v>1557</v>
      </c>
      <c r="X138" s="1" t="s">
        <v>264</v>
      </c>
      <c r="Y138" s="33" t="s">
        <v>728</v>
      </c>
      <c r="Z138" s="36"/>
      <c r="AA138" s="37">
        <v>17.0</v>
      </c>
      <c r="AB138" s="36"/>
      <c r="AC138" s="36"/>
      <c r="AD138" s="36"/>
      <c r="AE138" s="36"/>
      <c r="AF138" s="36"/>
      <c r="AG138" s="36"/>
      <c r="AH138" s="36" t="s">
        <v>1558</v>
      </c>
      <c r="AI138" s="37">
        <v>-1550.0</v>
      </c>
      <c r="AJ138" s="37">
        <v>1999.0</v>
      </c>
      <c r="AK138" s="6" t="s">
        <v>100</v>
      </c>
      <c r="AL138" s="6" t="s">
        <v>72</v>
      </c>
      <c r="AM138" s="33" t="s">
        <v>400</v>
      </c>
      <c r="AN138" s="6" t="s">
        <v>76</v>
      </c>
      <c r="AO138" s="33"/>
      <c r="AP138" s="6" t="s">
        <v>102</v>
      </c>
      <c r="AQ138" s="33"/>
      <c r="AR138" s="33"/>
      <c r="AS138" s="33"/>
      <c r="AT138" s="6" t="s">
        <v>76</v>
      </c>
      <c r="AU138" s="33"/>
      <c r="AV138" s="33"/>
      <c r="AW138" s="33"/>
      <c r="AX138" s="33"/>
      <c r="AY138" s="33"/>
      <c r="AZ138" s="6" t="s">
        <v>76</v>
      </c>
      <c r="BA138" s="33"/>
      <c r="BB138" s="33">
        <f>VLOOKUP(O138,Eco_DEM_Data!$D$1:$AC$643,20,False)</f>
        <v>1757</v>
      </c>
      <c r="BC138" s="33">
        <f>VLOOKUP($O138,Eco_DEM_Data!$D$1:$AC$643,20,False)</f>
        <v>1757</v>
      </c>
      <c r="BD138" s="33">
        <f>VLOOKUP($O138,Eco_DEM_Data!$D$1:$AC$643,25,False)</f>
        <v>704</v>
      </c>
      <c r="BE138" s="33">
        <f>VLOOKUP($O138,Eco_DEM_Data!$D$1:$AC$643,22,False)</f>
        <v>37</v>
      </c>
      <c r="BF138" s="33">
        <f>VLOOKUP($O138,Eco_DEM_Data!$D$1:$AC$643,23,False)</f>
        <v>141</v>
      </c>
      <c r="BG138" s="33">
        <f>VLOOKUP($O138,Eco_DEM_Data!$D$1:$AC$643,21,False)</f>
        <v>5662</v>
      </c>
      <c r="BH138" s="33">
        <f>VLOOKUP($O138,Eco_DEM_Data!$D$1:$AC$643,26,False)</f>
        <v>118</v>
      </c>
      <c r="BI138" s="33" t="str">
        <f>VLOOKUP($O138,Eco_DEM_Data!$D$1:$AC$643,9,False)</f>
        <v>Petén-Veracruz moist forests</v>
      </c>
      <c r="BJ138" s="33" t="str">
        <f>VLOOKUP($O138,Eco_DEM_Data!$D$1:$AC$643,11,False)</f>
        <v>Tropical &amp; Subtropical Moist Broadleaf Forests</v>
      </c>
    </row>
    <row r="139">
      <c r="A139" s="33" t="s">
        <v>1550</v>
      </c>
      <c r="B139" s="33" t="s">
        <v>2259</v>
      </c>
      <c r="C139" s="34">
        <v>2.0</v>
      </c>
      <c r="D139" s="33" t="s">
        <v>53</v>
      </c>
      <c r="E139" s="34">
        <v>2002.0</v>
      </c>
      <c r="F139" s="33" t="s">
        <v>1551</v>
      </c>
      <c r="G139" s="33" t="s">
        <v>1552</v>
      </c>
      <c r="H139" s="33" t="s">
        <v>303</v>
      </c>
      <c r="I139" s="50" t="s">
        <v>2265</v>
      </c>
      <c r="J139" s="33" t="s">
        <v>1554</v>
      </c>
      <c r="K139" s="34">
        <v>57.0</v>
      </c>
      <c r="L139" s="33"/>
      <c r="M139" s="6" t="s">
        <v>1555</v>
      </c>
      <c r="N139" s="35" t="s">
        <v>60</v>
      </c>
      <c r="O139" s="33" t="s">
        <v>1560</v>
      </c>
      <c r="P139" s="36" t="s">
        <v>62</v>
      </c>
      <c r="Q139" s="36" t="s">
        <v>167</v>
      </c>
      <c r="R139" s="36" t="s">
        <v>878</v>
      </c>
      <c r="S139" s="37">
        <v>16.98567</v>
      </c>
      <c r="T139" s="37">
        <v>-89.674358</v>
      </c>
      <c r="U139" s="36" t="s">
        <v>148</v>
      </c>
      <c r="V139" s="38" t="s">
        <v>194</v>
      </c>
      <c r="W139" s="33" t="s">
        <v>173</v>
      </c>
      <c r="X139" s="1" t="s">
        <v>888</v>
      </c>
      <c r="Y139" s="33" t="s">
        <v>70</v>
      </c>
      <c r="Z139" s="36"/>
      <c r="AA139" s="37">
        <v>17.0</v>
      </c>
      <c r="AB139" s="36"/>
      <c r="AC139" s="36"/>
      <c r="AD139" s="36"/>
      <c r="AE139" s="36"/>
      <c r="AF139" s="36"/>
      <c r="AG139" s="36"/>
      <c r="AH139" s="36" t="s">
        <v>1558</v>
      </c>
      <c r="AI139" s="37">
        <v>-1550.0</v>
      </c>
      <c r="AJ139" s="37">
        <v>1999.0</v>
      </c>
      <c r="AK139" s="6" t="s">
        <v>100</v>
      </c>
      <c r="AL139" s="6" t="s">
        <v>72</v>
      </c>
      <c r="AM139" s="33" t="s">
        <v>400</v>
      </c>
      <c r="AN139" s="6" t="s">
        <v>76</v>
      </c>
      <c r="AO139" s="33"/>
      <c r="AP139" s="6" t="s">
        <v>102</v>
      </c>
      <c r="AQ139" s="33"/>
      <c r="AR139" s="33"/>
      <c r="AS139" s="33"/>
      <c r="AT139" s="6" t="s">
        <v>76</v>
      </c>
      <c r="AU139" s="33"/>
      <c r="AV139" s="33"/>
      <c r="AW139" s="33"/>
      <c r="AX139" s="33"/>
      <c r="AY139" s="33"/>
      <c r="AZ139" s="6" t="s">
        <v>76</v>
      </c>
      <c r="BA139" s="33"/>
      <c r="BB139" s="33">
        <f>VLOOKUP(O139,Eco_DEM_Data!$D$1:$AC$643,20,False)</f>
        <v>1757</v>
      </c>
      <c r="BC139" s="33">
        <f>VLOOKUP($O139,Eco_DEM_Data!$D$1:$AC$643,20,False)</f>
        <v>1757</v>
      </c>
      <c r="BD139" s="33">
        <f>VLOOKUP($O139,Eco_DEM_Data!$D$1:$AC$643,25,False)</f>
        <v>704</v>
      </c>
      <c r="BE139" s="33">
        <f>VLOOKUP($O139,Eco_DEM_Data!$D$1:$AC$643,22,False)</f>
        <v>37</v>
      </c>
      <c r="BF139" s="33">
        <f>VLOOKUP($O139,Eco_DEM_Data!$D$1:$AC$643,23,False)</f>
        <v>141</v>
      </c>
      <c r="BG139" s="33">
        <f>VLOOKUP($O139,Eco_DEM_Data!$D$1:$AC$643,21,False)</f>
        <v>5662</v>
      </c>
      <c r="BH139" s="33">
        <f>VLOOKUP($O139,Eco_DEM_Data!$D$1:$AC$643,26,False)</f>
        <v>118</v>
      </c>
      <c r="BI139" s="33" t="str">
        <f>VLOOKUP($O139,Eco_DEM_Data!$D$1:$AC$643,9,False)</f>
        <v>Petén-Veracruz moist forests</v>
      </c>
      <c r="BJ139" s="33" t="str">
        <f>VLOOKUP($O139,Eco_DEM_Data!$D$1:$AC$643,11,False)</f>
        <v>Tropical &amp; Subtropical Moist Broadleaf Forests</v>
      </c>
    </row>
    <row r="140">
      <c r="A140" s="33" t="s">
        <v>1550</v>
      </c>
      <c r="B140" s="33" t="s">
        <v>2259</v>
      </c>
      <c r="C140" s="34">
        <v>2.0</v>
      </c>
      <c r="D140" s="33" t="s">
        <v>53</v>
      </c>
      <c r="E140" s="34">
        <v>2002.0</v>
      </c>
      <c r="F140" s="33" t="s">
        <v>1551</v>
      </c>
      <c r="G140" s="33" t="s">
        <v>1552</v>
      </c>
      <c r="H140" s="33" t="s">
        <v>303</v>
      </c>
      <c r="I140" s="50" t="s">
        <v>2266</v>
      </c>
      <c r="J140" s="33" t="s">
        <v>1554</v>
      </c>
      <c r="K140" s="34">
        <v>57.0</v>
      </c>
      <c r="L140" s="33"/>
      <c r="M140" s="6" t="s">
        <v>1555</v>
      </c>
      <c r="N140" s="35" t="s">
        <v>60</v>
      </c>
      <c r="O140" s="33" t="s">
        <v>1561</v>
      </c>
      <c r="P140" s="36" t="s">
        <v>62</v>
      </c>
      <c r="Q140" s="36" t="s">
        <v>167</v>
      </c>
      <c r="R140" s="36" t="s">
        <v>878</v>
      </c>
      <c r="S140" s="37">
        <v>16.98567</v>
      </c>
      <c r="T140" s="37">
        <v>-89.674358</v>
      </c>
      <c r="U140" s="36" t="s">
        <v>148</v>
      </c>
      <c r="V140" s="6" t="s">
        <v>189</v>
      </c>
      <c r="W140" s="33" t="s">
        <v>173</v>
      </c>
      <c r="X140" s="1" t="s">
        <v>879</v>
      </c>
      <c r="Y140" s="33" t="s">
        <v>70</v>
      </c>
      <c r="Z140" s="36"/>
      <c r="AA140" s="37">
        <v>17.0</v>
      </c>
      <c r="AB140" s="36"/>
      <c r="AC140" s="36"/>
      <c r="AD140" s="36"/>
      <c r="AE140" s="36"/>
      <c r="AF140" s="36"/>
      <c r="AG140" s="36"/>
      <c r="AH140" s="36" t="s">
        <v>1558</v>
      </c>
      <c r="AI140" s="37">
        <v>-1550.0</v>
      </c>
      <c r="AJ140" s="37">
        <v>1999.0</v>
      </c>
      <c r="AK140" s="6" t="s">
        <v>100</v>
      </c>
      <c r="AL140" s="6" t="s">
        <v>72</v>
      </c>
      <c r="AM140" s="33" t="s">
        <v>400</v>
      </c>
      <c r="AN140" s="6" t="s">
        <v>76</v>
      </c>
      <c r="AO140" s="33"/>
      <c r="AP140" s="6" t="s">
        <v>102</v>
      </c>
      <c r="AQ140" s="33"/>
      <c r="AR140" s="33"/>
      <c r="AS140" s="33"/>
      <c r="AT140" s="6" t="s">
        <v>76</v>
      </c>
      <c r="AU140" s="33"/>
      <c r="AV140" s="33"/>
      <c r="AW140" s="33"/>
      <c r="AX140" s="33"/>
      <c r="AY140" s="33"/>
      <c r="AZ140" s="6" t="s">
        <v>76</v>
      </c>
      <c r="BA140" s="33"/>
      <c r="BB140" s="33">
        <f>VLOOKUP(O140,Eco_DEM_Data!$D$1:$AC$643,20,False)</f>
        <v>1757</v>
      </c>
      <c r="BC140" s="33">
        <f>VLOOKUP($O140,Eco_DEM_Data!$D$1:$AC$643,20,False)</f>
        <v>1757</v>
      </c>
      <c r="BD140" s="33">
        <f>VLOOKUP($O140,Eco_DEM_Data!$D$1:$AC$643,25,False)</f>
        <v>704</v>
      </c>
      <c r="BE140" s="33">
        <f>VLOOKUP($O140,Eco_DEM_Data!$D$1:$AC$643,22,False)</f>
        <v>37</v>
      </c>
      <c r="BF140" s="33">
        <f>VLOOKUP($O140,Eco_DEM_Data!$D$1:$AC$643,23,False)</f>
        <v>141</v>
      </c>
      <c r="BG140" s="33">
        <f>VLOOKUP($O140,Eco_DEM_Data!$D$1:$AC$643,21,False)</f>
        <v>5662</v>
      </c>
      <c r="BH140" s="33">
        <f>VLOOKUP($O140,Eco_DEM_Data!$D$1:$AC$643,26,False)</f>
        <v>118</v>
      </c>
      <c r="BI140" s="33" t="str">
        <f>VLOOKUP($O140,Eco_DEM_Data!$D$1:$AC$643,9,False)</f>
        <v>Petén-Veracruz moist forests</v>
      </c>
      <c r="BJ140" s="33" t="str">
        <f>VLOOKUP($O140,Eco_DEM_Data!$D$1:$AC$643,11,False)</f>
        <v>Tropical &amp; Subtropical Moist Broadleaf Forests</v>
      </c>
    </row>
    <row r="141">
      <c r="A141" s="33" t="s">
        <v>871</v>
      </c>
      <c r="B141" s="33" t="s">
        <v>2259</v>
      </c>
      <c r="C141" s="34">
        <v>8.0</v>
      </c>
      <c r="D141" s="33" t="s">
        <v>53</v>
      </c>
      <c r="E141" s="34">
        <v>2002.0</v>
      </c>
      <c r="F141" s="33" t="s">
        <v>872</v>
      </c>
      <c r="G141" s="33" t="s">
        <v>873</v>
      </c>
      <c r="H141" s="33" t="s">
        <v>732</v>
      </c>
      <c r="I141" s="33" t="s">
        <v>874</v>
      </c>
      <c r="J141" s="33" t="s">
        <v>875</v>
      </c>
      <c r="K141" s="34">
        <v>27.0</v>
      </c>
      <c r="L141" s="34">
        <v>1.0</v>
      </c>
      <c r="M141" s="6" t="s">
        <v>876</v>
      </c>
      <c r="N141" s="35" t="s">
        <v>60</v>
      </c>
      <c r="O141" s="33" t="s">
        <v>877</v>
      </c>
      <c r="P141" s="36" t="s">
        <v>62</v>
      </c>
      <c r="Q141" s="36" t="s">
        <v>167</v>
      </c>
      <c r="R141" s="36" t="s">
        <v>878</v>
      </c>
      <c r="S141" s="37">
        <v>16.98567</v>
      </c>
      <c r="T141" s="37">
        <v>-89.674358</v>
      </c>
      <c r="U141" s="36" t="s">
        <v>148</v>
      </c>
      <c r="V141" s="6" t="s">
        <v>189</v>
      </c>
      <c r="W141" s="33" t="s">
        <v>116</v>
      </c>
      <c r="X141" s="1" t="s">
        <v>879</v>
      </c>
      <c r="Y141" s="60" t="s">
        <v>70</v>
      </c>
      <c r="Z141" s="36"/>
      <c r="AA141" s="37">
        <v>8.0</v>
      </c>
      <c r="AB141" s="36"/>
      <c r="AC141" s="36"/>
      <c r="AD141" s="36"/>
      <c r="AE141" s="36"/>
      <c r="AF141" s="36"/>
      <c r="AG141" s="36"/>
      <c r="AH141" s="38" t="s">
        <v>72</v>
      </c>
      <c r="AI141" s="37">
        <v>-6830.0</v>
      </c>
      <c r="AJ141" s="37">
        <v>1950.0</v>
      </c>
      <c r="AK141" s="6" t="s">
        <v>100</v>
      </c>
      <c r="AL141" s="6" t="s">
        <v>76</v>
      </c>
      <c r="AM141" s="33" t="s">
        <v>400</v>
      </c>
      <c r="AN141" s="6" t="s">
        <v>72</v>
      </c>
      <c r="AO141" s="33"/>
      <c r="AP141" s="6" t="s">
        <v>576</v>
      </c>
      <c r="AQ141" s="33"/>
      <c r="AR141" s="33"/>
      <c r="AS141" s="33"/>
      <c r="AT141" s="6" t="s">
        <v>76</v>
      </c>
      <c r="AU141" s="33"/>
      <c r="AV141" s="33"/>
      <c r="AW141" s="33"/>
      <c r="AX141" s="33"/>
      <c r="AY141" s="33"/>
      <c r="AZ141" s="6" t="s">
        <v>76</v>
      </c>
      <c r="BA141" s="33"/>
      <c r="BB141" s="33">
        <f>VLOOKUP(O141,Eco_DEM_Data!$D$1:$AC$643,20,False)</f>
        <v>1757</v>
      </c>
      <c r="BC141" s="33">
        <f>VLOOKUP($O141,Eco_DEM_Data!$D$1:$AC$643,20,False)</f>
        <v>1757</v>
      </c>
      <c r="BD141" s="33">
        <f>VLOOKUP($O141,Eco_DEM_Data!$D$1:$AC$643,25,False)</f>
        <v>704</v>
      </c>
      <c r="BE141" s="33">
        <f>VLOOKUP($O141,Eco_DEM_Data!$D$1:$AC$643,22,False)</f>
        <v>37</v>
      </c>
      <c r="BF141" s="33">
        <f>VLOOKUP($O141,Eco_DEM_Data!$D$1:$AC$643,23,False)</f>
        <v>141</v>
      </c>
      <c r="BG141" s="33">
        <f>VLOOKUP($O141,Eco_DEM_Data!$D$1:$AC$643,21,False)</f>
        <v>5662</v>
      </c>
      <c r="BH141" s="33">
        <f>VLOOKUP($O141,Eco_DEM_Data!$D$1:$AC$643,26,False)</f>
        <v>118</v>
      </c>
      <c r="BI141" s="33" t="str">
        <f>VLOOKUP($O141,Eco_DEM_Data!$D$1:$AC$643,9,False)</f>
        <v>Petén-Veracruz moist forests</v>
      </c>
      <c r="BJ141" s="33" t="str">
        <f>VLOOKUP($O141,Eco_DEM_Data!$D$1:$AC$643,11,False)</f>
        <v>Tropical &amp; Subtropical Moist Broadleaf Forests</v>
      </c>
    </row>
    <row r="142">
      <c r="A142" s="33" t="s">
        <v>871</v>
      </c>
      <c r="B142" s="33" t="s">
        <v>2259</v>
      </c>
      <c r="C142" s="34">
        <v>8.0</v>
      </c>
      <c r="D142" s="33" t="s">
        <v>53</v>
      </c>
      <c r="E142" s="34">
        <v>2002.0</v>
      </c>
      <c r="F142" s="33" t="s">
        <v>872</v>
      </c>
      <c r="G142" s="36" t="s">
        <v>873</v>
      </c>
      <c r="H142" s="33" t="s">
        <v>732</v>
      </c>
      <c r="I142" s="33" t="s">
        <v>874</v>
      </c>
      <c r="J142" s="33" t="s">
        <v>875</v>
      </c>
      <c r="K142" s="34">
        <v>27.0</v>
      </c>
      <c r="L142" s="34">
        <v>1.0</v>
      </c>
      <c r="M142" s="6" t="s">
        <v>876</v>
      </c>
      <c r="N142" s="35" t="s">
        <v>60</v>
      </c>
      <c r="O142" s="33" t="s">
        <v>880</v>
      </c>
      <c r="P142" s="36" t="s">
        <v>62</v>
      </c>
      <c r="Q142" s="36" t="s">
        <v>167</v>
      </c>
      <c r="R142" s="36" t="s">
        <v>878</v>
      </c>
      <c r="S142" s="37">
        <v>16.98567</v>
      </c>
      <c r="T142" s="37">
        <v>-89.674358</v>
      </c>
      <c r="U142" s="36" t="s">
        <v>148</v>
      </c>
      <c r="V142" s="6" t="s">
        <v>189</v>
      </c>
      <c r="W142" s="33" t="s">
        <v>116</v>
      </c>
      <c r="X142" s="1" t="s">
        <v>879</v>
      </c>
      <c r="Y142" s="60" t="s">
        <v>70</v>
      </c>
      <c r="Z142" s="36"/>
      <c r="AA142" s="37">
        <v>9.0</v>
      </c>
      <c r="AB142" s="36"/>
      <c r="AC142" s="36"/>
      <c r="AD142" s="36"/>
      <c r="AE142" s="36"/>
      <c r="AF142" s="36"/>
      <c r="AG142" s="36"/>
      <c r="AH142" s="38" t="s">
        <v>72</v>
      </c>
      <c r="AI142" s="37">
        <v>-6270.0</v>
      </c>
      <c r="AJ142" s="37">
        <v>1950.0</v>
      </c>
      <c r="AK142" s="6" t="s">
        <v>100</v>
      </c>
      <c r="AL142" s="6" t="s">
        <v>76</v>
      </c>
      <c r="AM142" s="33" t="s">
        <v>400</v>
      </c>
      <c r="AN142" s="6" t="s">
        <v>72</v>
      </c>
      <c r="AO142" s="33"/>
      <c r="AP142" s="6" t="s">
        <v>576</v>
      </c>
      <c r="AQ142" s="33"/>
      <c r="AR142" s="33"/>
      <c r="AS142" s="33"/>
      <c r="AT142" s="6" t="s">
        <v>76</v>
      </c>
      <c r="AU142" s="33"/>
      <c r="AV142" s="33"/>
      <c r="AW142" s="33"/>
      <c r="AX142" s="33"/>
      <c r="AY142" s="33"/>
      <c r="AZ142" s="6" t="s">
        <v>76</v>
      </c>
      <c r="BA142" s="33"/>
      <c r="BB142" s="33">
        <f>VLOOKUP(O142,Eco_DEM_Data!$D$1:$AC$643,20,False)</f>
        <v>1757</v>
      </c>
      <c r="BC142" s="33">
        <f>VLOOKUP($O142,Eco_DEM_Data!$D$1:$AC$643,20,False)</f>
        <v>1757</v>
      </c>
      <c r="BD142" s="33">
        <f>VLOOKUP($O142,Eco_DEM_Data!$D$1:$AC$643,25,False)</f>
        <v>704</v>
      </c>
      <c r="BE142" s="33">
        <f>VLOOKUP($O142,Eco_DEM_Data!$D$1:$AC$643,22,False)</f>
        <v>37</v>
      </c>
      <c r="BF142" s="33">
        <f>VLOOKUP($O142,Eco_DEM_Data!$D$1:$AC$643,23,False)</f>
        <v>141</v>
      </c>
      <c r="BG142" s="33">
        <f>VLOOKUP($O142,Eco_DEM_Data!$D$1:$AC$643,21,False)</f>
        <v>5662</v>
      </c>
      <c r="BH142" s="33">
        <f>VLOOKUP($O142,Eco_DEM_Data!$D$1:$AC$643,26,False)</f>
        <v>118</v>
      </c>
      <c r="BI142" s="33" t="str">
        <f>VLOOKUP($O142,Eco_DEM_Data!$D$1:$AC$643,9,False)</f>
        <v>Petén-Veracruz moist forests</v>
      </c>
      <c r="BJ142" s="33" t="str">
        <f>VLOOKUP($O142,Eco_DEM_Data!$D$1:$AC$643,11,False)</f>
        <v>Tropical &amp; Subtropical Moist Broadleaf Forests</v>
      </c>
    </row>
    <row r="143">
      <c r="A143" s="33" t="s">
        <v>871</v>
      </c>
      <c r="B143" s="33" t="s">
        <v>2259</v>
      </c>
      <c r="C143" s="34">
        <v>8.0</v>
      </c>
      <c r="D143" s="33" t="s">
        <v>53</v>
      </c>
      <c r="E143" s="34">
        <v>2002.0</v>
      </c>
      <c r="F143" s="33" t="s">
        <v>872</v>
      </c>
      <c r="G143" s="33" t="s">
        <v>873</v>
      </c>
      <c r="H143" s="33" t="s">
        <v>732</v>
      </c>
      <c r="I143" s="33" t="s">
        <v>874</v>
      </c>
      <c r="J143" s="33" t="s">
        <v>875</v>
      </c>
      <c r="K143" s="34">
        <v>27.0</v>
      </c>
      <c r="L143" s="34">
        <v>1.0</v>
      </c>
      <c r="M143" s="6" t="s">
        <v>876</v>
      </c>
      <c r="N143" s="35" t="s">
        <v>60</v>
      </c>
      <c r="O143" s="33" t="s">
        <v>881</v>
      </c>
      <c r="P143" s="36" t="s">
        <v>62</v>
      </c>
      <c r="Q143" s="36" t="s">
        <v>167</v>
      </c>
      <c r="R143" s="36" t="s">
        <v>878</v>
      </c>
      <c r="S143" s="37">
        <v>16.98567</v>
      </c>
      <c r="T143" s="37">
        <v>-89.674358</v>
      </c>
      <c r="U143" s="36" t="s">
        <v>148</v>
      </c>
      <c r="V143" s="6" t="s">
        <v>95</v>
      </c>
      <c r="W143" s="6" t="s">
        <v>96</v>
      </c>
      <c r="X143" s="1" t="s">
        <v>882</v>
      </c>
      <c r="Y143" s="33" t="s">
        <v>256</v>
      </c>
      <c r="Z143" s="36"/>
      <c r="AA143" s="37">
        <v>8.0</v>
      </c>
      <c r="AB143" s="36"/>
      <c r="AC143" s="36"/>
      <c r="AD143" s="36"/>
      <c r="AE143" s="36"/>
      <c r="AF143" s="36"/>
      <c r="AG143" s="36"/>
      <c r="AH143" s="38" t="s">
        <v>72</v>
      </c>
      <c r="AI143" s="37">
        <v>-6830.0</v>
      </c>
      <c r="AJ143" s="37">
        <v>1950.0</v>
      </c>
      <c r="AK143" s="6" t="s">
        <v>100</v>
      </c>
      <c r="AL143" s="6" t="s">
        <v>76</v>
      </c>
      <c r="AM143" s="33" t="s">
        <v>400</v>
      </c>
      <c r="AN143" s="6" t="s">
        <v>72</v>
      </c>
      <c r="AO143" s="33"/>
      <c r="AP143" s="6" t="s">
        <v>576</v>
      </c>
      <c r="AQ143" s="33"/>
      <c r="AR143" s="33"/>
      <c r="AS143" s="33"/>
      <c r="AT143" s="6" t="s">
        <v>76</v>
      </c>
      <c r="AU143" s="33"/>
      <c r="AV143" s="33"/>
      <c r="AW143" s="33"/>
      <c r="AX143" s="33"/>
      <c r="AY143" s="33"/>
      <c r="AZ143" s="6" t="s">
        <v>76</v>
      </c>
      <c r="BA143" s="33"/>
      <c r="BB143" s="33">
        <f>VLOOKUP(O143,Eco_DEM_Data!$D$1:$AC$643,20,False)</f>
        <v>1757</v>
      </c>
      <c r="BC143" s="33">
        <f>VLOOKUP($O143,Eco_DEM_Data!$D$1:$AC$643,20,False)</f>
        <v>1757</v>
      </c>
      <c r="BD143" s="33">
        <f>VLOOKUP($O143,Eco_DEM_Data!$D$1:$AC$643,25,False)</f>
        <v>704</v>
      </c>
      <c r="BE143" s="33">
        <f>VLOOKUP($O143,Eco_DEM_Data!$D$1:$AC$643,22,False)</f>
        <v>37</v>
      </c>
      <c r="BF143" s="33">
        <f>VLOOKUP($O143,Eco_DEM_Data!$D$1:$AC$643,23,False)</f>
        <v>141</v>
      </c>
      <c r="BG143" s="33">
        <f>VLOOKUP($O143,Eco_DEM_Data!$D$1:$AC$643,21,False)</f>
        <v>5662</v>
      </c>
      <c r="BH143" s="33">
        <f>VLOOKUP($O143,Eco_DEM_Data!$D$1:$AC$643,26,False)</f>
        <v>118</v>
      </c>
      <c r="BI143" s="33" t="str">
        <f>VLOOKUP($O143,Eco_DEM_Data!$D$1:$AC$643,9,False)</f>
        <v>Petén-Veracruz moist forests</v>
      </c>
      <c r="BJ143" s="33" t="str">
        <f>VLOOKUP($O143,Eco_DEM_Data!$D$1:$AC$643,11,False)</f>
        <v>Tropical &amp; Subtropical Moist Broadleaf Forests</v>
      </c>
    </row>
    <row r="144">
      <c r="A144" s="33" t="s">
        <v>871</v>
      </c>
      <c r="B144" s="33" t="s">
        <v>2259</v>
      </c>
      <c r="C144" s="34">
        <v>8.0</v>
      </c>
      <c r="D144" s="33" t="s">
        <v>53</v>
      </c>
      <c r="E144" s="34">
        <v>2002.0</v>
      </c>
      <c r="F144" s="33" t="s">
        <v>872</v>
      </c>
      <c r="G144" s="36" t="s">
        <v>873</v>
      </c>
      <c r="H144" s="33" t="s">
        <v>732</v>
      </c>
      <c r="I144" s="33" t="s">
        <v>874</v>
      </c>
      <c r="J144" s="33" t="s">
        <v>875</v>
      </c>
      <c r="K144" s="34">
        <v>27.0</v>
      </c>
      <c r="L144" s="34">
        <v>1.0</v>
      </c>
      <c r="M144" s="6" t="s">
        <v>876</v>
      </c>
      <c r="N144" s="35" t="s">
        <v>60</v>
      </c>
      <c r="O144" s="33" t="s">
        <v>883</v>
      </c>
      <c r="P144" s="36" t="s">
        <v>62</v>
      </c>
      <c r="Q144" s="36" t="s">
        <v>167</v>
      </c>
      <c r="R144" s="36" t="s">
        <v>878</v>
      </c>
      <c r="S144" s="37">
        <v>16.98567</v>
      </c>
      <c r="T144" s="37">
        <v>-89.674358</v>
      </c>
      <c r="U144" s="36" t="s">
        <v>148</v>
      </c>
      <c r="V144" s="6" t="s">
        <v>95</v>
      </c>
      <c r="W144" s="6" t="s">
        <v>96</v>
      </c>
      <c r="X144" s="1" t="s">
        <v>882</v>
      </c>
      <c r="Y144" s="33" t="s">
        <v>256</v>
      </c>
      <c r="Z144" s="36"/>
      <c r="AA144" s="37">
        <v>9.0</v>
      </c>
      <c r="AB144" s="36"/>
      <c r="AC144" s="36"/>
      <c r="AD144" s="36"/>
      <c r="AE144" s="36"/>
      <c r="AF144" s="36"/>
      <c r="AG144" s="36"/>
      <c r="AH144" s="38" t="s">
        <v>72</v>
      </c>
      <c r="AI144" s="37">
        <v>-6270.0</v>
      </c>
      <c r="AJ144" s="37">
        <v>1950.0</v>
      </c>
      <c r="AK144" s="6" t="s">
        <v>100</v>
      </c>
      <c r="AL144" s="6" t="s">
        <v>76</v>
      </c>
      <c r="AM144" s="33" t="s">
        <v>400</v>
      </c>
      <c r="AN144" s="6" t="s">
        <v>72</v>
      </c>
      <c r="AO144" s="33"/>
      <c r="AP144" s="6" t="s">
        <v>576</v>
      </c>
      <c r="AQ144" s="33"/>
      <c r="AR144" s="33"/>
      <c r="AS144" s="33"/>
      <c r="AT144" s="6" t="s">
        <v>76</v>
      </c>
      <c r="AU144" s="33"/>
      <c r="AV144" s="33"/>
      <c r="AW144" s="33"/>
      <c r="AX144" s="33"/>
      <c r="AY144" s="33"/>
      <c r="AZ144" s="6" t="s">
        <v>76</v>
      </c>
      <c r="BA144" s="33"/>
      <c r="BB144" s="33">
        <f>VLOOKUP(O144,Eco_DEM_Data!$D$1:$AC$643,20,False)</f>
        <v>1757</v>
      </c>
      <c r="BC144" s="33">
        <f>VLOOKUP($O144,Eco_DEM_Data!$D$1:$AC$643,20,False)</f>
        <v>1757</v>
      </c>
      <c r="BD144" s="33">
        <f>VLOOKUP($O144,Eco_DEM_Data!$D$1:$AC$643,25,False)</f>
        <v>704</v>
      </c>
      <c r="BE144" s="33">
        <f>VLOOKUP($O144,Eco_DEM_Data!$D$1:$AC$643,22,False)</f>
        <v>37</v>
      </c>
      <c r="BF144" s="33">
        <f>VLOOKUP($O144,Eco_DEM_Data!$D$1:$AC$643,23,False)</f>
        <v>141</v>
      </c>
      <c r="BG144" s="33">
        <f>VLOOKUP($O144,Eco_DEM_Data!$D$1:$AC$643,21,False)</f>
        <v>5662</v>
      </c>
      <c r="BH144" s="33">
        <f>VLOOKUP($O144,Eco_DEM_Data!$D$1:$AC$643,26,False)</f>
        <v>118</v>
      </c>
      <c r="BI144" s="33" t="str">
        <f>VLOOKUP($O144,Eco_DEM_Data!$D$1:$AC$643,9,False)</f>
        <v>Petén-Veracruz moist forests</v>
      </c>
      <c r="BJ144" s="33" t="str">
        <f>VLOOKUP($O144,Eco_DEM_Data!$D$1:$AC$643,11,False)</f>
        <v>Tropical &amp; Subtropical Moist Broadleaf Forests</v>
      </c>
    </row>
    <row r="145">
      <c r="A145" s="33" t="s">
        <v>871</v>
      </c>
      <c r="B145" s="33" t="s">
        <v>2259</v>
      </c>
      <c r="C145" s="34">
        <v>8.0</v>
      </c>
      <c r="D145" s="33" t="s">
        <v>53</v>
      </c>
      <c r="E145" s="34">
        <v>2002.0</v>
      </c>
      <c r="F145" s="33" t="s">
        <v>872</v>
      </c>
      <c r="G145" s="33" t="s">
        <v>873</v>
      </c>
      <c r="H145" s="33" t="s">
        <v>732</v>
      </c>
      <c r="I145" s="33" t="s">
        <v>874</v>
      </c>
      <c r="J145" s="33" t="s">
        <v>875</v>
      </c>
      <c r="K145" s="34">
        <v>27.0</v>
      </c>
      <c r="L145" s="34">
        <v>1.0</v>
      </c>
      <c r="M145" s="6" t="s">
        <v>876</v>
      </c>
      <c r="N145" s="35" t="s">
        <v>60</v>
      </c>
      <c r="O145" s="33" t="s">
        <v>884</v>
      </c>
      <c r="P145" s="36" t="s">
        <v>62</v>
      </c>
      <c r="Q145" s="36" t="s">
        <v>167</v>
      </c>
      <c r="R145" s="36" t="s">
        <v>878</v>
      </c>
      <c r="S145" s="37">
        <v>16.98567</v>
      </c>
      <c r="T145" s="37">
        <v>-89.674358</v>
      </c>
      <c r="U145" s="36" t="s">
        <v>148</v>
      </c>
      <c r="V145" s="6" t="s">
        <v>189</v>
      </c>
      <c r="W145" s="33" t="s">
        <v>116</v>
      </c>
      <c r="X145" s="1" t="s">
        <v>879</v>
      </c>
      <c r="Y145" s="33" t="s">
        <v>70</v>
      </c>
      <c r="Z145" s="36"/>
      <c r="AA145" s="37">
        <v>8.0</v>
      </c>
      <c r="AB145" s="36"/>
      <c r="AC145" s="36"/>
      <c r="AD145" s="36"/>
      <c r="AE145" s="36"/>
      <c r="AF145" s="36"/>
      <c r="AG145" s="36"/>
      <c r="AH145" s="38" t="s">
        <v>72</v>
      </c>
      <c r="AI145" s="37">
        <v>-6830.0</v>
      </c>
      <c r="AJ145" s="37">
        <v>1950.0</v>
      </c>
      <c r="AK145" s="6" t="s">
        <v>100</v>
      </c>
      <c r="AL145" s="6" t="s">
        <v>76</v>
      </c>
      <c r="AM145" s="33" t="s">
        <v>400</v>
      </c>
      <c r="AN145" s="6" t="s">
        <v>72</v>
      </c>
      <c r="AO145" s="33"/>
      <c r="AP145" s="6" t="s">
        <v>576</v>
      </c>
      <c r="AQ145" s="33"/>
      <c r="AR145" s="33"/>
      <c r="AS145" s="33"/>
      <c r="AT145" s="6" t="s">
        <v>76</v>
      </c>
      <c r="AU145" s="33"/>
      <c r="AV145" s="33"/>
      <c r="AW145" s="33"/>
      <c r="AX145" s="33"/>
      <c r="AY145" s="33"/>
      <c r="AZ145" s="6" t="s">
        <v>76</v>
      </c>
      <c r="BA145" s="33"/>
      <c r="BB145" s="33">
        <f>VLOOKUP(O145,Eco_DEM_Data!$D$1:$AC$643,20,False)</f>
        <v>1757</v>
      </c>
      <c r="BC145" s="33">
        <f>VLOOKUP($O145,Eco_DEM_Data!$D$1:$AC$643,20,False)</f>
        <v>1757</v>
      </c>
      <c r="BD145" s="33">
        <f>VLOOKUP($O145,Eco_DEM_Data!$D$1:$AC$643,25,False)</f>
        <v>704</v>
      </c>
      <c r="BE145" s="33">
        <f>VLOOKUP($O145,Eco_DEM_Data!$D$1:$AC$643,22,False)</f>
        <v>37</v>
      </c>
      <c r="BF145" s="33">
        <f>VLOOKUP($O145,Eco_DEM_Data!$D$1:$AC$643,23,False)</f>
        <v>141</v>
      </c>
      <c r="BG145" s="33">
        <f>VLOOKUP($O145,Eco_DEM_Data!$D$1:$AC$643,21,False)</f>
        <v>5662</v>
      </c>
      <c r="BH145" s="33">
        <f>VLOOKUP($O145,Eco_DEM_Data!$D$1:$AC$643,26,False)</f>
        <v>118</v>
      </c>
      <c r="BI145" s="33" t="str">
        <f>VLOOKUP($O145,Eco_DEM_Data!$D$1:$AC$643,9,False)</f>
        <v>Petén-Veracruz moist forests</v>
      </c>
      <c r="BJ145" s="33" t="str">
        <f>VLOOKUP($O145,Eco_DEM_Data!$D$1:$AC$643,11,False)</f>
        <v>Tropical &amp; Subtropical Moist Broadleaf Forests</v>
      </c>
    </row>
    <row r="146">
      <c r="A146" s="33" t="s">
        <v>871</v>
      </c>
      <c r="B146" s="33" t="s">
        <v>2259</v>
      </c>
      <c r="C146" s="34">
        <v>8.0</v>
      </c>
      <c r="D146" s="33" t="s">
        <v>53</v>
      </c>
      <c r="E146" s="34">
        <v>2002.0</v>
      </c>
      <c r="F146" s="33" t="s">
        <v>872</v>
      </c>
      <c r="G146" s="33" t="s">
        <v>873</v>
      </c>
      <c r="H146" s="33" t="s">
        <v>732</v>
      </c>
      <c r="I146" s="33" t="s">
        <v>874</v>
      </c>
      <c r="J146" s="33" t="s">
        <v>875</v>
      </c>
      <c r="K146" s="34">
        <v>27.0</v>
      </c>
      <c r="L146" s="34">
        <v>1.0</v>
      </c>
      <c r="M146" s="6" t="s">
        <v>876</v>
      </c>
      <c r="N146" s="35" t="s">
        <v>60</v>
      </c>
      <c r="O146" s="33" t="s">
        <v>886</v>
      </c>
      <c r="P146" s="36" t="s">
        <v>62</v>
      </c>
      <c r="Q146" s="36" t="s">
        <v>167</v>
      </c>
      <c r="R146" s="36" t="s">
        <v>878</v>
      </c>
      <c r="S146" s="37">
        <v>16.98567</v>
      </c>
      <c r="T146" s="37">
        <v>-89.674358</v>
      </c>
      <c r="U146" s="36" t="s">
        <v>148</v>
      </c>
      <c r="V146" s="6" t="s">
        <v>189</v>
      </c>
      <c r="W146" s="33" t="s">
        <v>116</v>
      </c>
      <c r="X146" s="1" t="s">
        <v>879</v>
      </c>
      <c r="Y146" s="33" t="s">
        <v>70</v>
      </c>
      <c r="Z146" s="36"/>
      <c r="AA146" s="37">
        <v>9.0</v>
      </c>
      <c r="AB146" s="36"/>
      <c r="AC146" s="36"/>
      <c r="AD146" s="36"/>
      <c r="AE146" s="36"/>
      <c r="AF146" s="36"/>
      <c r="AG146" s="36"/>
      <c r="AH146" s="38" t="s">
        <v>72</v>
      </c>
      <c r="AI146" s="37">
        <v>-6270.0</v>
      </c>
      <c r="AJ146" s="37">
        <v>1950.0</v>
      </c>
      <c r="AK146" s="6" t="s">
        <v>100</v>
      </c>
      <c r="AL146" s="6" t="s">
        <v>76</v>
      </c>
      <c r="AM146" s="33" t="s">
        <v>400</v>
      </c>
      <c r="AN146" s="6" t="s">
        <v>72</v>
      </c>
      <c r="AO146" s="33"/>
      <c r="AP146" s="6" t="s">
        <v>576</v>
      </c>
      <c r="AQ146" s="33"/>
      <c r="AR146" s="33"/>
      <c r="AS146" s="33"/>
      <c r="AT146" s="6" t="s">
        <v>76</v>
      </c>
      <c r="AU146" s="33"/>
      <c r="AV146" s="33"/>
      <c r="AW146" s="33"/>
      <c r="AX146" s="33"/>
      <c r="AY146" s="33"/>
      <c r="AZ146" s="6" t="s">
        <v>76</v>
      </c>
      <c r="BA146" s="33"/>
      <c r="BB146" s="33">
        <f>VLOOKUP(O146,Eco_DEM_Data!$D$1:$AC$643,20,False)</f>
        <v>1757</v>
      </c>
      <c r="BC146" s="33">
        <f>VLOOKUP($O146,Eco_DEM_Data!$D$1:$AC$643,20,False)</f>
        <v>1757</v>
      </c>
      <c r="BD146" s="33">
        <f>VLOOKUP($O146,Eco_DEM_Data!$D$1:$AC$643,25,False)</f>
        <v>704</v>
      </c>
      <c r="BE146" s="33">
        <f>VLOOKUP($O146,Eco_DEM_Data!$D$1:$AC$643,22,False)</f>
        <v>37</v>
      </c>
      <c r="BF146" s="33">
        <f>VLOOKUP($O146,Eco_DEM_Data!$D$1:$AC$643,23,False)</f>
        <v>141</v>
      </c>
      <c r="BG146" s="33">
        <f>VLOOKUP($O146,Eco_DEM_Data!$D$1:$AC$643,21,False)</f>
        <v>5662</v>
      </c>
      <c r="BH146" s="33">
        <f>VLOOKUP($O146,Eco_DEM_Data!$D$1:$AC$643,26,False)</f>
        <v>118</v>
      </c>
      <c r="BI146" s="33" t="str">
        <f>VLOOKUP($O146,Eco_DEM_Data!$D$1:$AC$643,9,False)</f>
        <v>Petén-Veracruz moist forests</v>
      </c>
      <c r="BJ146" s="33" t="str">
        <f>VLOOKUP($O146,Eco_DEM_Data!$D$1:$AC$643,11,False)</f>
        <v>Tropical &amp; Subtropical Moist Broadleaf Forests</v>
      </c>
    </row>
    <row r="147">
      <c r="A147" s="33" t="s">
        <v>871</v>
      </c>
      <c r="B147" s="33" t="s">
        <v>2259</v>
      </c>
      <c r="C147" s="34">
        <v>8.0</v>
      </c>
      <c r="D147" s="33" t="s">
        <v>53</v>
      </c>
      <c r="E147" s="34">
        <v>2002.0</v>
      </c>
      <c r="F147" s="33" t="s">
        <v>872</v>
      </c>
      <c r="G147" s="33" t="s">
        <v>873</v>
      </c>
      <c r="H147" s="33" t="s">
        <v>732</v>
      </c>
      <c r="I147" s="33" t="s">
        <v>874</v>
      </c>
      <c r="J147" s="33" t="s">
        <v>875</v>
      </c>
      <c r="K147" s="34">
        <v>27.0</v>
      </c>
      <c r="L147" s="34">
        <v>1.0</v>
      </c>
      <c r="M147" s="6" t="s">
        <v>876</v>
      </c>
      <c r="N147" s="35" t="s">
        <v>60</v>
      </c>
      <c r="O147" s="33" t="s">
        <v>887</v>
      </c>
      <c r="P147" s="36" t="s">
        <v>62</v>
      </c>
      <c r="Q147" s="36" t="s">
        <v>167</v>
      </c>
      <c r="R147" s="36" t="s">
        <v>878</v>
      </c>
      <c r="S147" s="37">
        <v>16.98567</v>
      </c>
      <c r="T147" s="37">
        <v>-89.674358</v>
      </c>
      <c r="U147" s="36" t="s">
        <v>148</v>
      </c>
      <c r="V147" s="38" t="s">
        <v>194</v>
      </c>
      <c r="W147" s="33" t="s">
        <v>116</v>
      </c>
      <c r="X147" s="1" t="s">
        <v>888</v>
      </c>
      <c r="Y147" s="33" t="s">
        <v>70</v>
      </c>
      <c r="Z147" s="36"/>
      <c r="AA147" s="37">
        <v>8.0</v>
      </c>
      <c r="AB147" s="36"/>
      <c r="AC147" s="36"/>
      <c r="AD147" s="36"/>
      <c r="AE147" s="36"/>
      <c r="AF147" s="36"/>
      <c r="AG147" s="36"/>
      <c r="AH147" s="38" t="s">
        <v>72</v>
      </c>
      <c r="AI147" s="37">
        <v>-6830.0</v>
      </c>
      <c r="AJ147" s="37">
        <v>1950.0</v>
      </c>
      <c r="AK147" s="6" t="s">
        <v>100</v>
      </c>
      <c r="AL147" s="6" t="s">
        <v>76</v>
      </c>
      <c r="AM147" s="33" t="s">
        <v>400</v>
      </c>
      <c r="AN147" s="6" t="s">
        <v>72</v>
      </c>
      <c r="AO147" s="33"/>
      <c r="AP147" s="6" t="s">
        <v>576</v>
      </c>
      <c r="AQ147" s="33"/>
      <c r="AR147" s="33"/>
      <c r="AS147" s="33"/>
      <c r="AT147" s="6" t="s">
        <v>76</v>
      </c>
      <c r="AU147" s="33"/>
      <c r="AV147" s="33"/>
      <c r="AW147" s="33"/>
      <c r="AX147" s="33"/>
      <c r="AY147" s="33"/>
      <c r="AZ147" s="6" t="s">
        <v>76</v>
      </c>
      <c r="BA147" s="33"/>
      <c r="BB147" s="33">
        <f>VLOOKUP(O147,Eco_DEM_Data!$D$1:$AC$643,20,False)</f>
        <v>1757</v>
      </c>
      <c r="BC147" s="33">
        <f>VLOOKUP($O147,Eco_DEM_Data!$D$1:$AC$643,20,False)</f>
        <v>1757</v>
      </c>
      <c r="BD147" s="33">
        <f>VLOOKUP($O147,Eco_DEM_Data!$D$1:$AC$643,25,False)</f>
        <v>704</v>
      </c>
      <c r="BE147" s="33">
        <f>VLOOKUP($O147,Eco_DEM_Data!$D$1:$AC$643,22,False)</f>
        <v>37</v>
      </c>
      <c r="BF147" s="33">
        <f>VLOOKUP($O147,Eco_DEM_Data!$D$1:$AC$643,23,False)</f>
        <v>141</v>
      </c>
      <c r="BG147" s="33">
        <f>VLOOKUP($O147,Eco_DEM_Data!$D$1:$AC$643,21,False)</f>
        <v>5662</v>
      </c>
      <c r="BH147" s="33">
        <f>VLOOKUP($O147,Eco_DEM_Data!$D$1:$AC$643,26,False)</f>
        <v>118</v>
      </c>
      <c r="BI147" s="33" t="str">
        <f>VLOOKUP($O147,Eco_DEM_Data!$D$1:$AC$643,9,False)</f>
        <v>Petén-Veracruz moist forests</v>
      </c>
      <c r="BJ147" s="33" t="str">
        <f>VLOOKUP($O147,Eco_DEM_Data!$D$1:$AC$643,11,False)</f>
        <v>Tropical &amp; Subtropical Moist Broadleaf Forests</v>
      </c>
    </row>
    <row r="148">
      <c r="A148" s="33" t="s">
        <v>871</v>
      </c>
      <c r="B148" s="33" t="s">
        <v>2259</v>
      </c>
      <c r="C148" s="34">
        <v>8.0</v>
      </c>
      <c r="D148" s="33" t="s">
        <v>53</v>
      </c>
      <c r="E148" s="34">
        <v>2002.0</v>
      </c>
      <c r="F148" s="33" t="s">
        <v>872</v>
      </c>
      <c r="G148" s="33" t="s">
        <v>873</v>
      </c>
      <c r="H148" s="33" t="s">
        <v>732</v>
      </c>
      <c r="I148" s="33" t="s">
        <v>874</v>
      </c>
      <c r="J148" s="33" t="s">
        <v>875</v>
      </c>
      <c r="K148" s="34">
        <v>27.0</v>
      </c>
      <c r="L148" s="34">
        <v>1.0</v>
      </c>
      <c r="M148" s="6" t="s">
        <v>876</v>
      </c>
      <c r="N148" s="35" t="s">
        <v>60</v>
      </c>
      <c r="O148" s="33" t="s">
        <v>889</v>
      </c>
      <c r="P148" s="36" t="s">
        <v>62</v>
      </c>
      <c r="Q148" s="36" t="s">
        <v>167</v>
      </c>
      <c r="R148" s="36" t="s">
        <v>878</v>
      </c>
      <c r="S148" s="37">
        <v>16.98567</v>
      </c>
      <c r="T148" s="37">
        <v>-89.674358</v>
      </c>
      <c r="U148" s="36" t="s">
        <v>148</v>
      </c>
      <c r="V148" s="38" t="s">
        <v>194</v>
      </c>
      <c r="W148" s="33" t="s">
        <v>116</v>
      </c>
      <c r="X148" s="1" t="s">
        <v>888</v>
      </c>
      <c r="Y148" s="33" t="s">
        <v>70</v>
      </c>
      <c r="Z148" s="36"/>
      <c r="AA148" s="37">
        <v>9.0</v>
      </c>
      <c r="AB148" s="36"/>
      <c r="AC148" s="36"/>
      <c r="AD148" s="36"/>
      <c r="AE148" s="36"/>
      <c r="AF148" s="36"/>
      <c r="AG148" s="36"/>
      <c r="AH148" s="38" t="s">
        <v>72</v>
      </c>
      <c r="AI148" s="37">
        <v>-6270.0</v>
      </c>
      <c r="AJ148" s="37">
        <v>1950.0</v>
      </c>
      <c r="AK148" s="6" t="s">
        <v>100</v>
      </c>
      <c r="AL148" s="6" t="s">
        <v>76</v>
      </c>
      <c r="AM148" s="33" t="s">
        <v>400</v>
      </c>
      <c r="AN148" s="6" t="s">
        <v>72</v>
      </c>
      <c r="AO148" s="33"/>
      <c r="AP148" s="6" t="s">
        <v>576</v>
      </c>
      <c r="AQ148" s="33"/>
      <c r="AR148" s="33"/>
      <c r="AS148" s="33"/>
      <c r="AT148" s="6" t="s">
        <v>76</v>
      </c>
      <c r="AU148" s="33"/>
      <c r="AV148" s="33"/>
      <c r="AW148" s="33"/>
      <c r="AX148" s="33"/>
      <c r="AY148" s="33"/>
      <c r="AZ148" s="6" t="s">
        <v>76</v>
      </c>
      <c r="BA148" s="33"/>
      <c r="BB148" s="33">
        <f>VLOOKUP(O148,Eco_DEM_Data!$D$1:$AC$643,20,False)</f>
        <v>1757</v>
      </c>
      <c r="BC148" s="33">
        <f>VLOOKUP($O148,Eco_DEM_Data!$D$1:$AC$643,20,False)</f>
        <v>1757</v>
      </c>
      <c r="BD148" s="33">
        <f>VLOOKUP($O148,Eco_DEM_Data!$D$1:$AC$643,25,False)</f>
        <v>704</v>
      </c>
      <c r="BE148" s="33">
        <f>VLOOKUP($O148,Eco_DEM_Data!$D$1:$AC$643,22,False)</f>
        <v>37</v>
      </c>
      <c r="BF148" s="33">
        <f>VLOOKUP($O148,Eco_DEM_Data!$D$1:$AC$643,23,False)</f>
        <v>141</v>
      </c>
      <c r="BG148" s="33">
        <f>VLOOKUP($O148,Eco_DEM_Data!$D$1:$AC$643,21,False)</f>
        <v>5662</v>
      </c>
      <c r="BH148" s="33">
        <f>VLOOKUP($O148,Eco_DEM_Data!$D$1:$AC$643,26,False)</f>
        <v>118</v>
      </c>
      <c r="BI148" s="33" t="str">
        <f>VLOOKUP($O148,Eco_DEM_Data!$D$1:$AC$643,9,False)</f>
        <v>Petén-Veracruz moist forests</v>
      </c>
      <c r="BJ148" s="33" t="str">
        <f>VLOOKUP($O148,Eco_DEM_Data!$D$1:$AC$643,11,False)</f>
        <v>Tropical &amp; Subtropical Moist Broadleaf Forests</v>
      </c>
    </row>
    <row r="149">
      <c r="A149" s="33" t="s">
        <v>52</v>
      </c>
      <c r="B149" s="33" t="s">
        <v>2259</v>
      </c>
      <c r="C149" s="34">
        <v>2.0</v>
      </c>
      <c r="D149" s="33" t="s">
        <v>53</v>
      </c>
      <c r="E149" s="34">
        <v>2002.0</v>
      </c>
      <c r="F149" s="33" t="s">
        <v>54</v>
      </c>
      <c r="G149" s="33" t="s">
        <v>55</v>
      </c>
      <c r="H149" s="33" t="s">
        <v>56</v>
      </c>
      <c r="I149" s="33" t="s">
        <v>57</v>
      </c>
      <c r="J149" s="33" t="s">
        <v>58</v>
      </c>
      <c r="K149" s="34">
        <v>13.0</v>
      </c>
      <c r="L149" s="34">
        <v>2.0</v>
      </c>
      <c r="M149" s="6" t="s">
        <v>59</v>
      </c>
      <c r="N149" s="35" t="s">
        <v>60</v>
      </c>
      <c r="O149" s="33" t="s">
        <v>61</v>
      </c>
      <c r="P149" s="36" t="s">
        <v>62</v>
      </c>
      <c r="Q149" s="36" t="s">
        <v>63</v>
      </c>
      <c r="R149" s="36" t="s">
        <v>64</v>
      </c>
      <c r="S149" s="37">
        <v>14.867</v>
      </c>
      <c r="T149" s="37">
        <v>-89.125</v>
      </c>
      <c r="U149" s="36" t="s">
        <v>65</v>
      </c>
      <c r="V149" s="38" t="s">
        <v>66</v>
      </c>
      <c r="W149" s="41" t="s">
        <v>1287</v>
      </c>
      <c r="X149" s="7" t="s">
        <v>69</v>
      </c>
      <c r="Y149" s="41" t="s">
        <v>70</v>
      </c>
      <c r="Z149" s="43"/>
      <c r="AA149" s="42">
        <v>8.0</v>
      </c>
      <c r="AB149" s="43"/>
      <c r="AC149" s="43"/>
      <c r="AD149" s="43"/>
      <c r="AE149" s="43"/>
      <c r="AF149" s="43"/>
      <c r="AG149" s="43"/>
      <c r="AH149" s="38" t="s">
        <v>72</v>
      </c>
      <c r="AI149" s="42">
        <v>-3637.0</v>
      </c>
      <c r="AJ149" s="42">
        <v>1989.0</v>
      </c>
      <c r="AK149" s="5" t="s">
        <v>100</v>
      </c>
      <c r="AL149" s="5" t="s">
        <v>72</v>
      </c>
      <c r="AM149" s="41" t="s">
        <v>74</v>
      </c>
      <c r="AN149" s="5" t="s">
        <v>72</v>
      </c>
      <c r="AO149" s="41"/>
      <c r="AP149" s="5" t="s">
        <v>75</v>
      </c>
      <c r="AQ149" s="41"/>
      <c r="AR149" s="41"/>
      <c r="AS149" s="41"/>
      <c r="AT149" s="5" t="s">
        <v>60</v>
      </c>
      <c r="AU149" s="33"/>
      <c r="AV149" s="33"/>
      <c r="AW149" s="33"/>
      <c r="AX149" s="33"/>
      <c r="AY149" s="6" t="s">
        <v>76</v>
      </c>
      <c r="AZ149" s="6" t="s">
        <v>76</v>
      </c>
      <c r="BA149" s="33"/>
      <c r="BB149" s="33">
        <f>VLOOKUP(O149,Eco_DEM_Data!$D$1:$AC$643,20,False)</f>
        <v>1510</v>
      </c>
      <c r="BC149" s="33">
        <f>VLOOKUP($O149,Eco_DEM_Data!$D$1:$AC$643,20,False)</f>
        <v>1510</v>
      </c>
      <c r="BD149" s="33">
        <f>VLOOKUP($O149,Eco_DEM_Data!$D$1:$AC$643,25,False)</f>
        <v>719</v>
      </c>
      <c r="BE149" s="33">
        <f>VLOOKUP($O149,Eco_DEM_Data!$D$1:$AC$643,22,False)</f>
        <v>20</v>
      </c>
      <c r="BF149" s="33">
        <f>VLOOKUP($O149,Eco_DEM_Data!$D$1:$AC$643,23,False)</f>
        <v>74</v>
      </c>
      <c r="BG149" s="33">
        <f>VLOOKUP($O149,Eco_DEM_Data!$D$1:$AC$643,21,False)</f>
        <v>7799</v>
      </c>
      <c r="BH149" s="33">
        <f>VLOOKUP($O149,Eco_DEM_Data!$D$1:$AC$643,26,False)</f>
        <v>784</v>
      </c>
      <c r="BI149" s="33" t="str">
        <f>VLOOKUP($O149,Eco_DEM_Data!$D$1:$AC$643,9,False)</f>
        <v>Central American pine-oak forests</v>
      </c>
      <c r="BJ149" s="33" t="str">
        <f>VLOOKUP($O149,Eco_DEM_Data!$D$1:$AC$643,11,False)</f>
        <v>Tropical &amp; Subtropical Coniferous Forests</v>
      </c>
    </row>
    <row r="150">
      <c r="A150" s="33" t="s">
        <v>52</v>
      </c>
      <c r="B150" s="33" t="s">
        <v>2259</v>
      </c>
      <c r="C150" s="34">
        <v>2.0</v>
      </c>
      <c r="D150" s="33" t="s">
        <v>53</v>
      </c>
      <c r="E150" s="34">
        <v>2002.0</v>
      </c>
      <c r="F150" s="33" t="s">
        <v>54</v>
      </c>
      <c r="G150" s="33" t="s">
        <v>55</v>
      </c>
      <c r="H150" s="33" t="s">
        <v>56</v>
      </c>
      <c r="I150" s="33" t="s">
        <v>57</v>
      </c>
      <c r="J150" s="33" t="s">
        <v>58</v>
      </c>
      <c r="K150" s="34">
        <v>13.0</v>
      </c>
      <c r="L150" s="34">
        <v>2.0</v>
      </c>
      <c r="M150" s="6" t="s">
        <v>59</v>
      </c>
      <c r="N150" s="35" t="s">
        <v>60</v>
      </c>
      <c r="O150" s="33" t="s">
        <v>79</v>
      </c>
      <c r="P150" s="36" t="s">
        <v>62</v>
      </c>
      <c r="Q150" s="36" t="s">
        <v>63</v>
      </c>
      <c r="R150" s="36" t="s">
        <v>64</v>
      </c>
      <c r="S150" s="37">
        <v>14.867</v>
      </c>
      <c r="T150" s="37">
        <v>-89.125</v>
      </c>
      <c r="U150" s="36" t="s">
        <v>65</v>
      </c>
      <c r="V150" s="6" t="s">
        <v>80</v>
      </c>
      <c r="W150" s="33" t="s">
        <v>156</v>
      </c>
      <c r="X150" s="1" t="s">
        <v>82</v>
      </c>
      <c r="Y150" s="58" t="s">
        <v>83</v>
      </c>
      <c r="Z150" s="36"/>
      <c r="AA150" s="37">
        <v>8.0</v>
      </c>
      <c r="AB150" s="36"/>
      <c r="AC150" s="36"/>
      <c r="AD150" s="36"/>
      <c r="AE150" s="36"/>
      <c r="AF150" s="36"/>
      <c r="AG150" s="36"/>
      <c r="AH150" s="38" t="s">
        <v>72</v>
      </c>
      <c r="AI150" s="37">
        <v>-3637.0</v>
      </c>
      <c r="AJ150" s="37">
        <v>1989.0</v>
      </c>
      <c r="AK150" s="6" t="s">
        <v>100</v>
      </c>
      <c r="AL150" s="6" t="s">
        <v>72</v>
      </c>
      <c r="AM150" s="33" t="s">
        <v>74</v>
      </c>
      <c r="AN150" s="6" t="s">
        <v>72</v>
      </c>
      <c r="AO150" s="33"/>
      <c r="AP150" s="6" t="s">
        <v>75</v>
      </c>
      <c r="AQ150" s="33"/>
      <c r="AR150" s="33"/>
      <c r="AS150" s="33"/>
      <c r="AT150" s="6" t="s">
        <v>76</v>
      </c>
      <c r="AU150" s="33"/>
      <c r="AV150" s="33"/>
      <c r="AW150" s="33"/>
      <c r="AX150" s="33"/>
      <c r="AY150" s="6" t="s">
        <v>76</v>
      </c>
      <c r="AZ150" s="6" t="s">
        <v>76</v>
      </c>
      <c r="BA150" s="33"/>
      <c r="BB150" s="33">
        <f>VLOOKUP(O150,Eco_DEM_Data!$D$1:$AC$643,20,False)</f>
        <v>1510</v>
      </c>
      <c r="BC150" s="33">
        <f>VLOOKUP($O150,Eco_DEM_Data!$D$1:$AC$643,20,False)</f>
        <v>1510</v>
      </c>
      <c r="BD150" s="33">
        <f>VLOOKUP($O150,Eco_DEM_Data!$D$1:$AC$643,25,False)</f>
        <v>719</v>
      </c>
      <c r="BE150" s="33">
        <f>VLOOKUP($O150,Eco_DEM_Data!$D$1:$AC$643,22,False)</f>
        <v>20</v>
      </c>
      <c r="BF150" s="33">
        <f>VLOOKUP($O150,Eco_DEM_Data!$D$1:$AC$643,23,False)</f>
        <v>74</v>
      </c>
      <c r="BG150" s="33">
        <f>VLOOKUP($O150,Eco_DEM_Data!$D$1:$AC$643,21,False)</f>
        <v>7799</v>
      </c>
      <c r="BH150" s="33">
        <f>VLOOKUP($O150,Eco_DEM_Data!$D$1:$AC$643,26,False)</f>
        <v>784</v>
      </c>
      <c r="BI150" s="33" t="str">
        <f>VLOOKUP($O150,Eco_DEM_Data!$D$1:$AC$643,9,False)</f>
        <v>Central American pine-oak forests</v>
      </c>
      <c r="BJ150" s="33" t="str">
        <f>VLOOKUP($O150,Eco_DEM_Data!$D$1:$AC$643,11,False)</f>
        <v>Tropical &amp; Subtropical Coniferous Forests</v>
      </c>
    </row>
    <row r="151">
      <c r="A151" s="33" t="s">
        <v>1562</v>
      </c>
      <c r="B151" s="33" t="s">
        <v>2259</v>
      </c>
      <c r="C151" s="34">
        <v>2.0</v>
      </c>
      <c r="D151" s="33" t="s">
        <v>53</v>
      </c>
      <c r="E151" s="34">
        <v>2003.0</v>
      </c>
      <c r="F151" s="33" t="s">
        <v>1563</v>
      </c>
      <c r="G151" s="33" t="s">
        <v>1564</v>
      </c>
      <c r="H151" s="33" t="s">
        <v>303</v>
      </c>
      <c r="I151" s="33" t="s">
        <v>1565</v>
      </c>
      <c r="J151" s="33" t="s">
        <v>1566</v>
      </c>
      <c r="K151" s="34">
        <v>59.0</v>
      </c>
      <c r="L151" s="34">
        <v>1.0</v>
      </c>
      <c r="M151" s="6" t="s">
        <v>1567</v>
      </c>
      <c r="N151" s="35" t="s">
        <v>60</v>
      </c>
      <c r="O151" s="33" t="s">
        <v>1568</v>
      </c>
      <c r="P151" s="36" t="s">
        <v>62</v>
      </c>
      <c r="Q151" s="36" t="s">
        <v>146</v>
      </c>
      <c r="R151" s="36" t="s">
        <v>1569</v>
      </c>
      <c r="S151" s="37">
        <v>8.705533</v>
      </c>
      <c r="T151" s="37">
        <v>-79.762489</v>
      </c>
      <c r="U151" s="36" t="s">
        <v>148</v>
      </c>
      <c r="V151" s="38" t="s">
        <v>66</v>
      </c>
      <c r="W151" s="41" t="s">
        <v>823</v>
      </c>
      <c r="X151" s="10" t="s">
        <v>72</v>
      </c>
      <c r="Y151" s="41" t="s">
        <v>70</v>
      </c>
      <c r="Z151" s="43"/>
      <c r="AA151" s="42">
        <v>6.0</v>
      </c>
      <c r="AB151" s="43"/>
      <c r="AC151" s="43"/>
      <c r="AD151" s="43"/>
      <c r="AE151" s="43"/>
      <c r="AF151" s="43"/>
      <c r="AG151" s="43"/>
      <c r="AH151" s="38" t="s">
        <v>72</v>
      </c>
      <c r="AI151" s="42">
        <v>-5550.0</v>
      </c>
      <c r="AJ151" s="42">
        <v>1950.0</v>
      </c>
      <c r="AK151" s="5" t="s">
        <v>73</v>
      </c>
      <c r="AL151" s="5" t="s">
        <v>72</v>
      </c>
      <c r="AM151" s="5" t="s">
        <v>72</v>
      </c>
      <c r="AN151" s="5" t="s">
        <v>72</v>
      </c>
      <c r="AO151" s="41"/>
      <c r="AP151" s="5" t="s">
        <v>75</v>
      </c>
      <c r="AQ151" s="41"/>
      <c r="AR151" s="41"/>
      <c r="AS151" s="41"/>
      <c r="AT151" s="5" t="s">
        <v>76</v>
      </c>
      <c r="AU151" s="33"/>
      <c r="AV151" s="33"/>
      <c r="AW151" s="33"/>
      <c r="AX151" s="33"/>
      <c r="AY151" s="33"/>
      <c r="AZ151" s="6" t="s">
        <v>76</v>
      </c>
      <c r="BA151" s="33"/>
      <c r="BB151" s="33">
        <f>VLOOKUP(O151,Eco_DEM_Data!$D$1:$AC$643,20,False)</f>
        <v>1983</v>
      </c>
      <c r="BC151" s="33">
        <f>VLOOKUP($O151,Eco_DEM_Data!$D$1:$AC$643,20,False)</f>
        <v>1983</v>
      </c>
      <c r="BD151" s="33">
        <f>VLOOKUP($O151,Eco_DEM_Data!$D$1:$AC$643,25,False)</f>
        <v>781</v>
      </c>
      <c r="BE151" s="33">
        <f>VLOOKUP($O151,Eco_DEM_Data!$D$1:$AC$643,22,False)</f>
        <v>9</v>
      </c>
      <c r="BF151" s="33">
        <f>VLOOKUP($O151,Eco_DEM_Data!$D$1:$AC$643,23,False)</f>
        <v>50</v>
      </c>
      <c r="BG151" s="33">
        <f>VLOOKUP($O151,Eco_DEM_Data!$D$1:$AC$643,21,False)</f>
        <v>6225</v>
      </c>
      <c r="BH151" s="33">
        <f>VLOOKUP($O151,Eco_DEM_Data!$D$1:$AC$643,26,False)</f>
        <v>23</v>
      </c>
      <c r="BI151" s="33" t="str">
        <f>VLOOKUP($O151,Eco_DEM_Data!$D$1:$AC$643,9,False)</f>
        <v>Isthmian-Atlantic moist forests</v>
      </c>
      <c r="BJ151" s="33" t="str">
        <f>VLOOKUP($O151,Eco_DEM_Data!$D$1:$AC$643,11,False)</f>
        <v>Tropical &amp; Subtropical Moist Broadleaf Forests</v>
      </c>
    </row>
    <row r="152">
      <c r="A152" s="33" t="s">
        <v>1562</v>
      </c>
      <c r="B152" s="33" t="s">
        <v>2259</v>
      </c>
      <c r="C152" s="34">
        <v>2.0</v>
      </c>
      <c r="D152" s="33" t="s">
        <v>53</v>
      </c>
      <c r="E152" s="34">
        <v>2003.0</v>
      </c>
      <c r="F152" s="33" t="s">
        <v>1563</v>
      </c>
      <c r="G152" s="33" t="s">
        <v>1564</v>
      </c>
      <c r="H152" s="33" t="s">
        <v>303</v>
      </c>
      <c r="I152" s="33" t="s">
        <v>1565</v>
      </c>
      <c r="J152" s="33" t="s">
        <v>1566</v>
      </c>
      <c r="K152" s="34">
        <v>59.0</v>
      </c>
      <c r="L152" s="34">
        <v>1.0</v>
      </c>
      <c r="M152" s="6" t="s">
        <v>1567</v>
      </c>
      <c r="N152" s="35" t="s">
        <v>60</v>
      </c>
      <c r="O152" s="33" t="s">
        <v>1571</v>
      </c>
      <c r="P152" s="36" t="s">
        <v>62</v>
      </c>
      <c r="Q152" s="36" t="s">
        <v>146</v>
      </c>
      <c r="R152" s="36" t="s">
        <v>1569</v>
      </c>
      <c r="S152" s="37">
        <v>8.705533</v>
      </c>
      <c r="T152" s="37">
        <v>-79.762489</v>
      </c>
      <c r="U152" s="36" t="s">
        <v>148</v>
      </c>
      <c r="V152" s="38" t="s">
        <v>293</v>
      </c>
      <c r="W152" s="41" t="s">
        <v>823</v>
      </c>
      <c r="X152" s="10" t="s">
        <v>72</v>
      </c>
      <c r="Y152" s="41" t="s">
        <v>70</v>
      </c>
      <c r="Z152" s="43"/>
      <c r="AA152" s="42"/>
      <c r="AB152" s="43"/>
      <c r="AC152" s="43"/>
      <c r="AD152" s="43"/>
      <c r="AE152" s="43"/>
      <c r="AF152" s="43"/>
      <c r="AG152" s="43"/>
      <c r="AH152" s="38" t="s">
        <v>72</v>
      </c>
      <c r="AI152" s="61" t="s">
        <v>72</v>
      </c>
      <c r="AJ152" s="61" t="s">
        <v>72</v>
      </c>
      <c r="AK152" s="5" t="s">
        <v>73</v>
      </c>
      <c r="AL152" s="5" t="s">
        <v>72</v>
      </c>
      <c r="AM152" s="5" t="s">
        <v>72</v>
      </c>
      <c r="AN152" s="5" t="s">
        <v>72</v>
      </c>
      <c r="AO152" s="41"/>
      <c r="AP152" s="5" t="s">
        <v>75</v>
      </c>
      <c r="AQ152" s="41"/>
      <c r="AR152" s="41"/>
      <c r="AS152" s="41"/>
      <c r="AT152" s="5" t="s">
        <v>76</v>
      </c>
      <c r="AU152" s="33"/>
      <c r="AV152" s="33"/>
      <c r="AW152" s="33"/>
      <c r="AX152" s="33"/>
      <c r="AY152" s="33"/>
      <c r="AZ152" s="6" t="s">
        <v>76</v>
      </c>
      <c r="BA152" s="33"/>
      <c r="BB152" s="33">
        <f>VLOOKUP(O152,Eco_DEM_Data!$D$1:$AC$643,20,False)</f>
        <v>1983</v>
      </c>
      <c r="BC152" s="33">
        <f>VLOOKUP($O152,Eco_DEM_Data!$D$1:$AC$643,20,False)</f>
        <v>1983</v>
      </c>
      <c r="BD152" s="33">
        <f>VLOOKUP($O152,Eco_DEM_Data!$D$1:$AC$643,25,False)</f>
        <v>781</v>
      </c>
      <c r="BE152" s="33">
        <f>VLOOKUP($O152,Eco_DEM_Data!$D$1:$AC$643,22,False)</f>
        <v>9</v>
      </c>
      <c r="BF152" s="33">
        <f>VLOOKUP($O152,Eco_DEM_Data!$D$1:$AC$643,23,False)</f>
        <v>50</v>
      </c>
      <c r="BG152" s="33">
        <f>VLOOKUP($O152,Eco_DEM_Data!$D$1:$AC$643,21,False)</f>
        <v>6225</v>
      </c>
      <c r="BH152" s="33">
        <f>VLOOKUP($O152,Eco_DEM_Data!$D$1:$AC$643,26,False)</f>
        <v>23</v>
      </c>
      <c r="BI152" s="33" t="str">
        <f>VLOOKUP($O152,Eco_DEM_Data!$D$1:$AC$643,9,False)</f>
        <v>Isthmian-Atlantic moist forests</v>
      </c>
      <c r="BJ152" s="33" t="str">
        <f>VLOOKUP($O152,Eco_DEM_Data!$D$1:$AC$643,11,False)</f>
        <v>Tropical &amp; Subtropical Moist Broadleaf Forests</v>
      </c>
    </row>
    <row r="153">
      <c r="A153" s="33" t="s">
        <v>729</v>
      </c>
      <c r="B153" s="33" t="s">
        <v>2258</v>
      </c>
      <c r="C153" s="34">
        <v>7.0</v>
      </c>
      <c r="D153" s="33" t="s">
        <v>53</v>
      </c>
      <c r="E153" s="34">
        <v>2004.0</v>
      </c>
      <c r="F153" s="33" t="s">
        <v>730</v>
      </c>
      <c r="G153" s="33" t="s">
        <v>731</v>
      </c>
      <c r="H153" s="33" t="s">
        <v>732</v>
      </c>
      <c r="I153" s="33" t="s">
        <v>733</v>
      </c>
      <c r="J153" s="33" t="s">
        <v>734</v>
      </c>
      <c r="K153" s="34">
        <v>32.0</v>
      </c>
      <c r="L153" s="34">
        <v>3.0</v>
      </c>
      <c r="M153" s="6" t="s">
        <v>735</v>
      </c>
      <c r="N153" s="35" t="s">
        <v>60</v>
      </c>
      <c r="O153" s="33" t="s">
        <v>890</v>
      </c>
      <c r="P153" s="36" t="s">
        <v>62</v>
      </c>
      <c r="Q153" s="36" t="s">
        <v>737</v>
      </c>
      <c r="R153" s="36" t="s">
        <v>738</v>
      </c>
      <c r="S153" s="37">
        <v>13.57</v>
      </c>
      <c r="T153" s="37">
        <v>-89.52</v>
      </c>
      <c r="U153" s="36" t="s">
        <v>148</v>
      </c>
      <c r="V153" s="6" t="s">
        <v>321</v>
      </c>
      <c r="W153" s="33" t="s">
        <v>156</v>
      </c>
      <c r="X153" s="1" t="s">
        <v>348</v>
      </c>
      <c r="Y153" s="6" t="s">
        <v>355</v>
      </c>
      <c r="Z153" s="36"/>
      <c r="AA153" s="37">
        <v>3.0</v>
      </c>
      <c r="AB153" s="36"/>
      <c r="AC153" s="36"/>
      <c r="AD153" s="36"/>
      <c r="AE153" s="36"/>
      <c r="AF153" s="36"/>
      <c r="AG153" s="37">
        <v>1.0</v>
      </c>
      <c r="AH153" s="36" t="s">
        <v>740</v>
      </c>
      <c r="AI153" s="37">
        <v>-2250.0</v>
      </c>
      <c r="AJ153" s="37">
        <v>1950.0</v>
      </c>
      <c r="AK153" s="6" t="s">
        <v>73</v>
      </c>
      <c r="AL153" s="6" t="s">
        <v>76</v>
      </c>
      <c r="AM153" s="33" t="s">
        <v>400</v>
      </c>
      <c r="AN153" s="6" t="s">
        <v>76</v>
      </c>
      <c r="AO153" s="33"/>
      <c r="AP153" s="6" t="s">
        <v>75</v>
      </c>
      <c r="AQ153" s="33"/>
      <c r="AR153" s="33"/>
      <c r="AS153" s="33"/>
      <c r="AT153" s="6" t="s">
        <v>76</v>
      </c>
      <c r="AU153" s="33"/>
      <c r="AV153" s="33"/>
      <c r="AW153" s="33"/>
      <c r="AX153" s="33"/>
      <c r="AY153" s="33"/>
      <c r="AZ153" s="6" t="s">
        <v>76</v>
      </c>
      <c r="BA153" s="33"/>
      <c r="BB153" s="33">
        <f>VLOOKUP(O153,Eco_DEM_Data!$D$1:$AC$643,20,False)</f>
        <v>1850</v>
      </c>
      <c r="BC153" s="33">
        <f>VLOOKUP($O153,Eco_DEM_Data!$D$1:$AC$643,20,False)</f>
        <v>1850</v>
      </c>
      <c r="BD153" s="33">
        <f>VLOOKUP($O153,Eco_DEM_Data!$D$1:$AC$643,25,False)</f>
        <v>995</v>
      </c>
      <c r="BE153" s="33">
        <f>VLOOKUP($O153,Eco_DEM_Data!$D$1:$AC$643,22,False)</f>
        <v>2</v>
      </c>
      <c r="BF153" s="33">
        <f>VLOOKUP($O153,Eco_DEM_Data!$D$1:$AC$643,23,False)</f>
        <v>16</v>
      </c>
      <c r="BG153" s="33">
        <f>VLOOKUP($O153,Eco_DEM_Data!$D$1:$AC$643,21,False)</f>
        <v>9579</v>
      </c>
      <c r="BH153" s="33">
        <f>VLOOKUP($O153,Eco_DEM_Data!$D$1:$AC$643,26,False)</f>
        <v>413</v>
      </c>
      <c r="BI153" s="33" t="str">
        <f>VLOOKUP($O153,Eco_DEM_Data!$D$1:$AC$643,9,False)</f>
        <v>Central American dry forests</v>
      </c>
      <c r="BJ153" s="33" t="str">
        <f>VLOOKUP($O153,Eco_DEM_Data!$D$1:$AC$643,11,False)</f>
        <v>Tropical &amp; Subtropical Dry Broadleaf Forests</v>
      </c>
    </row>
    <row r="154">
      <c r="A154" s="33" t="s">
        <v>729</v>
      </c>
      <c r="B154" s="33" t="s">
        <v>2258</v>
      </c>
      <c r="C154" s="34">
        <v>7.0</v>
      </c>
      <c r="D154" s="33" t="s">
        <v>53</v>
      </c>
      <c r="E154" s="34">
        <v>2004.0</v>
      </c>
      <c r="F154" s="33" t="s">
        <v>730</v>
      </c>
      <c r="G154" s="33" t="s">
        <v>731</v>
      </c>
      <c r="H154" s="33" t="s">
        <v>732</v>
      </c>
      <c r="I154" s="33" t="s">
        <v>733</v>
      </c>
      <c r="J154" s="33" t="s">
        <v>734</v>
      </c>
      <c r="K154" s="34">
        <v>32.0</v>
      </c>
      <c r="L154" s="34">
        <v>3.0</v>
      </c>
      <c r="M154" s="6" t="s">
        <v>735</v>
      </c>
      <c r="N154" s="35" t="s">
        <v>60</v>
      </c>
      <c r="O154" s="33" t="s">
        <v>891</v>
      </c>
      <c r="P154" s="36" t="s">
        <v>62</v>
      </c>
      <c r="Q154" s="36" t="s">
        <v>737</v>
      </c>
      <c r="R154" s="36" t="s">
        <v>738</v>
      </c>
      <c r="S154" s="37">
        <v>13.57</v>
      </c>
      <c r="T154" s="37">
        <v>-89.52</v>
      </c>
      <c r="U154" s="36" t="s">
        <v>148</v>
      </c>
      <c r="V154" s="6" t="s">
        <v>135</v>
      </c>
      <c r="W154" s="33" t="s">
        <v>173</v>
      </c>
      <c r="X154" s="1" t="s">
        <v>892</v>
      </c>
      <c r="Y154" s="6" t="s">
        <v>728</v>
      </c>
      <c r="Z154" s="36"/>
      <c r="AA154" s="37">
        <v>3.0</v>
      </c>
      <c r="AB154" s="36"/>
      <c r="AC154" s="36"/>
      <c r="AD154" s="36"/>
      <c r="AE154" s="36"/>
      <c r="AF154" s="36"/>
      <c r="AG154" s="37">
        <v>1.0</v>
      </c>
      <c r="AH154" s="36" t="s">
        <v>740</v>
      </c>
      <c r="AI154" s="37">
        <v>-6570.0</v>
      </c>
      <c r="AJ154" s="37">
        <v>1950.0</v>
      </c>
      <c r="AK154" s="6" t="s">
        <v>73</v>
      </c>
      <c r="AL154" s="6" t="s">
        <v>76</v>
      </c>
      <c r="AM154" s="33" t="s">
        <v>400</v>
      </c>
      <c r="AN154" s="6" t="s">
        <v>76</v>
      </c>
      <c r="AO154" s="33"/>
      <c r="AP154" s="6" t="s">
        <v>75</v>
      </c>
      <c r="AQ154" s="33"/>
      <c r="AR154" s="33"/>
      <c r="AS154" s="33"/>
      <c r="AT154" s="6" t="s">
        <v>76</v>
      </c>
      <c r="AU154" s="33"/>
      <c r="AV154" s="33"/>
      <c r="AW154" s="33"/>
      <c r="AX154" s="33"/>
      <c r="AY154" s="33"/>
      <c r="AZ154" s="6" t="s">
        <v>76</v>
      </c>
      <c r="BA154" s="33"/>
      <c r="BB154" s="33">
        <f>VLOOKUP(O154,Eco_DEM_Data!$D$1:$AC$643,20,False)</f>
        <v>1850</v>
      </c>
      <c r="BC154" s="33">
        <f>VLOOKUP($O154,Eco_DEM_Data!$D$1:$AC$643,20,False)</f>
        <v>1850</v>
      </c>
      <c r="BD154" s="33">
        <f>VLOOKUP($O154,Eco_DEM_Data!$D$1:$AC$643,25,False)</f>
        <v>995</v>
      </c>
      <c r="BE154" s="33">
        <f>VLOOKUP($O154,Eco_DEM_Data!$D$1:$AC$643,22,False)</f>
        <v>2</v>
      </c>
      <c r="BF154" s="33">
        <f>VLOOKUP($O154,Eco_DEM_Data!$D$1:$AC$643,23,False)</f>
        <v>16</v>
      </c>
      <c r="BG154" s="33">
        <f>VLOOKUP($O154,Eco_DEM_Data!$D$1:$AC$643,21,False)</f>
        <v>9579</v>
      </c>
      <c r="BH154" s="33">
        <f>VLOOKUP($O154,Eco_DEM_Data!$D$1:$AC$643,26,False)</f>
        <v>413</v>
      </c>
      <c r="BI154" s="33" t="str">
        <f>VLOOKUP($O154,Eco_DEM_Data!$D$1:$AC$643,9,False)</f>
        <v>Central American dry forests</v>
      </c>
      <c r="BJ154" s="33" t="str">
        <f>VLOOKUP($O154,Eco_DEM_Data!$D$1:$AC$643,11,False)</f>
        <v>Tropical &amp; Subtropical Dry Broadleaf Forests</v>
      </c>
    </row>
    <row r="155">
      <c r="A155" s="33" t="s">
        <v>729</v>
      </c>
      <c r="B155" s="33" t="s">
        <v>2258</v>
      </c>
      <c r="C155" s="34">
        <v>7.0</v>
      </c>
      <c r="D155" s="33" t="s">
        <v>53</v>
      </c>
      <c r="E155" s="34">
        <v>2004.0</v>
      </c>
      <c r="F155" s="33" t="s">
        <v>730</v>
      </c>
      <c r="G155" s="33" t="s">
        <v>731</v>
      </c>
      <c r="H155" s="33" t="s">
        <v>732</v>
      </c>
      <c r="I155" s="33" t="s">
        <v>733</v>
      </c>
      <c r="J155" s="33" t="s">
        <v>734</v>
      </c>
      <c r="K155" s="34">
        <v>32.0</v>
      </c>
      <c r="L155" s="34">
        <v>3.0</v>
      </c>
      <c r="M155" s="6" t="s">
        <v>735</v>
      </c>
      <c r="N155" s="35" t="s">
        <v>60</v>
      </c>
      <c r="O155" s="33" t="s">
        <v>893</v>
      </c>
      <c r="P155" s="36" t="s">
        <v>62</v>
      </c>
      <c r="Q155" s="36" t="s">
        <v>737</v>
      </c>
      <c r="R155" s="36" t="s">
        <v>738</v>
      </c>
      <c r="S155" s="37">
        <v>13.57</v>
      </c>
      <c r="T155" s="37">
        <v>-89.52</v>
      </c>
      <c r="U155" s="36" t="s">
        <v>148</v>
      </c>
      <c r="V155" s="6" t="s">
        <v>80</v>
      </c>
      <c r="W155" s="33" t="s">
        <v>156</v>
      </c>
      <c r="X155" s="1" t="s">
        <v>348</v>
      </c>
      <c r="Y155" s="6" t="s">
        <v>355</v>
      </c>
      <c r="Z155" s="36"/>
      <c r="AA155" s="37">
        <v>3.0</v>
      </c>
      <c r="AB155" s="36"/>
      <c r="AC155" s="36"/>
      <c r="AD155" s="36"/>
      <c r="AE155" s="36"/>
      <c r="AF155" s="36"/>
      <c r="AG155" s="37">
        <v>1.0</v>
      </c>
      <c r="AH155" s="36" t="s">
        <v>740</v>
      </c>
      <c r="AI155" s="37">
        <v>-2250.0</v>
      </c>
      <c r="AJ155" s="37">
        <v>1950.0</v>
      </c>
      <c r="AK155" s="6" t="s">
        <v>73</v>
      </c>
      <c r="AL155" s="6" t="s">
        <v>76</v>
      </c>
      <c r="AM155" s="33" t="s">
        <v>400</v>
      </c>
      <c r="AN155" s="6" t="s">
        <v>76</v>
      </c>
      <c r="AO155" s="33"/>
      <c r="AP155" s="6" t="s">
        <v>75</v>
      </c>
      <c r="AQ155" s="33"/>
      <c r="AR155" s="33"/>
      <c r="AS155" s="33"/>
      <c r="AT155" s="6" t="s">
        <v>76</v>
      </c>
      <c r="AU155" s="33"/>
      <c r="AV155" s="33"/>
      <c r="AW155" s="33"/>
      <c r="AX155" s="33"/>
      <c r="AY155" s="33"/>
      <c r="AZ155" s="6" t="s">
        <v>76</v>
      </c>
      <c r="BA155" s="33"/>
      <c r="BB155" s="33">
        <f>VLOOKUP(O155,Eco_DEM_Data!$D$1:$AC$643,20,False)</f>
        <v>1850</v>
      </c>
      <c r="BC155" s="33">
        <f>VLOOKUP($O155,Eco_DEM_Data!$D$1:$AC$643,20,False)</f>
        <v>1850</v>
      </c>
      <c r="BD155" s="33">
        <f>VLOOKUP($O155,Eco_DEM_Data!$D$1:$AC$643,25,False)</f>
        <v>995</v>
      </c>
      <c r="BE155" s="33">
        <f>VLOOKUP($O155,Eco_DEM_Data!$D$1:$AC$643,22,False)</f>
        <v>2</v>
      </c>
      <c r="BF155" s="33">
        <f>VLOOKUP($O155,Eco_DEM_Data!$D$1:$AC$643,23,False)</f>
        <v>16</v>
      </c>
      <c r="BG155" s="33">
        <f>VLOOKUP($O155,Eco_DEM_Data!$D$1:$AC$643,21,False)</f>
        <v>9579</v>
      </c>
      <c r="BH155" s="33">
        <f>VLOOKUP($O155,Eco_DEM_Data!$D$1:$AC$643,26,False)</f>
        <v>413</v>
      </c>
      <c r="BI155" s="33" t="str">
        <f>VLOOKUP($O155,Eco_DEM_Data!$D$1:$AC$643,9,False)</f>
        <v>Central American dry forests</v>
      </c>
      <c r="BJ155" s="33" t="str">
        <f>VLOOKUP($O155,Eco_DEM_Data!$D$1:$AC$643,11,False)</f>
        <v>Tropical &amp; Subtropical Dry Broadleaf Forests</v>
      </c>
    </row>
    <row r="156">
      <c r="A156" s="33" t="s">
        <v>729</v>
      </c>
      <c r="B156" s="33" t="s">
        <v>2258</v>
      </c>
      <c r="C156" s="34">
        <v>7.0</v>
      </c>
      <c r="D156" s="33" t="s">
        <v>53</v>
      </c>
      <c r="E156" s="34">
        <v>2004.0</v>
      </c>
      <c r="F156" s="33" t="s">
        <v>730</v>
      </c>
      <c r="G156" s="33" t="s">
        <v>731</v>
      </c>
      <c r="H156" s="33" t="s">
        <v>732</v>
      </c>
      <c r="I156" s="33" t="s">
        <v>733</v>
      </c>
      <c r="J156" s="33" t="s">
        <v>734</v>
      </c>
      <c r="K156" s="34">
        <v>32.0</v>
      </c>
      <c r="L156" s="34">
        <v>3.0</v>
      </c>
      <c r="M156" s="6" t="s">
        <v>735</v>
      </c>
      <c r="N156" s="35" t="s">
        <v>60</v>
      </c>
      <c r="O156" s="33" t="s">
        <v>736</v>
      </c>
      <c r="P156" s="36" t="s">
        <v>62</v>
      </c>
      <c r="Q156" s="36" t="s">
        <v>737</v>
      </c>
      <c r="R156" s="36" t="s">
        <v>738</v>
      </c>
      <c r="S156" s="37">
        <v>13.57</v>
      </c>
      <c r="T156" s="37">
        <v>-89.52</v>
      </c>
      <c r="U156" s="36" t="s">
        <v>148</v>
      </c>
      <c r="V156" s="38" t="s">
        <v>382</v>
      </c>
      <c r="W156" s="33" t="s">
        <v>173</v>
      </c>
      <c r="X156" s="1" t="s">
        <v>739</v>
      </c>
      <c r="Y156" s="33" t="s">
        <v>544</v>
      </c>
      <c r="Z156" s="36"/>
      <c r="AA156" s="37">
        <v>3.0</v>
      </c>
      <c r="AB156" s="36"/>
      <c r="AC156" s="36"/>
      <c r="AD156" s="36"/>
      <c r="AE156" s="36"/>
      <c r="AF156" s="36"/>
      <c r="AG156" s="37">
        <v>1.0</v>
      </c>
      <c r="AH156" s="36" t="s">
        <v>740</v>
      </c>
      <c r="AI156" s="37">
        <v>-6570.0</v>
      </c>
      <c r="AJ156" s="37">
        <v>1950.0</v>
      </c>
      <c r="AK156" s="6" t="s">
        <v>73</v>
      </c>
      <c r="AL156" s="6" t="s">
        <v>76</v>
      </c>
      <c r="AM156" s="33" t="s">
        <v>400</v>
      </c>
      <c r="AN156" s="6" t="s">
        <v>76</v>
      </c>
      <c r="AO156" s="33"/>
      <c r="AP156" s="6" t="s">
        <v>75</v>
      </c>
      <c r="AQ156" s="33"/>
      <c r="AR156" s="33"/>
      <c r="AS156" s="33"/>
      <c r="AT156" s="6" t="s">
        <v>76</v>
      </c>
      <c r="AU156" s="33"/>
      <c r="AV156" s="33"/>
      <c r="AW156" s="33"/>
      <c r="AX156" s="33"/>
      <c r="AY156" s="33"/>
      <c r="AZ156" s="6" t="s">
        <v>76</v>
      </c>
      <c r="BA156" s="33"/>
      <c r="BB156" s="33">
        <f>VLOOKUP(O156,Eco_DEM_Data!$D$1:$AC$643,20,False)</f>
        <v>1850</v>
      </c>
      <c r="BC156" s="33">
        <f>VLOOKUP($O156,Eco_DEM_Data!$D$1:$AC$643,20,False)</f>
        <v>1850</v>
      </c>
      <c r="BD156" s="33">
        <f>VLOOKUP($O156,Eco_DEM_Data!$D$1:$AC$643,25,False)</f>
        <v>995</v>
      </c>
      <c r="BE156" s="33">
        <f>VLOOKUP($O156,Eco_DEM_Data!$D$1:$AC$643,22,False)</f>
        <v>2</v>
      </c>
      <c r="BF156" s="33">
        <f>VLOOKUP($O156,Eco_DEM_Data!$D$1:$AC$643,23,False)</f>
        <v>16</v>
      </c>
      <c r="BG156" s="33">
        <f>VLOOKUP($O156,Eco_DEM_Data!$D$1:$AC$643,21,False)</f>
        <v>9579</v>
      </c>
      <c r="BH156" s="33">
        <f>VLOOKUP($O156,Eco_DEM_Data!$D$1:$AC$643,26,False)</f>
        <v>413</v>
      </c>
      <c r="BI156" s="33" t="str">
        <f>VLOOKUP($O156,Eco_DEM_Data!$D$1:$AC$643,9,False)</f>
        <v>Central American dry forests</v>
      </c>
      <c r="BJ156" s="33" t="str">
        <f>VLOOKUP($O156,Eco_DEM_Data!$D$1:$AC$643,11,False)</f>
        <v>Tropical &amp; Subtropical Dry Broadleaf Forests</v>
      </c>
    </row>
    <row r="157">
      <c r="A157" s="33" t="s">
        <v>729</v>
      </c>
      <c r="B157" s="33" t="s">
        <v>2258</v>
      </c>
      <c r="C157" s="34">
        <v>7.0</v>
      </c>
      <c r="D157" s="33" t="s">
        <v>53</v>
      </c>
      <c r="E157" s="34">
        <v>2004.0</v>
      </c>
      <c r="F157" s="33" t="s">
        <v>730</v>
      </c>
      <c r="G157" s="33" t="s">
        <v>731</v>
      </c>
      <c r="H157" s="33" t="s">
        <v>732</v>
      </c>
      <c r="I157" s="33" t="s">
        <v>733</v>
      </c>
      <c r="J157" s="33" t="s">
        <v>734</v>
      </c>
      <c r="K157" s="34">
        <v>32.0</v>
      </c>
      <c r="L157" s="34">
        <v>3.0</v>
      </c>
      <c r="M157" s="6" t="s">
        <v>735</v>
      </c>
      <c r="N157" s="35" t="s">
        <v>60</v>
      </c>
      <c r="O157" s="33" t="s">
        <v>741</v>
      </c>
      <c r="P157" s="36" t="s">
        <v>62</v>
      </c>
      <c r="Q157" s="36" t="s">
        <v>737</v>
      </c>
      <c r="R157" s="36" t="s">
        <v>738</v>
      </c>
      <c r="S157" s="37">
        <v>13.57</v>
      </c>
      <c r="T157" s="37">
        <v>-89.52</v>
      </c>
      <c r="U157" s="36" t="s">
        <v>148</v>
      </c>
      <c r="V157" s="6" t="s">
        <v>275</v>
      </c>
      <c r="W157" s="33" t="s">
        <v>276</v>
      </c>
      <c r="X157" s="1" t="s">
        <v>278</v>
      </c>
      <c r="Y157" s="33" t="s">
        <v>279</v>
      </c>
      <c r="Z157" s="36"/>
      <c r="AA157" s="37">
        <v>3.0</v>
      </c>
      <c r="AB157" s="36"/>
      <c r="AC157" s="36"/>
      <c r="AD157" s="36"/>
      <c r="AE157" s="36"/>
      <c r="AF157" s="36"/>
      <c r="AG157" s="37">
        <v>1.0</v>
      </c>
      <c r="AH157" s="36" t="s">
        <v>740</v>
      </c>
      <c r="AI157" s="37">
        <v>-6570.0</v>
      </c>
      <c r="AJ157" s="37">
        <v>1950.0</v>
      </c>
      <c r="AK157" s="6" t="s">
        <v>73</v>
      </c>
      <c r="AL157" s="6" t="s">
        <v>76</v>
      </c>
      <c r="AM157" s="33" t="s">
        <v>400</v>
      </c>
      <c r="AN157" s="6" t="s">
        <v>76</v>
      </c>
      <c r="AO157" s="33"/>
      <c r="AP157" s="6" t="s">
        <v>75</v>
      </c>
      <c r="AQ157" s="33"/>
      <c r="AR157" s="33"/>
      <c r="AS157" s="33"/>
      <c r="AT157" s="6" t="s">
        <v>76</v>
      </c>
      <c r="AU157" s="33"/>
      <c r="AV157" s="33"/>
      <c r="AW157" s="33"/>
      <c r="AX157" s="33"/>
      <c r="AY157" s="33"/>
      <c r="AZ157" s="6" t="s">
        <v>76</v>
      </c>
      <c r="BA157" s="33"/>
      <c r="BB157" s="33">
        <f>VLOOKUP(O157,Eco_DEM_Data!$D$1:$AC$643,20,False)</f>
        <v>1850</v>
      </c>
      <c r="BC157" s="33">
        <f>VLOOKUP($O157,Eco_DEM_Data!$D$1:$AC$643,20,False)</f>
        <v>1850</v>
      </c>
      <c r="BD157" s="33">
        <f>VLOOKUP($O157,Eco_DEM_Data!$D$1:$AC$643,25,False)</f>
        <v>995</v>
      </c>
      <c r="BE157" s="33">
        <f>VLOOKUP($O157,Eco_DEM_Data!$D$1:$AC$643,22,False)</f>
        <v>2</v>
      </c>
      <c r="BF157" s="33">
        <f>VLOOKUP($O157,Eco_DEM_Data!$D$1:$AC$643,23,False)</f>
        <v>16</v>
      </c>
      <c r="BG157" s="33">
        <f>VLOOKUP($O157,Eco_DEM_Data!$D$1:$AC$643,21,False)</f>
        <v>9579</v>
      </c>
      <c r="BH157" s="33">
        <f>VLOOKUP($O157,Eco_DEM_Data!$D$1:$AC$643,26,False)</f>
        <v>413</v>
      </c>
      <c r="BI157" s="33" t="str">
        <f>VLOOKUP($O157,Eco_DEM_Data!$D$1:$AC$643,9,False)</f>
        <v>Central American dry forests</v>
      </c>
      <c r="BJ157" s="33" t="str">
        <f>VLOOKUP($O157,Eco_DEM_Data!$D$1:$AC$643,11,False)</f>
        <v>Tropical &amp; Subtropical Dry Broadleaf Forests</v>
      </c>
    </row>
    <row r="158">
      <c r="A158" s="33" t="s">
        <v>729</v>
      </c>
      <c r="B158" s="33" t="s">
        <v>2258</v>
      </c>
      <c r="C158" s="34">
        <v>7.0</v>
      </c>
      <c r="D158" s="33" t="s">
        <v>53</v>
      </c>
      <c r="E158" s="34">
        <v>2004.0</v>
      </c>
      <c r="F158" s="33" t="s">
        <v>730</v>
      </c>
      <c r="G158" s="33" t="s">
        <v>731</v>
      </c>
      <c r="H158" s="33" t="s">
        <v>732</v>
      </c>
      <c r="I158" s="33" t="s">
        <v>733</v>
      </c>
      <c r="J158" s="33" t="s">
        <v>734</v>
      </c>
      <c r="K158" s="34">
        <v>32.0</v>
      </c>
      <c r="L158" s="34">
        <v>3.0</v>
      </c>
      <c r="M158" s="6" t="s">
        <v>735</v>
      </c>
      <c r="N158" s="35" t="s">
        <v>60</v>
      </c>
      <c r="O158" s="33" t="s">
        <v>742</v>
      </c>
      <c r="P158" s="36" t="s">
        <v>62</v>
      </c>
      <c r="Q158" s="36" t="s">
        <v>737</v>
      </c>
      <c r="R158" s="36" t="s">
        <v>738</v>
      </c>
      <c r="S158" s="37">
        <v>13.57</v>
      </c>
      <c r="T158" s="37">
        <v>-89.52</v>
      </c>
      <c r="U158" s="36" t="s">
        <v>148</v>
      </c>
      <c r="V158" s="38" t="s">
        <v>194</v>
      </c>
      <c r="W158" s="33" t="s">
        <v>173</v>
      </c>
      <c r="X158" s="1" t="s">
        <v>286</v>
      </c>
      <c r="Y158" s="33" t="s">
        <v>70</v>
      </c>
      <c r="Z158" s="36"/>
      <c r="AA158" s="37">
        <v>3.0</v>
      </c>
      <c r="AB158" s="36"/>
      <c r="AC158" s="36"/>
      <c r="AD158" s="36"/>
      <c r="AE158" s="36"/>
      <c r="AF158" s="36"/>
      <c r="AG158" s="37">
        <v>1.0</v>
      </c>
      <c r="AH158" s="36" t="s">
        <v>740</v>
      </c>
      <c r="AI158" s="37">
        <v>-6570.0</v>
      </c>
      <c r="AJ158" s="37">
        <v>1950.0</v>
      </c>
      <c r="AK158" s="6" t="s">
        <v>73</v>
      </c>
      <c r="AL158" s="6" t="s">
        <v>76</v>
      </c>
      <c r="AM158" s="33" t="s">
        <v>400</v>
      </c>
      <c r="AN158" s="6" t="s">
        <v>76</v>
      </c>
      <c r="AO158" s="33"/>
      <c r="AP158" s="6" t="s">
        <v>75</v>
      </c>
      <c r="AQ158" s="33"/>
      <c r="AR158" s="33"/>
      <c r="AS158" s="33"/>
      <c r="AT158" s="6" t="s">
        <v>76</v>
      </c>
      <c r="AU158" s="33"/>
      <c r="AV158" s="33"/>
      <c r="AW158" s="33"/>
      <c r="AX158" s="33"/>
      <c r="AY158" s="33"/>
      <c r="AZ158" s="6" t="s">
        <v>76</v>
      </c>
      <c r="BA158" s="33"/>
      <c r="BB158" s="33">
        <f>VLOOKUP(O158,Eco_DEM_Data!$D$1:$AC$643,20,False)</f>
        <v>1850</v>
      </c>
      <c r="BC158" s="33">
        <f>VLOOKUP($O158,Eco_DEM_Data!$D$1:$AC$643,20,False)</f>
        <v>1850</v>
      </c>
      <c r="BD158" s="33">
        <f>VLOOKUP($O158,Eco_DEM_Data!$D$1:$AC$643,25,False)</f>
        <v>995</v>
      </c>
      <c r="BE158" s="33">
        <f>VLOOKUP($O158,Eco_DEM_Data!$D$1:$AC$643,22,False)</f>
        <v>2</v>
      </c>
      <c r="BF158" s="33">
        <f>VLOOKUP($O158,Eco_DEM_Data!$D$1:$AC$643,23,False)</f>
        <v>16</v>
      </c>
      <c r="BG158" s="33">
        <f>VLOOKUP($O158,Eco_DEM_Data!$D$1:$AC$643,21,False)</f>
        <v>9579</v>
      </c>
      <c r="BH158" s="33">
        <f>VLOOKUP($O158,Eco_DEM_Data!$D$1:$AC$643,26,False)</f>
        <v>413</v>
      </c>
      <c r="BI158" s="33" t="str">
        <f>VLOOKUP($O158,Eco_DEM_Data!$D$1:$AC$643,9,False)</f>
        <v>Central American dry forests</v>
      </c>
      <c r="BJ158" s="33" t="str">
        <f>VLOOKUP($O158,Eco_DEM_Data!$D$1:$AC$643,11,False)</f>
        <v>Tropical &amp; Subtropical Dry Broadleaf Forests</v>
      </c>
    </row>
    <row r="159">
      <c r="A159" s="33" t="s">
        <v>729</v>
      </c>
      <c r="B159" s="33" t="s">
        <v>2258</v>
      </c>
      <c r="C159" s="34">
        <v>7.0</v>
      </c>
      <c r="D159" s="33" t="s">
        <v>53</v>
      </c>
      <c r="E159" s="34">
        <v>2004.0</v>
      </c>
      <c r="F159" s="33" t="s">
        <v>730</v>
      </c>
      <c r="G159" s="33" t="s">
        <v>731</v>
      </c>
      <c r="H159" s="33" t="s">
        <v>732</v>
      </c>
      <c r="I159" s="33" t="s">
        <v>733</v>
      </c>
      <c r="J159" s="33" t="s">
        <v>734</v>
      </c>
      <c r="K159" s="34">
        <v>32.0</v>
      </c>
      <c r="L159" s="34">
        <v>3.0</v>
      </c>
      <c r="M159" s="6" t="s">
        <v>735</v>
      </c>
      <c r="N159" s="35" t="s">
        <v>60</v>
      </c>
      <c r="O159" s="33" t="s">
        <v>894</v>
      </c>
      <c r="P159" s="36" t="s">
        <v>62</v>
      </c>
      <c r="Q159" s="36" t="s">
        <v>737</v>
      </c>
      <c r="R159" s="36" t="s">
        <v>895</v>
      </c>
      <c r="S159" s="37">
        <v>13.57</v>
      </c>
      <c r="T159" s="37">
        <v>-89.52</v>
      </c>
      <c r="U159" s="36" t="s">
        <v>148</v>
      </c>
      <c r="V159" s="38" t="s">
        <v>66</v>
      </c>
      <c r="W159" s="41" t="s">
        <v>823</v>
      </c>
      <c r="X159" s="7" t="s">
        <v>896</v>
      </c>
      <c r="Y159" s="41" t="s">
        <v>70</v>
      </c>
      <c r="Z159" s="43"/>
      <c r="AA159" s="42">
        <v>3.0</v>
      </c>
      <c r="AB159" s="43"/>
      <c r="AC159" s="43"/>
      <c r="AD159" s="43"/>
      <c r="AE159" s="43"/>
      <c r="AF159" s="43"/>
      <c r="AG159" s="42">
        <v>1.0</v>
      </c>
      <c r="AH159" s="43" t="s">
        <v>740</v>
      </c>
      <c r="AI159" s="42">
        <v>-6570.0</v>
      </c>
      <c r="AJ159" s="42">
        <v>1950.0</v>
      </c>
      <c r="AK159" s="5" t="s">
        <v>73</v>
      </c>
      <c r="AL159" s="5" t="s">
        <v>76</v>
      </c>
      <c r="AM159" s="33" t="s">
        <v>400</v>
      </c>
      <c r="AN159" s="5" t="s">
        <v>76</v>
      </c>
      <c r="AO159" s="41"/>
      <c r="AP159" s="5" t="s">
        <v>75</v>
      </c>
      <c r="AQ159" s="41"/>
      <c r="AR159" s="41"/>
      <c r="AS159" s="41"/>
      <c r="AT159" s="5" t="s">
        <v>60</v>
      </c>
      <c r="AU159" s="33"/>
      <c r="AV159" s="33"/>
      <c r="AW159" s="33"/>
      <c r="AX159" s="33"/>
      <c r="AY159" s="33"/>
      <c r="AZ159" s="6" t="s">
        <v>76</v>
      </c>
      <c r="BA159" s="33"/>
      <c r="BB159" s="33">
        <f>VLOOKUP(O159,Eco_DEM_Data!$D$1:$AC$643,20,False)</f>
        <v>1850</v>
      </c>
      <c r="BC159" s="33">
        <f>VLOOKUP($O159,Eco_DEM_Data!$D$1:$AC$643,20,False)</f>
        <v>1850</v>
      </c>
      <c r="BD159" s="33">
        <f>VLOOKUP($O159,Eco_DEM_Data!$D$1:$AC$643,25,False)</f>
        <v>995</v>
      </c>
      <c r="BE159" s="33">
        <f>VLOOKUP($O159,Eco_DEM_Data!$D$1:$AC$643,22,False)</f>
        <v>2</v>
      </c>
      <c r="BF159" s="33">
        <f>VLOOKUP($O159,Eco_DEM_Data!$D$1:$AC$643,23,False)</f>
        <v>16</v>
      </c>
      <c r="BG159" s="33">
        <f>VLOOKUP($O159,Eco_DEM_Data!$D$1:$AC$643,21,False)</f>
        <v>9579</v>
      </c>
      <c r="BH159" s="33">
        <f>VLOOKUP($O159,Eco_DEM_Data!$D$1:$AC$643,26,False)</f>
        <v>413</v>
      </c>
      <c r="BI159" s="33" t="str">
        <f>VLOOKUP($O159,Eco_DEM_Data!$D$1:$AC$643,9,False)</f>
        <v>Central American dry forests</v>
      </c>
      <c r="BJ159" s="33" t="str">
        <f>VLOOKUP($O159,Eco_DEM_Data!$D$1:$AC$643,11,False)</f>
        <v>Tropical &amp; Subtropical Dry Broadleaf Forests</v>
      </c>
    </row>
    <row r="160">
      <c r="A160" s="33" t="s">
        <v>751</v>
      </c>
      <c r="B160" s="33" t="s">
        <v>2258</v>
      </c>
      <c r="C160" s="34">
        <v>5.0</v>
      </c>
      <c r="D160" s="33" t="s">
        <v>268</v>
      </c>
      <c r="E160" s="34">
        <v>2004.0</v>
      </c>
      <c r="F160" s="33" t="s">
        <v>730</v>
      </c>
      <c r="G160" s="45" t="s">
        <v>752</v>
      </c>
      <c r="H160" s="46"/>
      <c r="I160" s="33"/>
      <c r="J160" s="33" t="s">
        <v>753</v>
      </c>
      <c r="K160" s="34">
        <v>61.0</v>
      </c>
      <c r="L160" s="33"/>
      <c r="M160" s="6" t="s">
        <v>754</v>
      </c>
      <c r="N160" s="35" t="s">
        <v>60</v>
      </c>
      <c r="O160" s="33" t="s">
        <v>755</v>
      </c>
      <c r="P160" s="36" t="s">
        <v>62</v>
      </c>
      <c r="Q160" s="36" t="s">
        <v>737</v>
      </c>
      <c r="R160" s="36" t="s">
        <v>756</v>
      </c>
      <c r="S160" s="37">
        <v>13.854167</v>
      </c>
      <c r="T160" s="37">
        <v>-89.885556</v>
      </c>
      <c r="U160" s="36" t="s">
        <v>148</v>
      </c>
      <c r="V160" s="38" t="s">
        <v>382</v>
      </c>
      <c r="W160" s="33" t="s">
        <v>173</v>
      </c>
      <c r="X160" s="1" t="s">
        <v>739</v>
      </c>
      <c r="Y160" s="33" t="s">
        <v>544</v>
      </c>
      <c r="Z160" s="36"/>
      <c r="AA160" s="37">
        <v>4.0</v>
      </c>
      <c r="AB160" s="36"/>
      <c r="AC160" s="36"/>
      <c r="AD160" s="36"/>
      <c r="AE160" s="36"/>
      <c r="AF160" s="36"/>
      <c r="AG160" s="37">
        <v>1.0</v>
      </c>
      <c r="AH160" s="36" t="s">
        <v>757</v>
      </c>
      <c r="AI160" s="37">
        <v>-6050.0</v>
      </c>
      <c r="AJ160" s="37">
        <v>1998.0</v>
      </c>
      <c r="AK160" s="6" t="s">
        <v>73</v>
      </c>
      <c r="AL160" s="6" t="s">
        <v>76</v>
      </c>
      <c r="AM160" s="33" t="s">
        <v>400</v>
      </c>
      <c r="AN160" s="6" t="s">
        <v>76</v>
      </c>
      <c r="AO160" s="33"/>
      <c r="AP160" s="6" t="s">
        <v>75</v>
      </c>
      <c r="AQ160" s="33"/>
      <c r="AR160" s="33"/>
      <c r="AS160" s="33"/>
      <c r="AT160" s="6" t="s">
        <v>76</v>
      </c>
      <c r="AU160" s="33"/>
      <c r="AV160" s="33"/>
      <c r="AW160" s="33"/>
      <c r="AX160" s="33"/>
      <c r="AY160" s="33"/>
      <c r="AZ160" s="6" t="s">
        <v>76</v>
      </c>
      <c r="BA160" s="33"/>
      <c r="BB160" s="33">
        <f>VLOOKUP(O160,Eco_DEM_Data!$D$1:$AC$643,20,False)</f>
        <v>1995</v>
      </c>
      <c r="BC160" s="33">
        <f>VLOOKUP($O160,Eco_DEM_Data!$D$1:$AC$643,20,False)</f>
        <v>1995</v>
      </c>
      <c r="BD160" s="33">
        <f>VLOOKUP($O160,Eco_DEM_Data!$D$1:$AC$643,25,False)</f>
        <v>1013</v>
      </c>
      <c r="BE160" s="33">
        <f>VLOOKUP($O160,Eco_DEM_Data!$D$1:$AC$643,22,False)</f>
        <v>5</v>
      </c>
      <c r="BF160" s="33">
        <f>VLOOKUP($O160,Eco_DEM_Data!$D$1:$AC$643,23,False)</f>
        <v>17</v>
      </c>
      <c r="BG160" s="33">
        <f>VLOOKUP($O160,Eco_DEM_Data!$D$1:$AC$643,21,False)</f>
        <v>9481</v>
      </c>
      <c r="BH160" s="33">
        <f>VLOOKUP($O160,Eco_DEM_Data!$D$1:$AC$643,26,False)</f>
        <v>1131</v>
      </c>
      <c r="BI160" s="33" t="str">
        <f>VLOOKUP($O160,Eco_DEM_Data!$D$1:$AC$643,9,False)</f>
        <v>Central American montane forests</v>
      </c>
      <c r="BJ160" s="33" t="str">
        <f>VLOOKUP($O160,Eco_DEM_Data!$D$1:$AC$643,11,False)</f>
        <v>Tropical &amp; Subtropical Moist Broadleaf Forests</v>
      </c>
    </row>
    <row r="161">
      <c r="A161" s="33" t="s">
        <v>751</v>
      </c>
      <c r="B161" s="33" t="s">
        <v>2258</v>
      </c>
      <c r="C161" s="34">
        <v>5.0</v>
      </c>
      <c r="D161" s="33" t="s">
        <v>268</v>
      </c>
      <c r="E161" s="34">
        <v>2004.0</v>
      </c>
      <c r="F161" s="33" t="s">
        <v>730</v>
      </c>
      <c r="G161" s="45" t="s">
        <v>752</v>
      </c>
      <c r="H161" s="46"/>
      <c r="I161" s="33"/>
      <c r="J161" s="33" t="s">
        <v>753</v>
      </c>
      <c r="K161" s="34">
        <v>61.0</v>
      </c>
      <c r="L161" s="33"/>
      <c r="M161" s="6" t="s">
        <v>754</v>
      </c>
      <c r="N161" s="35" t="s">
        <v>60</v>
      </c>
      <c r="O161" s="33" t="s">
        <v>759</v>
      </c>
      <c r="P161" s="36" t="s">
        <v>62</v>
      </c>
      <c r="Q161" s="36" t="s">
        <v>737</v>
      </c>
      <c r="R161" s="36" t="s">
        <v>756</v>
      </c>
      <c r="S161" s="37">
        <v>13.854167</v>
      </c>
      <c r="T161" s="37">
        <v>-89.885556</v>
      </c>
      <c r="U161" s="36" t="s">
        <v>148</v>
      </c>
      <c r="V161" s="6" t="s">
        <v>275</v>
      </c>
      <c r="W161" s="33" t="s">
        <v>276</v>
      </c>
      <c r="X161" s="1" t="s">
        <v>278</v>
      </c>
      <c r="Y161" s="33" t="s">
        <v>279</v>
      </c>
      <c r="Z161" s="36"/>
      <c r="AA161" s="37">
        <v>4.0</v>
      </c>
      <c r="AB161" s="36"/>
      <c r="AC161" s="36"/>
      <c r="AD161" s="36"/>
      <c r="AE161" s="36"/>
      <c r="AF161" s="36"/>
      <c r="AG161" s="37">
        <v>1.0</v>
      </c>
      <c r="AH161" s="36" t="s">
        <v>757</v>
      </c>
      <c r="AI161" s="37">
        <v>-6050.0</v>
      </c>
      <c r="AJ161" s="37">
        <v>1998.0</v>
      </c>
      <c r="AK161" s="6" t="s">
        <v>73</v>
      </c>
      <c r="AL161" s="6" t="s">
        <v>76</v>
      </c>
      <c r="AM161" s="33" t="s">
        <v>400</v>
      </c>
      <c r="AN161" s="6" t="s">
        <v>76</v>
      </c>
      <c r="AO161" s="33"/>
      <c r="AP161" s="6" t="s">
        <v>75</v>
      </c>
      <c r="AQ161" s="33"/>
      <c r="AR161" s="33"/>
      <c r="AS161" s="33"/>
      <c r="AT161" s="6" t="s">
        <v>76</v>
      </c>
      <c r="AU161" s="33"/>
      <c r="AV161" s="33"/>
      <c r="AW161" s="33"/>
      <c r="AX161" s="33"/>
      <c r="AY161" s="33"/>
      <c r="AZ161" s="6" t="s">
        <v>76</v>
      </c>
      <c r="BA161" s="33"/>
      <c r="BB161" s="33">
        <f>VLOOKUP(O161,Eco_DEM_Data!$D$1:$AC$643,20,False)</f>
        <v>1995</v>
      </c>
      <c r="BC161" s="33">
        <f>VLOOKUP($O161,Eco_DEM_Data!$D$1:$AC$643,20,False)</f>
        <v>1995</v>
      </c>
      <c r="BD161" s="33">
        <f>VLOOKUP($O161,Eco_DEM_Data!$D$1:$AC$643,25,False)</f>
        <v>1013</v>
      </c>
      <c r="BE161" s="33">
        <f>VLOOKUP($O161,Eco_DEM_Data!$D$1:$AC$643,22,False)</f>
        <v>5</v>
      </c>
      <c r="BF161" s="33">
        <f>VLOOKUP($O161,Eco_DEM_Data!$D$1:$AC$643,23,False)</f>
        <v>17</v>
      </c>
      <c r="BG161" s="33">
        <f>VLOOKUP($O161,Eco_DEM_Data!$D$1:$AC$643,21,False)</f>
        <v>9481</v>
      </c>
      <c r="BH161" s="33">
        <f>VLOOKUP($O161,Eco_DEM_Data!$D$1:$AC$643,26,False)</f>
        <v>1131</v>
      </c>
      <c r="BI161" s="33" t="str">
        <f>VLOOKUP($O161,Eco_DEM_Data!$D$1:$AC$643,9,False)</f>
        <v>Central American montane forests</v>
      </c>
      <c r="BJ161" s="33" t="str">
        <f>VLOOKUP($O161,Eco_DEM_Data!$D$1:$AC$643,11,False)</f>
        <v>Tropical &amp; Subtropical Moist Broadleaf Forests</v>
      </c>
    </row>
    <row r="162">
      <c r="A162" s="33" t="s">
        <v>751</v>
      </c>
      <c r="B162" s="33" t="s">
        <v>2258</v>
      </c>
      <c r="C162" s="34">
        <v>5.0</v>
      </c>
      <c r="D162" s="33" t="s">
        <v>268</v>
      </c>
      <c r="E162" s="34">
        <v>2004.0</v>
      </c>
      <c r="F162" s="33" t="s">
        <v>730</v>
      </c>
      <c r="G162" s="45" t="s">
        <v>752</v>
      </c>
      <c r="H162" s="46"/>
      <c r="I162" s="33"/>
      <c r="J162" s="33" t="s">
        <v>753</v>
      </c>
      <c r="K162" s="34">
        <v>61.0</v>
      </c>
      <c r="L162" s="33"/>
      <c r="M162" s="6" t="s">
        <v>754</v>
      </c>
      <c r="N162" s="35" t="s">
        <v>60</v>
      </c>
      <c r="O162" s="33" t="s">
        <v>1972</v>
      </c>
      <c r="P162" s="36" t="s">
        <v>62</v>
      </c>
      <c r="Q162" s="36" t="s">
        <v>737</v>
      </c>
      <c r="R162" s="36" t="s">
        <v>756</v>
      </c>
      <c r="S162" s="37">
        <v>13.854167</v>
      </c>
      <c r="T162" s="37">
        <v>-89.885556</v>
      </c>
      <c r="U162" s="36" t="s">
        <v>148</v>
      </c>
      <c r="V162" s="38" t="s">
        <v>599</v>
      </c>
      <c r="W162" s="33" t="s">
        <v>156</v>
      </c>
      <c r="X162" s="1" t="s">
        <v>1302</v>
      </c>
      <c r="Y162" s="6" t="s">
        <v>355</v>
      </c>
      <c r="Z162" s="36"/>
      <c r="AA162" s="37">
        <v>4.0</v>
      </c>
      <c r="AB162" s="36"/>
      <c r="AC162" s="36"/>
      <c r="AD162" s="36"/>
      <c r="AE162" s="36"/>
      <c r="AF162" s="36"/>
      <c r="AG162" s="37">
        <v>1.0</v>
      </c>
      <c r="AH162" s="36" t="s">
        <v>757</v>
      </c>
      <c r="AI162" s="37">
        <v>-6050.0</v>
      </c>
      <c r="AJ162" s="37">
        <v>1998.0</v>
      </c>
      <c r="AK162" s="6" t="s">
        <v>73</v>
      </c>
      <c r="AL162" s="6" t="s">
        <v>76</v>
      </c>
      <c r="AM162" s="33" t="s">
        <v>400</v>
      </c>
      <c r="AN162" s="6" t="s">
        <v>76</v>
      </c>
      <c r="AO162" s="33"/>
      <c r="AP162" s="6" t="s">
        <v>75</v>
      </c>
      <c r="AQ162" s="33"/>
      <c r="AR162" s="33"/>
      <c r="AS162" s="33"/>
      <c r="AT162" s="6" t="s">
        <v>76</v>
      </c>
      <c r="AU162" s="33"/>
      <c r="AV162" s="33"/>
      <c r="AW162" s="33"/>
      <c r="AX162" s="33"/>
      <c r="AY162" s="33"/>
      <c r="AZ162" s="6" t="s">
        <v>76</v>
      </c>
      <c r="BA162" s="33"/>
      <c r="BB162" s="33">
        <f>VLOOKUP(O162,Eco_DEM_Data!$D$1:$AC$643,20,False)</f>
        <v>1995</v>
      </c>
      <c r="BC162" s="33">
        <f>VLOOKUP($O162,Eco_DEM_Data!$D$1:$AC$643,20,False)</f>
        <v>1995</v>
      </c>
      <c r="BD162" s="33">
        <f>VLOOKUP($O162,Eco_DEM_Data!$D$1:$AC$643,25,False)</f>
        <v>1013</v>
      </c>
      <c r="BE162" s="33">
        <f>VLOOKUP($O162,Eco_DEM_Data!$D$1:$AC$643,22,False)</f>
        <v>5</v>
      </c>
      <c r="BF162" s="33">
        <f>VLOOKUP($O162,Eco_DEM_Data!$D$1:$AC$643,23,False)</f>
        <v>17</v>
      </c>
      <c r="BG162" s="33">
        <f>VLOOKUP($O162,Eco_DEM_Data!$D$1:$AC$643,21,False)</f>
        <v>9481</v>
      </c>
      <c r="BH162" s="33">
        <f>VLOOKUP($O162,Eco_DEM_Data!$D$1:$AC$643,26,False)</f>
        <v>1131</v>
      </c>
      <c r="BI162" s="33" t="str">
        <f>VLOOKUP($O162,Eco_DEM_Data!$D$1:$AC$643,9,False)</f>
        <v>Central American montane forests</v>
      </c>
      <c r="BJ162" s="33" t="str">
        <f>VLOOKUP($O162,Eco_DEM_Data!$D$1:$AC$643,11,False)</f>
        <v>Tropical &amp; Subtropical Moist Broadleaf Forests</v>
      </c>
    </row>
    <row r="163">
      <c r="A163" s="33" t="s">
        <v>751</v>
      </c>
      <c r="B163" s="33" t="s">
        <v>2258</v>
      </c>
      <c r="C163" s="34">
        <v>5.0</v>
      </c>
      <c r="D163" s="33" t="s">
        <v>268</v>
      </c>
      <c r="E163" s="34">
        <v>2004.0</v>
      </c>
      <c r="F163" s="33" t="s">
        <v>730</v>
      </c>
      <c r="G163" s="45" t="s">
        <v>752</v>
      </c>
      <c r="H163" s="46"/>
      <c r="I163" s="33"/>
      <c r="J163" s="33" t="s">
        <v>753</v>
      </c>
      <c r="K163" s="34">
        <v>61.0</v>
      </c>
      <c r="L163" s="33"/>
      <c r="M163" s="6" t="s">
        <v>754</v>
      </c>
      <c r="N163" s="35" t="s">
        <v>60</v>
      </c>
      <c r="O163" s="33" t="s">
        <v>770</v>
      </c>
      <c r="P163" s="36" t="s">
        <v>62</v>
      </c>
      <c r="Q163" s="36" t="s">
        <v>737</v>
      </c>
      <c r="R163" s="36" t="s">
        <v>756</v>
      </c>
      <c r="S163" s="37">
        <v>13.854167</v>
      </c>
      <c r="T163" s="37">
        <v>-89.885556</v>
      </c>
      <c r="U163" s="36" t="s">
        <v>148</v>
      </c>
      <c r="V163" s="38" t="s">
        <v>194</v>
      </c>
      <c r="W163" s="33" t="s">
        <v>173</v>
      </c>
      <c r="X163" s="1" t="s">
        <v>286</v>
      </c>
      <c r="Y163" s="33" t="s">
        <v>70</v>
      </c>
      <c r="Z163" s="36"/>
      <c r="AA163" s="37">
        <v>4.0</v>
      </c>
      <c r="AB163" s="36"/>
      <c r="AC163" s="36"/>
      <c r="AD163" s="36"/>
      <c r="AE163" s="36"/>
      <c r="AF163" s="36"/>
      <c r="AG163" s="37">
        <v>1.0</v>
      </c>
      <c r="AH163" s="36" t="s">
        <v>757</v>
      </c>
      <c r="AI163" s="37">
        <v>-6050.0</v>
      </c>
      <c r="AJ163" s="37">
        <v>1998.0</v>
      </c>
      <c r="AK163" s="6" t="s">
        <v>73</v>
      </c>
      <c r="AL163" s="6" t="s">
        <v>76</v>
      </c>
      <c r="AM163" s="33" t="s">
        <v>400</v>
      </c>
      <c r="AN163" s="6" t="s">
        <v>76</v>
      </c>
      <c r="AO163" s="33"/>
      <c r="AP163" s="6" t="s">
        <v>75</v>
      </c>
      <c r="AQ163" s="33"/>
      <c r="AR163" s="33"/>
      <c r="AS163" s="33"/>
      <c r="AT163" s="6" t="s">
        <v>76</v>
      </c>
      <c r="AU163" s="33"/>
      <c r="AV163" s="33"/>
      <c r="AW163" s="33"/>
      <c r="AX163" s="33"/>
      <c r="AY163" s="33"/>
      <c r="AZ163" s="6" t="s">
        <v>76</v>
      </c>
      <c r="BA163" s="33"/>
      <c r="BB163" s="33">
        <f>VLOOKUP(O163,Eco_DEM_Data!$D$1:$AC$643,20,False)</f>
        <v>1995</v>
      </c>
      <c r="BC163" s="33">
        <f>VLOOKUP($O163,Eco_DEM_Data!$D$1:$AC$643,20,False)</f>
        <v>1995</v>
      </c>
      <c r="BD163" s="33">
        <f>VLOOKUP($O163,Eco_DEM_Data!$D$1:$AC$643,25,False)</f>
        <v>1013</v>
      </c>
      <c r="BE163" s="33">
        <f>VLOOKUP($O163,Eco_DEM_Data!$D$1:$AC$643,22,False)</f>
        <v>5</v>
      </c>
      <c r="BF163" s="33">
        <f>VLOOKUP($O163,Eco_DEM_Data!$D$1:$AC$643,23,False)</f>
        <v>17</v>
      </c>
      <c r="BG163" s="33">
        <f>VLOOKUP($O163,Eco_DEM_Data!$D$1:$AC$643,21,False)</f>
        <v>9481</v>
      </c>
      <c r="BH163" s="33">
        <f>VLOOKUP($O163,Eco_DEM_Data!$D$1:$AC$643,26,False)</f>
        <v>1131</v>
      </c>
      <c r="BI163" s="33" t="str">
        <f>VLOOKUP($O163,Eco_DEM_Data!$D$1:$AC$643,9,False)</f>
        <v>Central American montane forests</v>
      </c>
      <c r="BJ163" s="33" t="str">
        <f>VLOOKUP($O163,Eco_DEM_Data!$D$1:$AC$643,11,False)</f>
        <v>Tropical &amp; Subtropical Moist Broadleaf Forests</v>
      </c>
    </row>
    <row r="164">
      <c r="A164" s="33" t="s">
        <v>751</v>
      </c>
      <c r="B164" s="33" t="s">
        <v>2258</v>
      </c>
      <c r="C164" s="34">
        <v>5.0</v>
      </c>
      <c r="D164" s="33" t="s">
        <v>268</v>
      </c>
      <c r="E164" s="34">
        <v>2004.0</v>
      </c>
      <c r="F164" s="33" t="s">
        <v>730</v>
      </c>
      <c r="G164" s="45" t="s">
        <v>752</v>
      </c>
      <c r="H164" s="46"/>
      <c r="I164" s="33"/>
      <c r="J164" s="33" t="s">
        <v>753</v>
      </c>
      <c r="K164" s="34">
        <v>61.0</v>
      </c>
      <c r="L164" s="33"/>
      <c r="M164" s="6" t="s">
        <v>754</v>
      </c>
      <c r="N164" s="35" t="s">
        <v>60</v>
      </c>
      <c r="O164" s="33" t="s">
        <v>1982</v>
      </c>
      <c r="P164" s="36" t="s">
        <v>62</v>
      </c>
      <c r="Q164" s="36" t="s">
        <v>737</v>
      </c>
      <c r="R164" s="36" t="s">
        <v>756</v>
      </c>
      <c r="S164" s="37">
        <v>13.854167</v>
      </c>
      <c r="T164" s="37">
        <v>-89.885556</v>
      </c>
      <c r="U164" s="36" t="s">
        <v>148</v>
      </c>
      <c r="V164" s="38" t="s">
        <v>66</v>
      </c>
      <c r="W164" s="41" t="s">
        <v>823</v>
      </c>
      <c r="X164" s="7" t="s">
        <v>589</v>
      </c>
      <c r="Y164" s="41" t="s">
        <v>70</v>
      </c>
      <c r="Z164" s="43"/>
      <c r="AA164" s="42">
        <v>4.0</v>
      </c>
      <c r="AB164" s="43"/>
      <c r="AC164" s="43"/>
      <c r="AD164" s="43"/>
      <c r="AE164" s="43"/>
      <c r="AF164" s="43"/>
      <c r="AG164" s="42">
        <v>1.0</v>
      </c>
      <c r="AH164" s="43" t="s">
        <v>757</v>
      </c>
      <c r="AI164" s="42">
        <v>-6050.0</v>
      </c>
      <c r="AJ164" s="42">
        <v>1998.0</v>
      </c>
      <c r="AK164" s="5" t="s">
        <v>73</v>
      </c>
      <c r="AL164" s="5" t="s">
        <v>76</v>
      </c>
      <c r="AM164" s="33" t="s">
        <v>400</v>
      </c>
      <c r="AN164" s="5" t="s">
        <v>76</v>
      </c>
      <c r="AO164" s="41"/>
      <c r="AP164" s="5" t="s">
        <v>75</v>
      </c>
      <c r="AQ164" s="41"/>
      <c r="AR164" s="41"/>
      <c r="AS164" s="41"/>
      <c r="AT164" s="5" t="s">
        <v>60</v>
      </c>
      <c r="AU164" s="33"/>
      <c r="AV164" s="33"/>
      <c r="AW164" s="33"/>
      <c r="AX164" s="33"/>
      <c r="AY164" s="33"/>
      <c r="AZ164" s="6" t="s">
        <v>76</v>
      </c>
      <c r="BA164" s="33"/>
      <c r="BB164" s="33">
        <f>VLOOKUP(O164,Eco_DEM_Data!$D$1:$AC$643,20,False)</f>
        <v>1995</v>
      </c>
      <c r="BC164" s="33">
        <f>VLOOKUP($O164,Eco_DEM_Data!$D$1:$AC$643,20,False)</f>
        <v>1995</v>
      </c>
      <c r="BD164" s="33">
        <f>VLOOKUP($O164,Eco_DEM_Data!$D$1:$AC$643,25,False)</f>
        <v>1013</v>
      </c>
      <c r="BE164" s="33">
        <f>VLOOKUP($O164,Eco_DEM_Data!$D$1:$AC$643,22,False)</f>
        <v>5</v>
      </c>
      <c r="BF164" s="33">
        <f>VLOOKUP($O164,Eco_DEM_Data!$D$1:$AC$643,23,False)</f>
        <v>17</v>
      </c>
      <c r="BG164" s="33">
        <f>VLOOKUP($O164,Eco_DEM_Data!$D$1:$AC$643,21,False)</f>
        <v>9481</v>
      </c>
      <c r="BH164" s="33">
        <f>VLOOKUP($O164,Eco_DEM_Data!$D$1:$AC$643,26,False)</f>
        <v>1131</v>
      </c>
      <c r="BI164" s="33" t="str">
        <f>VLOOKUP($O164,Eco_DEM_Data!$D$1:$AC$643,9,False)</f>
        <v>Central American montane forests</v>
      </c>
      <c r="BJ164" s="33" t="str">
        <f>VLOOKUP($O164,Eco_DEM_Data!$D$1:$AC$643,11,False)</f>
        <v>Tropical &amp; Subtropical Moist Broadleaf Forests</v>
      </c>
    </row>
    <row r="165">
      <c r="A165" s="33" t="s">
        <v>760</v>
      </c>
      <c r="B165" s="33" t="s">
        <v>2259</v>
      </c>
      <c r="C165" s="34">
        <v>2.0</v>
      </c>
      <c r="D165" s="33" t="s">
        <v>53</v>
      </c>
      <c r="E165" s="34">
        <v>2004.0</v>
      </c>
      <c r="F165" s="33" t="s">
        <v>761</v>
      </c>
      <c r="G165" s="36" t="s">
        <v>762</v>
      </c>
      <c r="H165" s="33" t="s">
        <v>763</v>
      </c>
      <c r="I165" s="33" t="s">
        <v>764</v>
      </c>
      <c r="J165" s="33" t="s">
        <v>765</v>
      </c>
      <c r="K165" s="34">
        <v>109.0</v>
      </c>
      <c r="L165" s="34">
        <v>20.0</v>
      </c>
      <c r="M165" s="6" t="s">
        <v>766</v>
      </c>
      <c r="N165" s="35" t="s">
        <v>60</v>
      </c>
      <c r="O165" s="33" t="s">
        <v>767</v>
      </c>
      <c r="P165" s="36" t="s">
        <v>62</v>
      </c>
      <c r="Q165" s="36" t="s">
        <v>146</v>
      </c>
      <c r="R165" s="36" t="s">
        <v>768</v>
      </c>
      <c r="S165" s="37">
        <v>9.2</v>
      </c>
      <c r="T165" s="37">
        <v>-79.7</v>
      </c>
      <c r="U165" s="36" t="s">
        <v>94</v>
      </c>
      <c r="V165" s="6" t="s">
        <v>95</v>
      </c>
      <c r="W165" s="6" t="s">
        <v>96</v>
      </c>
      <c r="X165" s="1" t="s">
        <v>769</v>
      </c>
      <c r="Y165" s="6" t="s">
        <v>99</v>
      </c>
      <c r="Z165" s="36"/>
      <c r="AA165" s="37"/>
      <c r="AB165" s="36"/>
      <c r="AC165" s="36"/>
      <c r="AD165" s="36"/>
      <c r="AE165" s="37">
        <v>5.0</v>
      </c>
      <c r="AF165" s="36"/>
      <c r="AG165" s="36"/>
      <c r="AH165" s="36"/>
      <c r="AI165" s="37">
        <v>-180.0</v>
      </c>
      <c r="AJ165" s="37">
        <v>1320.0</v>
      </c>
      <c r="AK165" s="6" t="s">
        <v>153</v>
      </c>
      <c r="AL165" s="6" t="s">
        <v>76</v>
      </c>
      <c r="AM165" s="5" t="s">
        <v>72</v>
      </c>
      <c r="AN165" s="6" t="s">
        <v>101</v>
      </c>
      <c r="AO165" s="33"/>
      <c r="AP165" s="6" t="s">
        <v>102</v>
      </c>
      <c r="AQ165" s="33"/>
      <c r="AR165" s="33"/>
      <c r="AS165" s="33"/>
      <c r="AT165" s="6" t="s">
        <v>76</v>
      </c>
      <c r="AU165" s="33"/>
      <c r="AV165" s="33"/>
      <c r="AW165" s="33"/>
      <c r="AX165" s="33"/>
      <c r="AY165" s="33"/>
      <c r="AZ165" s="6" t="s">
        <v>76</v>
      </c>
      <c r="BA165" s="33"/>
      <c r="BB165" s="33">
        <f>VLOOKUP(O165,Eco_DEM_Data!$D$1:$AC$643,20,False)</f>
        <v>2748</v>
      </c>
      <c r="BC165" s="33">
        <f>VLOOKUP($O165,Eco_DEM_Data!$D$1:$AC$643,20,False)</f>
        <v>2748</v>
      </c>
      <c r="BD165" s="33">
        <f>VLOOKUP($O165,Eco_DEM_Data!$D$1:$AC$643,25,False)</f>
        <v>1040</v>
      </c>
      <c r="BE165" s="33">
        <f>VLOOKUP($O165,Eco_DEM_Data!$D$1:$AC$643,22,False)</f>
        <v>18</v>
      </c>
      <c r="BF165" s="33">
        <f>VLOOKUP($O165,Eco_DEM_Data!$D$1:$AC$643,23,False)</f>
        <v>103</v>
      </c>
      <c r="BG165" s="33">
        <f>VLOOKUP($O165,Eco_DEM_Data!$D$1:$AC$643,21,False)</f>
        <v>6282</v>
      </c>
      <c r="BH165" s="33">
        <f>VLOOKUP($O165,Eco_DEM_Data!$D$1:$AC$643,26,False)</f>
        <v>136</v>
      </c>
      <c r="BI165" s="33" t="str">
        <f>VLOOKUP($O165,Eco_DEM_Data!$D$1:$AC$643,9,False)</f>
        <v>Isthmian-Atlantic moist forests</v>
      </c>
      <c r="BJ165" s="33" t="str">
        <f>VLOOKUP($O165,Eco_DEM_Data!$D$1:$AC$643,11,False)</f>
        <v>Tropical &amp; Subtropical Moist Broadleaf Forests</v>
      </c>
    </row>
    <row r="166">
      <c r="A166" s="33" t="s">
        <v>760</v>
      </c>
      <c r="B166" s="33" t="s">
        <v>2259</v>
      </c>
      <c r="C166" s="34">
        <v>2.0</v>
      </c>
      <c r="D166" s="33" t="s">
        <v>53</v>
      </c>
      <c r="E166" s="34">
        <v>2004.0</v>
      </c>
      <c r="F166" s="33" t="s">
        <v>761</v>
      </c>
      <c r="G166" s="33" t="s">
        <v>762</v>
      </c>
      <c r="H166" s="33" t="s">
        <v>763</v>
      </c>
      <c r="I166" s="33" t="s">
        <v>764</v>
      </c>
      <c r="J166" s="33" t="s">
        <v>765</v>
      </c>
      <c r="K166" s="34">
        <v>109.0</v>
      </c>
      <c r="L166" s="34">
        <v>20.0</v>
      </c>
      <c r="M166" s="6" t="s">
        <v>766</v>
      </c>
      <c r="N166" s="35" t="s">
        <v>60</v>
      </c>
      <c r="O166" s="33" t="s">
        <v>771</v>
      </c>
      <c r="P166" s="36" t="s">
        <v>62</v>
      </c>
      <c r="Q166" s="36" t="s">
        <v>146</v>
      </c>
      <c r="R166" s="36" t="s">
        <v>768</v>
      </c>
      <c r="S166" s="37">
        <v>9.2</v>
      </c>
      <c r="T166" s="37">
        <v>-79.7</v>
      </c>
      <c r="U166" s="36" t="s">
        <v>94</v>
      </c>
      <c r="V166" s="6" t="s">
        <v>135</v>
      </c>
      <c r="W166" s="6" t="s">
        <v>96</v>
      </c>
      <c r="X166" s="1" t="s">
        <v>769</v>
      </c>
      <c r="Y166" s="6" t="s">
        <v>99</v>
      </c>
      <c r="Z166" s="36"/>
      <c r="AA166" s="37"/>
      <c r="AB166" s="36"/>
      <c r="AC166" s="36"/>
      <c r="AD166" s="36"/>
      <c r="AE166" s="37">
        <v>5.0</v>
      </c>
      <c r="AF166" s="36"/>
      <c r="AG166" s="36"/>
      <c r="AH166" s="36"/>
      <c r="AI166" s="37">
        <v>-180.0</v>
      </c>
      <c r="AJ166" s="37">
        <v>1320.0</v>
      </c>
      <c r="AK166" s="6" t="s">
        <v>153</v>
      </c>
      <c r="AL166" s="6" t="s">
        <v>76</v>
      </c>
      <c r="AM166" s="5" t="s">
        <v>72</v>
      </c>
      <c r="AN166" s="6" t="s">
        <v>101</v>
      </c>
      <c r="AO166" s="33"/>
      <c r="AP166" s="6" t="s">
        <v>102</v>
      </c>
      <c r="AQ166" s="33"/>
      <c r="AR166" s="33"/>
      <c r="AS166" s="33"/>
      <c r="AT166" s="6" t="s">
        <v>76</v>
      </c>
      <c r="AU166" s="33"/>
      <c r="AV166" s="33"/>
      <c r="AW166" s="33"/>
      <c r="AX166" s="33"/>
      <c r="AY166" s="33"/>
      <c r="AZ166" s="6" t="s">
        <v>76</v>
      </c>
      <c r="BA166" s="33"/>
      <c r="BB166" s="33">
        <f>VLOOKUP(O166,Eco_DEM_Data!$D$1:$AC$643,20,False)</f>
        <v>2748</v>
      </c>
      <c r="BC166" s="33">
        <f>VLOOKUP($O166,Eco_DEM_Data!$D$1:$AC$643,20,False)</f>
        <v>2748</v>
      </c>
      <c r="BD166" s="33">
        <f>VLOOKUP($O166,Eco_DEM_Data!$D$1:$AC$643,25,False)</f>
        <v>1040</v>
      </c>
      <c r="BE166" s="33">
        <f>VLOOKUP($O166,Eco_DEM_Data!$D$1:$AC$643,22,False)</f>
        <v>18</v>
      </c>
      <c r="BF166" s="33">
        <f>VLOOKUP($O166,Eco_DEM_Data!$D$1:$AC$643,23,False)</f>
        <v>103</v>
      </c>
      <c r="BG166" s="33">
        <f>VLOOKUP($O166,Eco_DEM_Data!$D$1:$AC$643,21,False)</f>
        <v>6282</v>
      </c>
      <c r="BH166" s="33">
        <f>VLOOKUP($O166,Eco_DEM_Data!$D$1:$AC$643,26,False)</f>
        <v>136</v>
      </c>
      <c r="BI166" s="33" t="str">
        <f>VLOOKUP($O166,Eco_DEM_Data!$D$1:$AC$643,9,False)</f>
        <v>Isthmian-Atlantic moist forests</v>
      </c>
      <c r="BJ166" s="33" t="str">
        <f>VLOOKUP($O166,Eco_DEM_Data!$D$1:$AC$643,11,False)</f>
        <v>Tropical &amp; Subtropical Moist Broadleaf Forests</v>
      </c>
    </row>
    <row r="167">
      <c r="A167" s="33" t="s">
        <v>790</v>
      </c>
      <c r="B167" s="33" t="s">
        <v>2258</v>
      </c>
      <c r="C167" s="34">
        <v>8.0</v>
      </c>
      <c r="D167" s="33" t="s">
        <v>53</v>
      </c>
      <c r="E167" s="34">
        <v>2005.0</v>
      </c>
      <c r="F167" s="33" t="s">
        <v>791</v>
      </c>
      <c r="G167" s="33" t="s">
        <v>792</v>
      </c>
      <c r="H167" s="33" t="s">
        <v>793</v>
      </c>
      <c r="I167" s="33" t="s">
        <v>794</v>
      </c>
      <c r="J167" s="33" t="s">
        <v>795</v>
      </c>
      <c r="K167" s="34">
        <v>221.0</v>
      </c>
      <c r="L167" s="56">
        <v>43862.0</v>
      </c>
      <c r="M167" s="6" t="s">
        <v>796</v>
      </c>
      <c r="N167" s="35" t="s">
        <v>60</v>
      </c>
      <c r="O167" s="33" t="s">
        <v>797</v>
      </c>
      <c r="P167" s="36" t="s">
        <v>62</v>
      </c>
      <c r="Q167" s="36" t="s">
        <v>112</v>
      </c>
      <c r="R167" s="36" t="s">
        <v>798</v>
      </c>
      <c r="S167" s="37">
        <v>8.933333</v>
      </c>
      <c r="T167" s="37">
        <v>-82.933333</v>
      </c>
      <c r="U167" s="36" t="s">
        <v>148</v>
      </c>
      <c r="V167" s="6" t="s">
        <v>189</v>
      </c>
      <c r="W167" s="33" t="s">
        <v>72</v>
      </c>
      <c r="X167" s="1" t="s">
        <v>284</v>
      </c>
      <c r="Y167" s="6" t="s">
        <v>72</v>
      </c>
      <c r="Z167" s="36"/>
      <c r="AA167" s="37">
        <v>1.0</v>
      </c>
      <c r="AB167" s="36"/>
      <c r="AC167" s="36"/>
      <c r="AD167" s="36"/>
      <c r="AE167" s="36"/>
      <c r="AF167" s="36"/>
      <c r="AG167" s="36"/>
      <c r="AH167" s="36" t="s">
        <v>799</v>
      </c>
      <c r="AI167" s="37">
        <v>140.0</v>
      </c>
      <c r="AJ167" s="37">
        <v>1800.0</v>
      </c>
      <c r="AK167" s="6" t="s">
        <v>73</v>
      </c>
      <c r="AL167" s="6" t="s">
        <v>72</v>
      </c>
      <c r="AM167" s="33" t="s">
        <v>400</v>
      </c>
      <c r="AN167" s="6" t="s">
        <v>72</v>
      </c>
      <c r="AO167" s="33"/>
      <c r="AP167" s="6" t="s">
        <v>75</v>
      </c>
      <c r="AQ167" s="33"/>
      <c r="AR167" s="33"/>
      <c r="AS167" s="33"/>
      <c r="AT167" s="6" t="s">
        <v>76</v>
      </c>
      <c r="AU167" s="33"/>
      <c r="AV167" s="33"/>
      <c r="AW167" s="33"/>
      <c r="AX167" s="33"/>
      <c r="AY167" s="33"/>
      <c r="AZ167" s="6" t="s">
        <v>76</v>
      </c>
      <c r="BA167" s="33"/>
      <c r="BB167" s="33">
        <f>VLOOKUP(O167,Eco_DEM_Data!$D$1:$AC$643,20,False)</f>
        <v>2756</v>
      </c>
      <c r="BC167" s="33">
        <f>VLOOKUP($O167,Eco_DEM_Data!$D$1:$AC$643,20,False)</f>
        <v>2756</v>
      </c>
      <c r="BD167" s="33">
        <f>VLOOKUP($O167,Eco_DEM_Data!$D$1:$AC$643,25,False)</f>
        <v>1197</v>
      </c>
      <c r="BE167" s="33">
        <f>VLOOKUP($O167,Eco_DEM_Data!$D$1:$AC$643,22,False)</f>
        <v>40</v>
      </c>
      <c r="BF167" s="33">
        <f>VLOOKUP($O167,Eco_DEM_Data!$D$1:$AC$643,23,False)</f>
        <v>160</v>
      </c>
      <c r="BG167" s="33">
        <f>VLOOKUP($O167,Eco_DEM_Data!$D$1:$AC$643,21,False)</f>
        <v>6258</v>
      </c>
      <c r="BH167" s="33">
        <f>VLOOKUP($O167,Eco_DEM_Data!$D$1:$AC$643,26,False)</f>
        <v>1017</v>
      </c>
      <c r="BI167" s="33" t="str">
        <f>VLOOKUP($O167,Eco_DEM_Data!$D$1:$AC$643,9,False)</f>
        <v>Isthmian-Pacific moist forests</v>
      </c>
      <c r="BJ167" s="33" t="str">
        <f>VLOOKUP($O167,Eco_DEM_Data!$D$1:$AC$643,11,False)</f>
        <v>Tropical &amp; Subtropical Moist Broadleaf Forests</v>
      </c>
    </row>
    <row r="168">
      <c r="A168" s="33" t="s">
        <v>790</v>
      </c>
      <c r="B168" s="33" t="s">
        <v>2258</v>
      </c>
      <c r="C168" s="34">
        <v>8.0</v>
      </c>
      <c r="D168" s="33" t="s">
        <v>53</v>
      </c>
      <c r="E168" s="34">
        <v>2005.0</v>
      </c>
      <c r="F168" s="33" t="s">
        <v>791</v>
      </c>
      <c r="G168" s="33" t="s">
        <v>792</v>
      </c>
      <c r="H168" s="33" t="s">
        <v>793</v>
      </c>
      <c r="I168" s="33" t="s">
        <v>794</v>
      </c>
      <c r="J168" s="33" t="s">
        <v>795</v>
      </c>
      <c r="K168" s="34">
        <v>221.0</v>
      </c>
      <c r="L168" s="56">
        <v>43862.0</v>
      </c>
      <c r="M168" s="6" t="s">
        <v>796</v>
      </c>
      <c r="N168" s="35" t="s">
        <v>60</v>
      </c>
      <c r="O168" s="33" t="s">
        <v>800</v>
      </c>
      <c r="P168" s="36" t="s">
        <v>62</v>
      </c>
      <c r="Q168" s="36" t="s">
        <v>112</v>
      </c>
      <c r="R168" s="36" t="s">
        <v>798</v>
      </c>
      <c r="S168" s="37">
        <v>8.933333</v>
      </c>
      <c r="T168" s="37">
        <v>-82.933333</v>
      </c>
      <c r="U168" s="36" t="s">
        <v>148</v>
      </c>
      <c r="V168" s="6" t="s">
        <v>275</v>
      </c>
      <c r="W168" s="33" t="s">
        <v>72</v>
      </c>
      <c r="X168" s="1" t="s">
        <v>801</v>
      </c>
      <c r="Y168" s="33" t="s">
        <v>279</v>
      </c>
      <c r="Z168" s="36"/>
      <c r="AA168" s="37">
        <v>1.0</v>
      </c>
      <c r="AB168" s="36"/>
      <c r="AC168" s="36"/>
      <c r="AD168" s="36"/>
      <c r="AE168" s="36"/>
      <c r="AF168" s="36"/>
      <c r="AG168" s="36"/>
      <c r="AH168" s="36" t="s">
        <v>799</v>
      </c>
      <c r="AI168" s="37">
        <v>140.0</v>
      </c>
      <c r="AJ168" s="37">
        <v>1800.0</v>
      </c>
      <c r="AK168" s="6" t="s">
        <v>73</v>
      </c>
      <c r="AL168" s="6" t="s">
        <v>72</v>
      </c>
      <c r="AM168" s="33" t="s">
        <v>400</v>
      </c>
      <c r="AN168" s="6" t="s">
        <v>72</v>
      </c>
      <c r="AO168" s="33"/>
      <c r="AP168" s="6" t="s">
        <v>75</v>
      </c>
      <c r="AQ168" s="33"/>
      <c r="AR168" s="33"/>
      <c r="AS168" s="33"/>
      <c r="AT168" s="6" t="s">
        <v>76</v>
      </c>
      <c r="AU168" s="33"/>
      <c r="AV168" s="33"/>
      <c r="AW168" s="33"/>
      <c r="AX168" s="33"/>
      <c r="AY168" s="33"/>
      <c r="AZ168" s="6" t="s">
        <v>76</v>
      </c>
      <c r="BA168" s="33"/>
      <c r="BB168" s="33">
        <f>VLOOKUP(O168,Eco_DEM_Data!$D$1:$AC$643,20,False)</f>
        <v>2756</v>
      </c>
      <c r="BC168" s="33">
        <f>VLOOKUP($O168,Eco_DEM_Data!$D$1:$AC$643,20,False)</f>
        <v>2756</v>
      </c>
      <c r="BD168" s="33">
        <f>VLOOKUP($O168,Eco_DEM_Data!$D$1:$AC$643,25,False)</f>
        <v>1197</v>
      </c>
      <c r="BE168" s="33">
        <f>VLOOKUP($O168,Eco_DEM_Data!$D$1:$AC$643,22,False)</f>
        <v>40</v>
      </c>
      <c r="BF168" s="33">
        <f>VLOOKUP($O168,Eco_DEM_Data!$D$1:$AC$643,23,False)</f>
        <v>160</v>
      </c>
      <c r="BG168" s="33">
        <f>VLOOKUP($O168,Eco_DEM_Data!$D$1:$AC$643,21,False)</f>
        <v>6258</v>
      </c>
      <c r="BH168" s="33">
        <f>VLOOKUP($O168,Eco_DEM_Data!$D$1:$AC$643,26,False)</f>
        <v>1017</v>
      </c>
      <c r="BI168" s="33" t="str">
        <f>VLOOKUP($O168,Eco_DEM_Data!$D$1:$AC$643,9,False)</f>
        <v>Isthmian-Pacific moist forests</v>
      </c>
      <c r="BJ168" s="33" t="str">
        <f>VLOOKUP($O168,Eco_DEM_Data!$D$1:$AC$643,11,False)</f>
        <v>Tropical &amp; Subtropical Moist Broadleaf Forests</v>
      </c>
    </row>
    <row r="169">
      <c r="A169" s="33" t="s">
        <v>790</v>
      </c>
      <c r="B169" s="33" t="s">
        <v>2258</v>
      </c>
      <c r="C169" s="34">
        <v>8.0</v>
      </c>
      <c r="D169" s="33" t="s">
        <v>53</v>
      </c>
      <c r="E169" s="34">
        <v>2005.0</v>
      </c>
      <c r="F169" s="33" t="s">
        <v>791</v>
      </c>
      <c r="G169" s="33" t="s">
        <v>792</v>
      </c>
      <c r="H169" s="33" t="s">
        <v>793</v>
      </c>
      <c r="I169" s="33" t="s">
        <v>794</v>
      </c>
      <c r="J169" s="33" t="s">
        <v>795</v>
      </c>
      <c r="K169" s="34">
        <v>221.0</v>
      </c>
      <c r="L169" s="56">
        <v>43862.0</v>
      </c>
      <c r="M169" s="6" t="s">
        <v>796</v>
      </c>
      <c r="N169" s="35" t="s">
        <v>60</v>
      </c>
      <c r="O169" s="33" t="s">
        <v>1289</v>
      </c>
      <c r="P169" s="36" t="s">
        <v>62</v>
      </c>
      <c r="Q169" s="36" t="s">
        <v>112</v>
      </c>
      <c r="R169" s="36" t="s">
        <v>798</v>
      </c>
      <c r="S169" s="37">
        <v>8.933333</v>
      </c>
      <c r="T169" s="37">
        <v>-82.933333</v>
      </c>
      <c r="U169" s="36" t="s">
        <v>148</v>
      </c>
      <c r="V169" s="6" t="s">
        <v>321</v>
      </c>
      <c r="W169" s="33" t="s">
        <v>156</v>
      </c>
      <c r="X169" s="1" t="s">
        <v>1290</v>
      </c>
      <c r="Y169" s="6" t="s">
        <v>355</v>
      </c>
      <c r="Z169" s="36"/>
      <c r="AA169" s="37">
        <v>1.0</v>
      </c>
      <c r="AB169" s="36"/>
      <c r="AC169" s="36"/>
      <c r="AD169" s="36"/>
      <c r="AE169" s="36"/>
      <c r="AF169" s="36"/>
      <c r="AG169" s="36"/>
      <c r="AH169" s="36" t="s">
        <v>799</v>
      </c>
      <c r="AI169" s="37">
        <v>200.0</v>
      </c>
      <c r="AJ169" s="37">
        <v>1650.0</v>
      </c>
      <c r="AK169" s="6" t="s">
        <v>73</v>
      </c>
      <c r="AL169" s="6" t="s">
        <v>72</v>
      </c>
      <c r="AM169" s="33" t="s">
        <v>400</v>
      </c>
      <c r="AN169" s="6" t="s">
        <v>72</v>
      </c>
      <c r="AO169" s="33"/>
      <c r="AP169" s="6" t="s">
        <v>75</v>
      </c>
      <c r="AQ169" s="33"/>
      <c r="AR169" s="33"/>
      <c r="AS169" s="33"/>
      <c r="AT169" s="6" t="s">
        <v>76</v>
      </c>
      <c r="AU169" s="33"/>
      <c r="AV169" s="33"/>
      <c r="AW169" s="33"/>
      <c r="AX169" s="33"/>
      <c r="AY169" s="33"/>
      <c r="AZ169" s="6" t="s">
        <v>76</v>
      </c>
      <c r="BA169" s="33"/>
      <c r="BB169" s="33">
        <f>VLOOKUP(O169,Eco_DEM_Data!$D$1:$AC$643,20,False)</f>
        <v>2756</v>
      </c>
      <c r="BC169" s="33">
        <f>VLOOKUP($O169,Eco_DEM_Data!$D$1:$AC$643,20,False)</f>
        <v>2756</v>
      </c>
      <c r="BD169" s="33">
        <f>VLOOKUP($O169,Eco_DEM_Data!$D$1:$AC$643,25,False)</f>
        <v>1197</v>
      </c>
      <c r="BE169" s="33">
        <f>VLOOKUP($O169,Eco_DEM_Data!$D$1:$AC$643,22,False)</f>
        <v>40</v>
      </c>
      <c r="BF169" s="33">
        <f>VLOOKUP($O169,Eco_DEM_Data!$D$1:$AC$643,23,False)</f>
        <v>160</v>
      </c>
      <c r="BG169" s="33">
        <f>VLOOKUP($O169,Eco_DEM_Data!$D$1:$AC$643,21,False)</f>
        <v>6258</v>
      </c>
      <c r="BH169" s="33">
        <f>VLOOKUP($O169,Eco_DEM_Data!$D$1:$AC$643,26,False)</f>
        <v>1017</v>
      </c>
      <c r="BI169" s="33" t="str">
        <f>VLOOKUP($O169,Eco_DEM_Data!$D$1:$AC$643,9,False)</f>
        <v>Isthmian-Pacific moist forests</v>
      </c>
      <c r="BJ169" s="33" t="str">
        <f>VLOOKUP($O169,Eco_DEM_Data!$D$1:$AC$643,11,False)</f>
        <v>Tropical &amp; Subtropical Moist Broadleaf Forests</v>
      </c>
    </row>
    <row r="170">
      <c r="A170" s="33" t="s">
        <v>790</v>
      </c>
      <c r="B170" s="33" t="s">
        <v>2258</v>
      </c>
      <c r="C170" s="34">
        <v>8.0</v>
      </c>
      <c r="D170" s="33" t="s">
        <v>53</v>
      </c>
      <c r="E170" s="34">
        <v>2005.0</v>
      </c>
      <c r="F170" s="33" t="s">
        <v>791</v>
      </c>
      <c r="G170" s="33" t="s">
        <v>792</v>
      </c>
      <c r="H170" s="33" t="s">
        <v>793</v>
      </c>
      <c r="I170" s="33" t="s">
        <v>794</v>
      </c>
      <c r="J170" s="33" t="s">
        <v>795</v>
      </c>
      <c r="K170" s="34">
        <v>221.0</v>
      </c>
      <c r="L170" s="56">
        <v>43862.0</v>
      </c>
      <c r="M170" s="6" t="s">
        <v>796</v>
      </c>
      <c r="N170" s="35" t="s">
        <v>60</v>
      </c>
      <c r="O170" s="33" t="s">
        <v>1291</v>
      </c>
      <c r="P170" s="36" t="s">
        <v>62</v>
      </c>
      <c r="Q170" s="36" t="s">
        <v>112</v>
      </c>
      <c r="R170" s="36" t="s">
        <v>798</v>
      </c>
      <c r="S170" s="37">
        <v>8.933333</v>
      </c>
      <c r="T170" s="37">
        <v>-82.933333</v>
      </c>
      <c r="U170" s="36" t="s">
        <v>148</v>
      </c>
      <c r="V170" s="6" t="s">
        <v>321</v>
      </c>
      <c r="W170" s="33" t="s">
        <v>156</v>
      </c>
      <c r="X170" s="1" t="s">
        <v>1292</v>
      </c>
      <c r="Y170" s="33" t="s">
        <v>355</v>
      </c>
      <c r="Z170" s="36"/>
      <c r="AA170" s="37">
        <v>1.0</v>
      </c>
      <c r="AB170" s="36"/>
      <c r="AC170" s="36"/>
      <c r="AD170" s="36"/>
      <c r="AE170" s="36"/>
      <c r="AF170" s="36"/>
      <c r="AG170" s="36"/>
      <c r="AH170" s="36" t="s">
        <v>799</v>
      </c>
      <c r="AI170" s="37">
        <v>200.0</v>
      </c>
      <c r="AJ170" s="37">
        <v>1250.0</v>
      </c>
      <c r="AK170" s="6" t="s">
        <v>73</v>
      </c>
      <c r="AL170" s="6" t="s">
        <v>72</v>
      </c>
      <c r="AM170" s="33" t="s">
        <v>400</v>
      </c>
      <c r="AN170" s="6" t="s">
        <v>72</v>
      </c>
      <c r="AO170" s="33"/>
      <c r="AP170" s="6" t="s">
        <v>75</v>
      </c>
      <c r="AQ170" s="33"/>
      <c r="AR170" s="33"/>
      <c r="AS170" s="33"/>
      <c r="AT170" s="6" t="s">
        <v>76</v>
      </c>
      <c r="AU170" s="33"/>
      <c r="AV170" s="33"/>
      <c r="AW170" s="33"/>
      <c r="AX170" s="33"/>
      <c r="AY170" s="33"/>
      <c r="AZ170" s="6" t="s">
        <v>76</v>
      </c>
      <c r="BA170" s="33"/>
      <c r="BB170" s="33">
        <f>VLOOKUP(O170,Eco_DEM_Data!$D$1:$AC$643,20,False)</f>
        <v>2756</v>
      </c>
      <c r="BC170" s="33">
        <f>VLOOKUP($O170,Eco_DEM_Data!$D$1:$AC$643,20,False)</f>
        <v>2756</v>
      </c>
      <c r="BD170" s="33">
        <f>VLOOKUP($O170,Eco_DEM_Data!$D$1:$AC$643,25,False)</f>
        <v>1197</v>
      </c>
      <c r="BE170" s="33">
        <f>VLOOKUP($O170,Eco_DEM_Data!$D$1:$AC$643,22,False)</f>
        <v>40</v>
      </c>
      <c r="BF170" s="33">
        <f>VLOOKUP($O170,Eco_DEM_Data!$D$1:$AC$643,23,False)</f>
        <v>160</v>
      </c>
      <c r="BG170" s="33">
        <f>VLOOKUP($O170,Eco_DEM_Data!$D$1:$AC$643,21,False)</f>
        <v>6258</v>
      </c>
      <c r="BH170" s="33">
        <f>VLOOKUP($O170,Eco_DEM_Data!$D$1:$AC$643,26,False)</f>
        <v>1017</v>
      </c>
      <c r="BI170" s="33" t="str">
        <f>VLOOKUP($O170,Eco_DEM_Data!$D$1:$AC$643,9,False)</f>
        <v>Isthmian-Pacific moist forests</v>
      </c>
      <c r="BJ170" s="33" t="str">
        <f>VLOOKUP($O170,Eco_DEM_Data!$D$1:$AC$643,11,False)</f>
        <v>Tropical &amp; Subtropical Moist Broadleaf Forests</v>
      </c>
    </row>
    <row r="171">
      <c r="A171" s="33" t="s">
        <v>790</v>
      </c>
      <c r="B171" s="33" t="s">
        <v>2258</v>
      </c>
      <c r="C171" s="34">
        <v>8.0</v>
      </c>
      <c r="D171" s="33" t="s">
        <v>53</v>
      </c>
      <c r="E171" s="34">
        <v>2005.0</v>
      </c>
      <c r="F171" s="33" t="s">
        <v>791</v>
      </c>
      <c r="G171" s="33" t="s">
        <v>792</v>
      </c>
      <c r="H171" s="33" t="s">
        <v>793</v>
      </c>
      <c r="I171" s="33" t="s">
        <v>794</v>
      </c>
      <c r="J171" s="33" t="s">
        <v>795</v>
      </c>
      <c r="K171" s="34">
        <v>221.0</v>
      </c>
      <c r="L171" s="56">
        <v>43862.0</v>
      </c>
      <c r="M171" s="6" t="s">
        <v>796</v>
      </c>
      <c r="N171" s="35" t="s">
        <v>60</v>
      </c>
      <c r="O171" s="33" t="s">
        <v>1293</v>
      </c>
      <c r="P171" s="36" t="s">
        <v>62</v>
      </c>
      <c r="Q171" s="36" t="s">
        <v>112</v>
      </c>
      <c r="R171" s="36" t="s">
        <v>798</v>
      </c>
      <c r="S171" s="37">
        <v>8.933333</v>
      </c>
      <c r="T171" s="37">
        <v>-82.933333</v>
      </c>
      <c r="U171" s="36" t="s">
        <v>148</v>
      </c>
      <c r="V171" s="6" t="s">
        <v>321</v>
      </c>
      <c r="W171" s="33" t="s">
        <v>156</v>
      </c>
      <c r="X171" s="1" t="s">
        <v>1294</v>
      </c>
      <c r="Y171" s="6" t="s">
        <v>355</v>
      </c>
      <c r="Z171" s="36"/>
      <c r="AA171" s="37">
        <v>1.0</v>
      </c>
      <c r="AB171" s="36"/>
      <c r="AC171" s="36"/>
      <c r="AD171" s="36"/>
      <c r="AE171" s="36"/>
      <c r="AF171" s="36"/>
      <c r="AG171" s="36"/>
      <c r="AH171" s="36" t="s">
        <v>799</v>
      </c>
      <c r="AI171" s="37">
        <v>200.0</v>
      </c>
      <c r="AJ171" s="37">
        <v>1000.0</v>
      </c>
      <c r="AK171" s="6" t="s">
        <v>73</v>
      </c>
      <c r="AL171" s="6" t="s">
        <v>72</v>
      </c>
      <c r="AM171" s="33" t="s">
        <v>400</v>
      </c>
      <c r="AN171" s="6" t="s">
        <v>72</v>
      </c>
      <c r="AO171" s="33"/>
      <c r="AP171" s="6" t="s">
        <v>75</v>
      </c>
      <c r="AQ171" s="33"/>
      <c r="AR171" s="33"/>
      <c r="AS171" s="33"/>
      <c r="AT171" s="6" t="s">
        <v>76</v>
      </c>
      <c r="AU171" s="33"/>
      <c r="AV171" s="33"/>
      <c r="AW171" s="33"/>
      <c r="AX171" s="33"/>
      <c r="AY171" s="33"/>
      <c r="AZ171" s="6" t="s">
        <v>76</v>
      </c>
      <c r="BA171" s="33"/>
      <c r="BB171" s="33">
        <f>VLOOKUP(O171,Eco_DEM_Data!$D$1:$AC$643,20,False)</f>
        <v>2756</v>
      </c>
      <c r="BC171" s="33">
        <f>VLOOKUP($O171,Eco_DEM_Data!$D$1:$AC$643,20,False)</f>
        <v>2756</v>
      </c>
      <c r="BD171" s="33">
        <f>VLOOKUP($O171,Eco_DEM_Data!$D$1:$AC$643,25,False)</f>
        <v>1197</v>
      </c>
      <c r="BE171" s="33">
        <f>VLOOKUP($O171,Eco_DEM_Data!$D$1:$AC$643,22,False)</f>
        <v>40</v>
      </c>
      <c r="BF171" s="33">
        <f>VLOOKUP($O171,Eco_DEM_Data!$D$1:$AC$643,23,False)</f>
        <v>160</v>
      </c>
      <c r="BG171" s="33">
        <f>VLOOKUP($O171,Eco_DEM_Data!$D$1:$AC$643,21,False)</f>
        <v>6258</v>
      </c>
      <c r="BH171" s="33">
        <f>VLOOKUP($O171,Eco_DEM_Data!$D$1:$AC$643,26,False)</f>
        <v>1017</v>
      </c>
      <c r="BI171" s="33" t="str">
        <f>VLOOKUP($O171,Eco_DEM_Data!$D$1:$AC$643,9,False)</f>
        <v>Isthmian-Pacific moist forests</v>
      </c>
      <c r="BJ171" s="33" t="str">
        <f>VLOOKUP($O171,Eco_DEM_Data!$D$1:$AC$643,11,False)</f>
        <v>Tropical &amp; Subtropical Moist Broadleaf Forests</v>
      </c>
    </row>
    <row r="172">
      <c r="A172" s="33" t="s">
        <v>790</v>
      </c>
      <c r="B172" s="33" t="s">
        <v>2258</v>
      </c>
      <c r="C172" s="34">
        <v>8.0</v>
      </c>
      <c r="D172" s="33" t="s">
        <v>53</v>
      </c>
      <c r="E172" s="34">
        <v>2005.0</v>
      </c>
      <c r="F172" s="33" t="s">
        <v>791</v>
      </c>
      <c r="G172" s="33" t="s">
        <v>792</v>
      </c>
      <c r="H172" s="33" t="s">
        <v>793</v>
      </c>
      <c r="I172" s="33" t="s">
        <v>794</v>
      </c>
      <c r="J172" s="33" t="s">
        <v>795</v>
      </c>
      <c r="K172" s="34">
        <v>221.0</v>
      </c>
      <c r="L172" s="56">
        <v>43862.0</v>
      </c>
      <c r="M172" s="6" t="s">
        <v>796</v>
      </c>
      <c r="N172" s="35" t="s">
        <v>60</v>
      </c>
      <c r="O172" s="33" t="s">
        <v>1301</v>
      </c>
      <c r="P172" s="36" t="s">
        <v>62</v>
      </c>
      <c r="Q172" s="36" t="s">
        <v>112</v>
      </c>
      <c r="R172" s="36" t="s">
        <v>798</v>
      </c>
      <c r="S172" s="37">
        <v>8.933333</v>
      </c>
      <c r="T172" s="37">
        <v>-82.933333</v>
      </c>
      <c r="U172" s="36" t="s">
        <v>148</v>
      </c>
      <c r="V172" s="6" t="s">
        <v>80</v>
      </c>
      <c r="W172" s="33" t="s">
        <v>156</v>
      </c>
      <c r="X172" s="1" t="s">
        <v>1302</v>
      </c>
      <c r="Y172" s="33" t="s">
        <v>70</v>
      </c>
      <c r="Z172" s="36"/>
      <c r="AA172" s="37">
        <v>1.0</v>
      </c>
      <c r="AB172" s="36"/>
      <c r="AC172" s="36"/>
      <c r="AD172" s="36"/>
      <c r="AE172" s="36"/>
      <c r="AF172" s="36"/>
      <c r="AG172" s="36"/>
      <c r="AH172" s="36" t="s">
        <v>799</v>
      </c>
      <c r="AI172" s="37">
        <v>140.0</v>
      </c>
      <c r="AJ172" s="37">
        <v>1800.0</v>
      </c>
      <c r="AK172" s="6" t="s">
        <v>73</v>
      </c>
      <c r="AL172" s="6" t="s">
        <v>72</v>
      </c>
      <c r="AM172" s="33" t="s">
        <v>400</v>
      </c>
      <c r="AN172" s="6" t="s">
        <v>72</v>
      </c>
      <c r="AO172" s="33"/>
      <c r="AP172" s="6" t="s">
        <v>75</v>
      </c>
      <c r="AQ172" s="33"/>
      <c r="AR172" s="33"/>
      <c r="AS172" s="33"/>
      <c r="AT172" s="6" t="s">
        <v>76</v>
      </c>
      <c r="AU172" s="33"/>
      <c r="AV172" s="33"/>
      <c r="AW172" s="33"/>
      <c r="AX172" s="33"/>
      <c r="AY172" s="33"/>
      <c r="AZ172" s="6" t="s">
        <v>76</v>
      </c>
      <c r="BA172" s="33"/>
      <c r="BB172" s="33">
        <f>VLOOKUP(O172,Eco_DEM_Data!$D$1:$AC$643,20,False)</f>
        <v>2756</v>
      </c>
      <c r="BC172" s="33">
        <f>VLOOKUP($O172,Eco_DEM_Data!$D$1:$AC$643,20,False)</f>
        <v>2756</v>
      </c>
      <c r="BD172" s="33">
        <f>VLOOKUP($O172,Eco_DEM_Data!$D$1:$AC$643,25,False)</f>
        <v>1197</v>
      </c>
      <c r="BE172" s="33">
        <f>VLOOKUP($O172,Eco_DEM_Data!$D$1:$AC$643,22,False)</f>
        <v>40</v>
      </c>
      <c r="BF172" s="33">
        <f>VLOOKUP($O172,Eco_DEM_Data!$D$1:$AC$643,23,False)</f>
        <v>160</v>
      </c>
      <c r="BG172" s="33">
        <f>VLOOKUP($O172,Eco_DEM_Data!$D$1:$AC$643,21,False)</f>
        <v>6258</v>
      </c>
      <c r="BH172" s="33">
        <f>VLOOKUP($O172,Eco_DEM_Data!$D$1:$AC$643,26,False)</f>
        <v>1017</v>
      </c>
      <c r="BI172" s="33" t="str">
        <f>VLOOKUP($O172,Eco_DEM_Data!$D$1:$AC$643,9,False)</f>
        <v>Isthmian-Pacific moist forests</v>
      </c>
      <c r="BJ172" s="33" t="str">
        <f>VLOOKUP($O172,Eco_DEM_Data!$D$1:$AC$643,11,False)</f>
        <v>Tropical &amp; Subtropical Moist Broadleaf Forests</v>
      </c>
    </row>
    <row r="173">
      <c r="A173" s="33" t="s">
        <v>790</v>
      </c>
      <c r="B173" s="33" t="s">
        <v>2258</v>
      </c>
      <c r="C173" s="34">
        <v>8.0</v>
      </c>
      <c r="D173" s="33" t="s">
        <v>53</v>
      </c>
      <c r="E173" s="34">
        <v>2005.0</v>
      </c>
      <c r="F173" s="33" t="s">
        <v>791</v>
      </c>
      <c r="G173" s="33" t="s">
        <v>792</v>
      </c>
      <c r="H173" s="33" t="s">
        <v>793</v>
      </c>
      <c r="I173" s="33" t="s">
        <v>794</v>
      </c>
      <c r="J173" s="33" t="s">
        <v>795</v>
      </c>
      <c r="K173" s="34">
        <v>221.0</v>
      </c>
      <c r="L173" s="56">
        <v>43862.0</v>
      </c>
      <c r="M173" s="6" t="s">
        <v>796</v>
      </c>
      <c r="N173" s="35" t="s">
        <v>60</v>
      </c>
      <c r="O173" s="33" t="s">
        <v>819</v>
      </c>
      <c r="P173" s="36" t="s">
        <v>62</v>
      </c>
      <c r="Q173" s="36" t="s">
        <v>112</v>
      </c>
      <c r="R173" s="36" t="s">
        <v>798</v>
      </c>
      <c r="S173" s="37">
        <v>8.933333</v>
      </c>
      <c r="T173" s="37">
        <v>-82.933333</v>
      </c>
      <c r="U173" s="36" t="s">
        <v>148</v>
      </c>
      <c r="V173" s="38" t="s">
        <v>194</v>
      </c>
      <c r="W173" s="33" t="s">
        <v>72</v>
      </c>
      <c r="X173" s="1" t="s">
        <v>286</v>
      </c>
      <c r="Y173" s="6" t="s">
        <v>72</v>
      </c>
      <c r="Z173" s="36"/>
      <c r="AA173" s="37">
        <v>1.0</v>
      </c>
      <c r="AB173" s="36"/>
      <c r="AC173" s="36"/>
      <c r="AD173" s="36"/>
      <c r="AE173" s="36"/>
      <c r="AF173" s="36"/>
      <c r="AG173" s="36"/>
      <c r="AH173" s="36" t="s">
        <v>799</v>
      </c>
      <c r="AI173" s="37">
        <v>140.0</v>
      </c>
      <c r="AJ173" s="37">
        <v>1800.0</v>
      </c>
      <c r="AK173" s="6" t="s">
        <v>73</v>
      </c>
      <c r="AL173" s="6" t="s">
        <v>72</v>
      </c>
      <c r="AM173" s="33" t="s">
        <v>400</v>
      </c>
      <c r="AN173" s="6" t="s">
        <v>72</v>
      </c>
      <c r="AO173" s="33"/>
      <c r="AP173" s="6" t="s">
        <v>75</v>
      </c>
      <c r="AQ173" s="33"/>
      <c r="AR173" s="33"/>
      <c r="AS173" s="33"/>
      <c r="AT173" s="6" t="s">
        <v>76</v>
      </c>
      <c r="AU173" s="33"/>
      <c r="AV173" s="33"/>
      <c r="AW173" s="33"/>
      <c r="AX173" s="33"/>
      <c r="AY173" s="33"/>
      <c r="AZ173" s="6" t="s">
        <v>76</v>
      </c>
      <c r="BA173" s="33"/>
      <c r="BB173" s="33">
        <f>VLOOKUP(O173,Eco_DEM_Data!$D$1:$AC$643,20,False)</f>
        <v>2756</v>
      </c>
      <c r="BC173" s="33">
        <f>VLOOKUP($O173,Eco_DEM_Data!$D$1:$AC$643,20,False)</f>
        <v>2756</v>
      </c>
      <c r="BD173" s="33">
        <f>VLOOKUP($O173,Eco_DEM_Data!$D$1:$AC$643,25,False)</f>
        <v>1197</v>
      </c>
      <c r="BE173" s="33">
        <f>VLOOKUP($O173,Eco_DEM_Data!$D$1:$AC$643,22,False)</f>
        <v>40</v>
      </c>
      <c r="BF173" s="33">
        <f>VLOOKUP($O173,Eco_DEM_Data!$D$1:$AC$643,23,False)</f>
        <v>160</v>
      </c>
      <c r="BG173" s="33">
        <f>VLOOKUP($O173,Eco_DEM_Data!$D$1:$AC$643,21,False)</f>
        <v>6258</v>
      </c>
      <c r="BH173" s="33">
        <f>VLOOKUP($O173,Eco_DEM_Data!$D$1:$AC$643,26,False)</f>
        <v>1017</v>
      </c>
      <c r="BI173" s="33" t="str">
        <f>VLOOKUP($O173,Eco_DEM_Data!$D$1:$AC$643,9,False)</f>
        <v>Isthmian-Pacific moist forests</v>
      </c>
      <c r="BJ173" s="33" t="str">
        <f>VLOOKUP($O173,Eco_DEM_Data!$D$1:$AC$643,11,False)</f>
        <v>Tropical &amp; Subtropical Moist Broadleaf Forests</v>
      </c>
    </row>
    <row r="174">
      <c r="A174" s="33" t="s">
        <v>790</v>
      </c>
      <c r="B174" s="33" t="s">
        <v>2258</v>
      </c>
      <c r="C174" s="34">
        <v>8.0</v>
      </c>
      <c r="D174" s="33" t="s">
        <v>53</v>
      </c>
      <c r="E174" s="34">
        <v>2005.0</v>
      </c>
      <c r="F174" s="33" t="s">
        <v>791</v>
      </c>
      <c r="G174" s="33" t="s">
        <v>792</v>
      </c>
      <c r="H174" s="33" t="s">
        <v>793</v>
      </c>
      <c r="I174" s="33" t="s">
        <v>794</v>
      </c>
      <c r="J174" s="33" t="s">
        <v>795</v>
      </c>
      <c r="K174" s="34">
        <v>221.0</v>
      </c>
      <c r="L174" s="56">
        <v>43862.0</v>
      </c>
      <c r="M174" s="6" t="s">
        <v>796</v>
      </c>
      <c r="N174" s="35" t="s">
        <v>60</v>
      </c>
      <c r="O174" s="33" t="s">
        <v>1303</v>
      </c>
      <c r="P174" s="36" t="s">
        <v>62</v>
      </c>
      <c r="Q174" s="36" t="s">
        <v>112</v>
      </c>
      <c r="R174" s="36" t="s">
        <v>798</v>
      </c>
      <c r="S174" s="37">
        <v>8.933333</v>
      </c>
      <c r="T174" s="37">
        <v>-82.933333</v>
      </c>
      <c r="U174" s="36" t="s">
        <v>148</v>
      </c>
      <c r="V174" s="38" t="s">
        <v>66</v>
      </c>
      <c r="W174" s="41" t="s">
        <v>823</v>
      </c>
      <c r="X174" s="7" t="s">
        <v>1077</v>
      </c>
      <c r="Y174" s="41" t="s">
        <v>70</v>
      </c>
      <c r="Z174" s="43"/>
      <c r="AA174" s="42">
        <v>1.0</v>
      </c>
      <c r="AB174" s="43"/>
      <c r="AC174" s="43"/>
      <c r="AD174" s="43"/>
      <c r="AE174" s="43"/>
      <c r="AF174" s="43"/>
      <c r="AG174" s="43"/>
      <c r="AH174" s="43" t="s">
        <v>799</v>
      </c>
      <c r="AI174" s="42">
        <v>140.0</v>
      </c>
      <c r="AJ174" s="42">
        <v>1800.0</v>
      </c>
      <c r="AK174" s="5" t="s">
        <v>73</v>
      </c>
      <c r="AL174" s="5" t="s">
        <v>72</v>
      </c>
      <c r="AM174" s="33" t="s">
        <v>400</v>
      </c>
      <c r="AN174" s="5" t="s">
        <v>72</v>
      </c>
      <c r="AO174" s="41"/>
      <c r="AP174" s="5" t="s">
        <v>75</v>
      </c>
      <c r="AQ174" s="41"/>
      <c r="AR174" s="41"/>
      <c r="AS174" s="41"/>
      <c r="AT174" s="5" t="s">
        <v>60</v>
      </c>
      <c r="AU174" s="33"/>
      <c r="AV174" s="33"/>
      <c r="AW174" s="33"/>
      <c r="AX174" s="33"/>
      <c r="AY174" s="33"/>
      <c r="AZ174" s="6" t="s">
        <v>76</v>
      </c>
      <c r="BA174" s="33"/>
      <c r="BB174" s="33">
        <f>VLOOKUP(O174,Eco_DEM_Data!$D$1:$AC$643,20,False)</f>
        <v>2756</v>
      </c>
      <c r="BC174" s="33">
        <f>VLOOKUP($O174,Eco_DEM_Data!$D$1:$AC$643,20,False)</f>
        <v>2756</v>
      </c>
      <c r="BD174" s="33">
        <f>VLOOKUP($O174,Eco_DEM_Data!$D$1:$AC$643,25,False)</f>
        <v>1197</v>
      </c>
      <c r="BE174" s="33">
        <f>VLOOKUP($O174,Eco_DEM_Data!$D$1:$AC$643,22,False)</f>
        <v>40</v>
      </c>
      <c r="BF174" s="33">
        <f>VLOOKUP($O174,Eco_DEM_Data!$D$1:$AC$643,23,False)</f>
        <v>160</v>
      </c>
      <c r="BG174" s="33">
        <f>VLOOKUP($O174,Eco_DEM_Data!$D$1:$AC$643,21,False)</f>
        <v>6258</v>
      </c>
      <c r="BH174" s="33">
        <f>VLOOKUP($O174,Eco_DEM_Data!$D$1:$AC$643,26,False)</f>
        <v>1017</v>
      </c>
      <c r="BI174" s="33" t="str">
        <f>VLOOKUP($O174,Eco_DEM_Data!$D$1:$AC$643,9,False)</f>
        <v>Isthmian-Pacific moist forests</v>
      </c>
      <c r="BJ174" s="33" t="str">
        <f>VLOOKUP($O174,Eco_DEM_Data!$D$1:$AC$643,11,False)</f>
        <v>Tropical &amp; Subtropical Moist Broadleaf Forests</v>
      </c>
    </row>
    <row r="175">
      <c r="A175" s="33" t="s">
        <v>897</v>
      </c>
      <c r="B175" s="33" t="s">
        <v>2258</v>
      </c>
      <c r="C175" s="34">
        <v>1.0</v>
      </c>
      <c r="D175" s="33" t="s">
        <v>53</v>
      </c>
      <c r="E175" s="34">
        <v>2005.0</v>
      </c>
      <c r="F175" s="33" t="s">
        <v>898</v>
      </c>
      <c r="G175" s="33" t="s">
        <v>899</v>
      </c>
      <c r="H175" s="33" t="s">
        <v>732</v>
      </c>
      <c r="I175" s="33" t="s">
        <v>900</v>
      </c>
      <c r="J175" s="33" t="s">
        <v>901</v>
      </c>
      <c r="K175" s="34">
        <v>33.0</v>
      </c>
      <c r="L175" s="34">
        <v>3.0</v>
      </c>
      <c r="M175" s="6" t="s">
        <v>902</v>
      </c>
      <c r="N175" s="35" t="s">
        <v>76</v>
      </c>
      <c r="O175" s="33" t="s">
        <v>897</v>
      </c>
      <c r="P175" s="36" t="s">
        <v>62</v>
      </c>
      <c r="Q175" s="36" t="s">
        <v>112</v>
      </c>
      <c r="R175" s="36" t="s">
        <v>597</v>
      </c>
      <c r="S175" s="37">
        <v>8.813056</v>
      </c>
      <c r="T175" s="37">
        <v>-82.963056</v>
      </c>
      <c r="U175" s="36" t="s">
        <v>148</v>
      </c>
      <c r="V175" s="38" t="s">
        <v>149</v>
      </c>
      <c r="W175" s="6" t="s">
        <v>615</v>
      </c>
      <c r="X175" s="1" t="s">
        <v>903</v>
      </c>
      <c r="Y175" s="33" t="s">
        <v>70</v>
      </c>
      <c r="Z175" s="36"/>
      <c r="AA175" s="37">
        <v>3.0</v>
      </c>
      <c r="AB175" s="36"/>
      <c r="AC175" s="36"/>
      <c r="AD175" s="36"/>
      <c r="AE175" s="36"/>
      <c r="AF175" s="36"/>
      <c r="AG175" s="36"/>
      <c r="AH175" s="36" t="s">
        <v>904</v>
      </c>
      <c r="AI175" s="37">
        <v>-1290.0</v>
      </c>
      <c r="AJ175" s="37">
        <v>1950.0</v>
      </c>
      <c r="AK175" s="6" t="s">
        <v>73</v>
      </c>
      <c r="AL175" s="6" t="s">
        <v>72</v>
      </c>
      <c r="AM175" s="33" t="s">
        <v>400</v>
      </c>
      <c r="AN175" s="6" t="s">
        <v>72</v>
      </c>
      <c r="AO175" s="33"/>
      <c r="AP175" s="6" t="s">
        <v>75</v>
      </c>
      <c r="AQ175" s="33"/>
      <c r="AR175" s="33"/>
      <c r="AS175" s="33"/>
      <c r="AT175" s="6" t="s">
        <v>76</v>
      </c>
      <c r="AU175" s="33"/>
      <c r="AV175" s="33"/>
      <c r="AW175" s="33"/>
      <c r="AX175" s="33"/>
      <c r="AY175" s="33"/>
      <c r="AZ175" s="6" t="s">
        <v>76</v>
      </c>
      <c r="BA175" s="33"/>
      <c r="BB175" s="33">
        <f>VLOOKUP(O175,Eco_DEM_Data!$D$1:$AC$643,20,False)</f>
        <v>2841</v>
      </c>
      <c r="BC175" s="33">
        <f>VLOOKUP($O175,Eco_DEM_Data!$D$1:$AC$643,20,False)</f>
        <v>2841</v>
      </c>
      <c r="BD175" s="33">
        <f>VLOOKUP($O175,Eco_DEM_Data!$D$1:$AC$643,25,False)</f>
        <v>1165</v>
      </c>
      <c r="BE175" s="33">
        <f>VLOOKUP($O175,Eco_DEM_Data!$D$1:$AC$643,22,False)</f>
        <v>40</v>
      </c>
      <c r="BF175" s="33">
        <f>VLOOKUP($O175,Eco_DEM_Data!$D$1:$AC$643,23,False)</f>
        <v>166</v>
      </c>
      <c r="BG175" s="33">
        <f>VLOOKUP($O175,Eco_DEM_Data!$D$1:$AC$643,21,False)</f>
        <v>6482</v>
      </c>
      <c r="BH175" s="33">
        <f>VLOOKUP($O175,Eco_DEM_Data!$D$1:$AC$643,26,False)</f>
        <v>1094</v>
      </c>
      <c r="BI175" s="33" t="str">
        <f>VLOOKUP($O175,Eco_DEM_Data!$D$1:$AC$643,9,False)</f>
        <v>Talamancan montane forests</v>
      </c>
      <c r="BJ175" s="33" t="str">
        <f>VLOOKUP($O175,Eco_DEM_Data!$D$1:$AC$643,11,False)</f>
        <v>Tropical &amp; Subtropical Moist Broadleaf Forests</v>
      </c>
    </row>
    <row r="176">
      <c r="A176" s="33" t="s">
        <v>824</v>
      </c>
      <c r="B176" s="33" t="s">
        <v>2258</v>
      </c>
      <c r="C176" s="34">
        <v>9.0</v>
      </c>
      <c r="D176" s="33" t="s">
        <v>53</v>
      </c>
      <c r="E176" s="34">
        <v>2005.0</v>
      </c>
      <c r="F176" s="33" t="s">
        <v>825</v>
      </c>
      <c r="G176" s="33" t="s">
        <v>826</v>
      </c>
      <c r="H176" s="33" t="s">
        <v>827</v>
      </c>
      <c r="I176" s="33" t="s">
        <v>828</v>
      </c>
      <c r="J176" s="33" t="s">
        <v>829</v>
      </c>
      <c r="K176" s="34">
        <v>20.0</v>
      </c>
      <c r="L176" s="34">
        <v>4.0</v>
      </c>
      <c r="M176" s="6" t="s">
        <v>830</v>
      </c>
      <c r="N176" s="35" t="s">
        <v>60</v>
      </c>
      <c r="O176" s="33" t="s">
        <v>831</v>
      </c>
      <c r="P176" s="36" t="s">
        <v>62</v>
      </c>
      <c r="Q176" s="36" t="s">
        <v>167</v>
      </c>
      <c r="R176" s="36" t="s">
        <v>512</v>
      </c>
      <c r="S176" s="37">
        <v>17.0</v>
      </c>
      <c r="T176" s="37">
        <v>-89.779</v>
      </c>
      <c r="U176" s="36" t="s">
        <v>148</v>
      </c>
      <c r="V176" s="6" t="s">
        <v>189</v>
      </c>
      <c r="W176" s="33" t="s">
        <v>72</v>
      </c>
      <c r="X176" s="1" t="s">
        <v>832</v>
      </c>
      <c r="Y176" s="33" t="s">
        <v>70</v>
      </c>
      <c r="Z176" s="37">
        <v>1.0</v>
      </c>
      <c r="AA176" s="37">
        <v>12.0</v>
      </c>
      <c r="AB176" s="36"/>
      <c r="AC176" s="36"/>
      <c r="AD176" s="36"/>
      <c r="AE176" s="36"/>
      <c r="AF176" s="36"/>
      <c r="AG176" s="36"/>
      <c r="AH176" s="36" t="s">
        <v>833</v>
      </c>
      <c r="AI176" s="37">
        <v>-9050.0</v>
      </c>
      <c r="AJ176" s="37">
        <v>1600.0</v>
      </c>
      <c r="AK176" s="6" t="s">
        <v>100</v>
      </c>
      <c r="AL176" s="6" t="s">
        <v>72</v>
      </c>
      <c r="AM176" s="33" t="s">
        <v>400</v>
      </c>
      <c r="AN176" s="6" t="s">
        <v>72</v>
      </c>
      <c r="AO176" s="33"/>
      <c r="AP176" s="6" t="s">
        <v>102</v>
      </c>
      <c r="AQ176" s="33"/>
      <c r="AR176" s="33"/>
      <c r="AS176" s="33"/>
      <c r="AT176" s="6" t="s">
        <v>76</v>
      </c>
      <c r="AU176" s="33"/>
      <c r="AV176" s="33"/>
      <c r="AW176" s="33"/>
      <c r="AX176" s="33"/>
      <c r="AY176" s="33"/>
      <c r="AZ176" s="6" t="s">
        <v>76</v>
      </c>
      <c r="BA176" s="33"/>
      <c r="BB176" s="33">
        <f>VLOOKUP(O176,Eco_DEM_Data!$D$1:$AC$643,20,False)</f>
        <v>1675</v>
      </c>
      <c r="BC176" s="33">
        <f>VLOOKUP($O176,Eco_DEM_Data!$D$1:$AC$643,20,False)</f>
        <v>1675</v>
      </c>
      <c r="BD176" s="33">
        <f>VLOOKUP($O176,Eco_DEM_Data!$D$1:$AC$643,25,False)</f>
        <v>675</v>
      </c>
      <c r="BE176" s="33">
        <f>VLOOKUP($O176,Eco_DEM_Data!$D$1:$AC$643,22,False)</f>
        <v>36</v>
      </c>
      <c r="BF176" s="33">
        <f>VLOOKUP($O176,Eco_DEM_Data!$D$1:$AC$643,23,False)</f>
        <v>133</v>
      </c>
      <c r="BG176" s="33">
        <f>VLOOKUP($O176,Eco_DEM_Data!$D$1:$AC$643,21,False)</f>
        <v>5856</v>
      </c>
      <c r="BH176" s="33">
        <f>VLOOKUP($O176,Eco_DEM_Data!$D$1:$AC$643,26,False)</f>
        <v>110</v>
      </c>
      <c r="BI176" s="33" t="str">
        <f>VLOOKUP($O176,Eco_DEM_Data!$D$1:$AC$643,9,False)</f>
        <v>Petén-Veracruz moist forests</v>
      </c>
      <c r="BJ176" s="33" t="str">
        <f>VLOOKUP($O176,Eco_DEM_Data!$D$1:$AC$643,11,False)</f>
        <v>Tropical &amp; Subtropical Moist Broadleaf Forests</v>
      </c>
    </row>
    <row r="177">
      <c r="A177" s="33" t="s">
        <v>824</v>
      </c>
      <c r="B177" s="33" t="s">
        <v>2258</v>
      </c>
      <c r="C177" s="34">
        <v>9.0</v>
      </c>
      <c r="D177" s="33" t="s">
        <v>53</v>
      </c>
      <c r="E177" s="34">
        <v>2005.0</v>
      </c>
      <c r="F177" s="33" t="s">
        <v>825</v>
      </c>
      <c r="G177" s="33" t="s">
        <v>826</v>
      </c>
      <c r="H177" s="33" t="s">
        <v>827</v>
      </c>
      <c r="I177" s="33" t="s">
        <v>828</v>
      </c>
      <c r="J177" s="33" t="s">
        <v>829</v>
      </c>
      <c r="K177" s="34">
        <v>20.0</v>
      </c>
      <c r="L177" s="34">
        <v>4.0</v>
      </c>
      <c r="M177" s="6" t="s">
        <v>830</v>
      </c>
      <c r="N177" s="35" t="s">
        <v>60</v>
      </c>
      <c r="O177" s="33" t="s">
        <v>834</v>
      </c>
      <c r="P177" s="36" t="s">
        <v>62</v>
      </c>
      <c r="Q177" s="36" t="s">
        <v>167</v>
      </c>
      <c r="R177" s="36" t="s">
        <v>512</v>
      </c>
      <c r="S177" s="37">
        <v>16.988</v>
      </c>
      <c r="T177" s="37">
        <v>-89.779</v>
      </c>
      <c r="U177" s="36" t="s">
        <v>148</v>
      </c>
      <c r="V177" s="6" t="s">
        <v>189</v>
      </c>
      <c r="W177" s="33" t="s">
        <v>72</v>
      </c>
      <c r="X177" s="1" t="s">
        <v>832</v>
      </c>
      <c r="Y177" s="33" t="s">
        <v>70</v>
      </c>
      <c r="Z177" s="37">
        <v>1.0</v>
      </c>
      <c r="AA177" s="37">
        <v>2.0</v>
      </c>
      <c r="AB177" s="36"/>
      <c r="AC177" s="36"/>
      <c r="AD177" s="36"/>
      <c r="AE177" s="36"/>
      <c r="AF177" s="36"/>
      <c r="AG177" s="36"/>
      <c r="AH177" s="36" t="s">
        <v>835</v>
      </c>
      <c r="AI177" s="37">
        <v>-24050.0</v>
      </c>
      <c r="AJ177" s="36" t="s">
        <v>470</v>
      </c>
      <c r="AK177" s="6" t="s">
        <v>100</v>
      </c>
      <c r="AL177" s="6" t="s">
        <v>72</v>
      </c>
      <c r="AM177" s="33" t="s">
        <v>400</v>
      </c>
      <c r="AN177" s="6" t="s">
        <v>72</v>
      </c>
      <c r="AO177" s="33"/>
      <c r="AP177" s="6" t="s">
        <v>102</v>
      </c>
      <c r="AQ177" s="33"/>
      <c r="AR177" s="33"/>
      <c r="AS177" s="33"/>
      <c r="AT177" s="6" t="s">
        <v>76</v>
      </c>
      <c r="AU177" s="33"/>
      <c r="AV177" s="33"/>
      <c r="AW177" s="33"/>
      <c r="AX177" s="33"/>
      <c r="AY177" s="33"/>
      <c r="AZ177" s="6" t="s">
        <v>76</v>
      </c>
      <c r="BA177" s="33"/>
      <c r="BB177" s="33">
        <f>VLOOKUP(O177,Eco_DEM_Data!$D$1:$AC$643,20,False)</f>
        <v>1679</v>
      </c>
      <c r="BC177" s="33">
        <f>VLOOKUP($O177,Eco_DEM_Data!$D$1:$AC$643,20,False)</f>
        <v>1679</v>
      </c>
      <c r="BD177" s="33">
        <f>VLOOKUP($O177,Eco_DEM_Data!$D$1:$AC$643,25,False)</f>
        <v>677</v>
      </c>
      <c r="BE177" s="33">
        <f>VLOOKUP($O177,Eco_DEM_Data!$D$1:$AC$643,22,False)</f>
        <v>36</v>
      </c>
      <c r="BF177" s="33">
        <f>VLOOKUP($O177,Eco_DEM_Data!$D$1:$AC$643,23,False)</f>
        <v>133</v>
      </c>
      <c r="BG177" s="33">
        <f>VLOOKUP($O177,Eco_DEM_Data!$D$1:$AC$643,21,False)</f>
        <v>5867</v>
      </c>
      <c r="BH177" s="33">
        <f>VLOOKUP($O177,Eco_DEM_Data!$D$1:$AC$643,26,False)</f>
        <v>110</v>
      </c>
      <c r="BI177" s="33" t="str">
        <f>VLOOKUP($O177,Eco_DEM_Data!$D$1:$AC$643,9,False)</f>
        <v>Petén-Veracruz moist forests</v>
      </c>
      <c r="BJ177" s="33" t="str">
        <f>VLOOKUP($O177,Eco_DEM_Data!$D$1:$AC$643,11,False)</f>
        <v>Tropical &amp; Subtropical Moist Broadleaf Forests</v>
      </c>
    </row>
    <row r="178">
      <c r="A178" s="33" t="s">
        <v>824</v>
      </c>
      <c r="B178" s="33" t="s">
        <v>2258</v>
      </c>
      <c r="C178" s="34">
        <v>9.0</v>
      </c>
      <c r="D178" s="33" t="s">
        <v>53</v>
      </c>
      <c r="E178" s="34">
        <v>2005.0</v>
      </c>
      <c r="F178" s="33" t="s">
        <v>825</v>
      </c>
      <c r="G178" s="33" t="s">
        <v>826</v>
      </c>
      <c r="H178" s="33" t="s">
        <v>827</v>
      </c>
      <c r="I178" s="33" t="s">
        <v>828</v>
      </c>
      <c r="J178" s="33" t="s">
        <v>829</v>
      </c>
      <c r="K178" s="34">
        <v>20.0</v>
      </c>
      <c r="L178" s="34">
        <v>4.0</v>
      </c>
      <c r="M178" s="6" t="s">
        <v>830</v>
      </c>
      <c r="N178" s="35" t="s">
        <v>60</v>
      </c>
      <c r="O178" s="33" t="s">
        <v>1076</v>
      </c>
      <c r="P178" s="36" t="s">
        <v>62</v>
      </c>
      <c r="Q178" s="36" t="s">
        <v>167</v>
      </c>
      <c r="R178" s="36" t="s">
        <v>512</v>
      </c>
      <c r="S178" s="37">
        <v>16.998</v>
      </c>
      <c r="T178" s="37">
        <v>-89.779</v>
      </c>
      <c r="U178" s="36" t="s">
        <v>148</v>
      </c>
      <c r="V178" s="38" t="s">
        <v>66</v>
      </c>
      <c r="W178" s="6" t="s">
        <v>1073</v>
      </c>
      <c r="X178" s="1" t="s">
        <v>1077</v>
      </c>
      <c r="Y178" s="33" t="s">
        <v>70</v>
      </c>
      <c r="Z178" s="37">
        <v>1.0</v>
      </c>
      <c r="AA178" s="37">
        <v>2.0</v>
      </c>
      <c r="AB178" s="36"/>
      <c r="AC178" s="36"/>
      <c r="AD178" s="36"/>
      <c r="AE178" s="36"/>
      <c r="AF178" s="36"/>
      <c r="AG178" s="36"/>
      <c r="AH178" s="36" t="s">
        <v>1078</v>
      </c>
      <c r="AI178" s="37">
        <v>-9300.0</v>
      </c>
      <c r="AJ178" s="37">
        <v>-3300.0</v>
      </c>
      <c r="AK178" s="6" t="s">
        <v>100</v>
      </c>
      <c r="AL178" s="6" t="s">
        <v>72</v>
      </c>
      <c r="AM178" s="33" t="s">
        <v>400</v>
      </c>
      <c r="AN178" s="6" t="s">
        <v>72</v>
      </c>
      <c r="AO178" s="33"/>
      <c r="AP178" s="6" t="s">
        <v>102</v>
      </c>
      <c r="AQ178" s="33"/>
      <c r="AR178" s="33"/>
      <c r="AS178" s="33"/>
      <c r="AT178" s="6" t="s">
        <v>76</v>
      </c>
      <c r="AU178" s="33"/>
      <c r="AV178" s="33"/>
      <c r="AW178" s="33"/>
      <c r="AX178" s="33"/>
      <c r="AY178" s="33"/>
      <c r="AZ178" s="6" t="s">
        <v>76</v>
      </c>
      <c r="BA178" s="33"/>
      <c r="BB178" s="33">
        <f>VLOOKUP(O178,Eco_DEM_Data!$D$1:$AC$643,20,False)</f>
        <v>1675</v>
      </c>
      <c r="BC178" s="33">
        <f>VLOOKUP($O178,Eco_DEM_Data!$D$1:$AC$643,20,False)</f>
        <v>1675</v>
      </c>
      <c r="BD178" s="33">
        <f>VLOOKUP($O178,Eco_DEM_Data!$D$1:$AC$643,25,False)</f>
        <v>675</v>
      </c>
      <c r="BE178" s="33">
        <f>VLOOKUP($O178,Eco_DEM_Data!$D$1:$AC$643,22,False)</f>
        <v>36</v>
      </c>
      <c r="BF178" s="33">
        <f>VLOOKUP($O178,Eco_DEM_Data!$D$1:$AC$643,23,False)</f>
        <v>133</v>
      </c>
      <c r="BG178" s="33">
        <f>VLOOKUP($O178,Eco_DEM_Data!$D$1:$AC$643,21,False)</f>
        <v>5856</v>
      </c>
      <c r="BH178" s="33">
        <f>VLOOKUP($O178,Eco_DEM_Data!$D$1:$AC$643,26,False)</f>
        <v>110</v>
      </c>
      <c r="BI178" s="33" t="str">
        <f>VLOOKUP($O178,Eco_DEM_Data!$D$1:$AC$643,9,False)</f>
        <v>Petén-Veracruz moist forests</v>
      </c>
      <c r="BJ178" s="33" t="str">
        <f>VLOOKUP($O178,Eco_DEM_Data!$D$1:$AC$643,11,False)</f>
        <v>Tropical &amp; Subtropical Moist Broadleaf Forests</v>
      </c>
    </row>
    <row r="179">
      <c r="A179" s="33" t="s">
        <v>824</v>
      </c>
      <c r="B179" s="33" t="s">
        <v>2258</v>
      </c>
      <c r="C179" s="34">
        <v>9.0</v>
      </c>
      <c r="D179" s="33" t="s">
        <v>53</v>
      </c>
      <c r="E179" s="34">
        <v>2005.0</v>
      </c>
      <c r="F179" s="33" t="s">
        <v>825</v>
      </c>
      <c r="G179" s="33" t="s">
        <v>826</v>
      </c>
      <c r="H179" s="33" t="s">
        <v>827</v>
      </c>
      <c r="I179" s="33" t="s">
        <v>828</v>
      </c>
      <c r="J179" s="33" t="s">
        <v>829</v>
      </c>
      <c r="K179" s="34">
        <v>20.0</v>
      </c>
      <c r="L179" s="34">
        <v>4.0</v>
      </c>
      <c r="M179" s="6" t="s">
        <v>830</v>
      </c>
      <c r="N179" s="35" t="s">
        <v>60</v>
      </c>
      <c r="O179" s="33" t="s">
        <v>837</v>
      </c>
      <c r="P179" s="36" t="s">
        <v>62</v>
      </c>
      <c r="Q179" s="36" t="s">
        <v>167</v>
      </c>
      <c r="R179" s="36" t="s">
        <v>512</v>
      </c>
      <c r="S179" s="37">
        <v>16.988</v>
      </c>
      <c r="T179" s="37">
        <v>-89.779</v>
      </c>
      <c r="U179" s="36" t="s">
        <v>148</v>
      </c>
      <c r="V179" s="38" t="s">
        <v>382</v>
      </c>
      <c r="W179" s="33" t="s">
        <v>72</v>
      </c>
      <c r="X179" s="1" t="s">
        <v>838</v>
      </c>
      <c r="Y179" s="33" t="s">
        <v>839</v>
      </c>
      <c r="Z179" s="37">
        <v>1.0</v>
      </c>
      <c r="AA179" s="37">
        <v>2.0</v>
      </c>
      <c r="AB179" s="36"/>
      <c r="AC179" s="36"/>
      <c r="AD179" s="36"/>
      <c r="AE179" s="36"/>
      <c r="AF179" s="36"/>
      <c r="AG179" s="36"/>
      <c r="AH179" s="36" t="s">
        <v>835</v>
      </c>
      <c r="AI179" s="37">
        <v>-24050.0</v>
      </c>
      <c r="AJ179" s="36" t="s">
        <v>470</v>
      </c>
      <c r="AK179" s="6" t="s">
        <v>100</v>
      </c>
      <c r="AL179" s="6" t="s">
        <v>72</v>
      </c>
      <c r="AM179" s="33" t="s">
        <v>400</v>
      </c>
      <c r="AN179" s="6" t="s">
        <v>72</v>
      </c>
      <c r="AO179" s="33"/>
      <c r="AP179" s="6" t="s">
        <v>102</v>
      </c>
      <c r="AQ179" s="33"/>
      <c r="AR179" s="33"/>
      <c r="AS179" s="33"/>
      <c r="AT179" s="6" t="s">
        <v>76</v>
      </c>
      <c r="AU179" s="33"/>
      <c r="AV179" s="33"/>
      <c r="AW179" s="33"/>
      <c r="AX179" s="33"/>
      <c r="AY179" s="33"/>
      <c r="AZ179" s="6" t="s">
        <v>76</v>
      </c>
      <c r="BA179" s="33"/>
      <c r="BB179" s="33">
        <f>VLOOKUP(O179,Eco_DEM_Data!$D$1:$AC$643,20,False)</f>
        <v>1679</v>
      </c>
      <c r="BC179" s="33">
        <f>VLOOKUP($O179,Eco_DEM_Data!$D$1:$AC$643,20,False)</f>
        <v>1679</v>
      </c>
      <c r="BD179" s="33">
        <f>VLOOKUP($O179,Eco_DEM_Data!$D$1:$AC$643,25,False)</f>
        <v>677</v>
      </c>
      <c r="BE179" s="33">
        <f>VLOOKUP($O179,Eco_DEM_Data!$D$1:$AC$643,22,False)</f>
        <v>36</v>
      </c>
      <c r="BF179" s="33">
        <f>VLOOKUP($O179,Eco_DEM_Data!$D$1:$AC$643,23,False)</f>
        <v>133</v>
      </c>
      <c r="BG179" s="33">
        <f>VLOOKUP($O179,Eco_DEM_Data!$D$1:$AC$643,21,False)</f>
        <v>5867</v>
      </c>
      <c r="BH179" s="33">
        <f>VLOOKUP($O179,Eco_DEM_Data!$D$1:$AC$643,26,False)</f>
        <v>110</v>
      </c>
      <c r="BI179" s="33" t="str">
        <f>VLOOKUP($O179,Eco_DEM_Data!$D$1:$AC$643,9,False)</f>
        <v>Petén-Veracruz moist forests</v>
      </c>
      <c r="BJ179" s="33" t="str">
        <f>VLOOKUP($O179,Eco_DEM_Data!$D$1:$AC$643,11,False)</f>
        <v>Tropical &amp; Subtropical Moist Broadleaf Forests</v>
      </c>
    </row>
    <row r="180">
      <c r="A180" s="33" t="s">
        <v>824</v>
      </c>
      <c r="B180" s="33" t="s">
        <v>2258</v>
      </c>
      <c r="C180" s="34">
        <v>9.0</v>
      </c>
      <c r="D180" s="33" t="s">
        <v>53</v>
      </c>
      <c r="E180" s="34">
        <v>2005.0</v>
      </c>
      <c r="F180" s="33" t="s">
        <v>825</v>
      </c>
      <c r="G180" s="33" t="s">
        <v>826</v>
      </c>
      <c r="H180" s="33" t="s">
        <v>827</v>
      </c>
      <c r="I180" s="33" t="s">
        <v>828</v>
      </c>
      <c r="J180" s="33" t="s">
        <v>829</v>
      </c>
      <c r="K180" s="34">
        <v>20.0</v>
      </c>
      <c r="L180" s="34">
        <v>4.0</v>
      </c>
      <c r="M180" s="6" t="s">
        <v>830</v>
      </c>
      <c r="N180" s="35" t="s">
        <v>60</v>
      </c>
      <c r="O180" s="33" t="s">
        <v>840</v>
      </c>
      <c r="P180" s="36" t="s">
        <v>62</v>
      </c>
      <c r="Q180" s="36" t="s">
        <v>167</v>
      </c>
      <c r="R180" s="36" t="s">
        <v>512</v>
      </c>
      <c r="S180" s="37">
        <v>17.0</v>
      </c>
      <c r="T180" s="37">
        <v>-89.779</v>
      </c>
      <c r="U180" s="36" t="s">
        <v>148</v>
      </c>
      <c r="V180" s="38" t="s">
        <v>382</v>
      </c>
      <c r="W180" s="33" t="s">
        <v>72</v>
      </c>
      <c r="X180" s="1" t="s">
        <v>838</v>
      </c>
      <c r="Y180" s="33" t="s">
        <v>839</v>
      </c>
      <c r="Z180" s="37">
        <v>1.0</v>
      </c>
      <c r="AA180" s="37">
        <v>12.0</v>
      </c>
      <c r="AB180" s="36"/>
      <c r="AC180" s="36"/>
      <c r="AD180" s="36"/>
      <c r="AE180" s="36"/>
      <c r="AF180" s="36"/>
      <c r="AG180" s="36"/>
      <c r="AH180" s="36" t="s">
        <v>833</v>
      </c>
      <c r="AI180" s="37">
        <v>-9050.0</v>
      </c>
      <c r="AJ180" s="37">
        <v>1600.0</v>
      </c>
      <c r="AK180" s="6" t="s">
        <v>100</v>
      </c>
      <c r="AL180" s="6" t="s">
        <v>72</v>
      </c>
      <c r="AM180" s="33" t="s">
        <v>400</v>
      </c>
      <c r="AN180" s="6" t="s">
        <v>72</v>
      </c>
      <c r="AO180" s="33"/>
      <c r="AP180" s="6" t="s">
        <v>102</v>
      </c>
      <c r="AQ180" s="33"/>
      <c r="AR180" s="33"/>
      <c r="AS180" s="33"/>
      <c r="AT180" s="6" t="s">
        <v>76</v>
      </c>
      <c r="AU180" s="33"/>
      <c r="AV180" s="33"/>
      <c r="AW180" s="33"/>
      <c r="AX180" s="33"/>
      <c r="AY180" s="33"/>
      <c r="AZ180" s="6" t="s">
        <v>76</v>
      </c>
      <c r="BA180" s="33"/>
      <c r="BB180" s="33">
        <f>VLOOKUP(O180,Eco_DEM_Data!$D$1:$AC$643,20,False)</f>
        <v>1675</v>
      </c>
      <c r="BC180" s="33">
        <f>VLOOKUP($O180,Eco_DEM_Data!$D$1:$AC$643,20,False)</f>
        <v>1675</v>
      </c>
      <c r="BD180" s="33">
        <f>VLOOKUP($O180,Eco_DEM_Data!$D$1:$AC$643,25,False)</f>
        <v>675</v>
      </c>
      <c r="BE180" s="33">
        <f>VLOOKUP($O180,Eco_DEM_Data!$D$1:$AC$643,22,False)</f>
        <v>36</v>
      </c>
      <c r="BF180" s="33">
        <f>VLOOKUP($O180,Eco_DEM_Data!$D$1:$AC$643,23,False)</f>
        <v>133</v>
      </c>
      <c r="BG180" s="33">
        <f>VLOOKUP($O180,Eco_DEM_Data!$D$1:$AC$643,21,False)</f>
        <v>5856</v>
      </c>
      <c r="BH180" s="33">
        <f>VLOOKUP($O180,Eco_DEM_Data!$D$1:$AC$643,26,False)</f>
        <v>110</v>
      </c>
      <c r="BI180" s="33" t="str">
        <f>VLOOKUP($O180,Eco_DEM_Data!$D$1:$AC$643,9,False)</f>
        <v>Petén-Veracruz moist forests</v>
      </c>
      <c r="BJ180" s="33" t="str">
        <f>VLOOKUP($O180,Eco_DEM_Data!$D$1:$AC$643,11,False)</f>
        <v>Tropical &amp; Subtropical Moist Broadleaf Forests</v>
      </c>
    </row>
    <row r="181">
      <c r="A181" s="33" t="s">
        <v>824</v>
      </c>
      <c r="B181" s="33" t="s">
        <v>2258</v>
      </c>
      <c r="C181" s="34">
        <v>9.0</v>
      </c>
      <c r="D181" s="33" t="s">
        <v>53</v>
      </c>
      <c r="E181" s="34">
        <v>2005.0</v>
      </c>
      <c r="F181" s="33" t="s">
        <v>825</v>
      </c>
      <c r="G181" s="33" t="s">
        <v>826</v>
      </c>
      <c r="H181" s="33" t="s">
        <v>827</v>
      </c>
      <c r="I181" s="33" t="s">
        <v>828</v>
      </c>
      <c r="J181" s="33" t="s">
        <v>829</v>
      </c>
      <c r="K181" s="34">
        <v>20.0</v>
      </c>
      <c r="L181" s="34">
        <v>4.0</v>
      </c>
      <c r="M181" s="6" t="s">
        <v>830</v>
      </c>
      <c r="N181" s="35" t="s">
        <v>60</v>
      </c>
      <c r="O181" s="33" t="s">
        <v>1079</v>
      </c>
      <c r="P181" s="36" t="s">
        <v>62</v>
      </c>
      <c r="Q181" s="36" t="s">
        <v>167</v>
      </c>
      <c r="R181" s="36" t="s">
        <v>512</v>
      </c>
      <c r="S181" s="37">
        <v>17.0</v>
      </c>
      <c r="T181" s="37">
        <v>-89.779</v>
      </c>
      <c r="U181" s="36" t="s">
        <v>148</v>
      </c>
      <c r="V181" s="6" t="s">
        <v>95</v>
      </c>
      <c r="W181" s="6" t="s">
        <v>615</v>
      </c>
      <c r="X181" s="1" t="s">
        <v>264</v>
      </c>
      <c r="Y181" s="33" t="s">
        <v>256</v>
      </c>
      <c r="Z181" s="37">
        <v>1.0</v>
      </c>
      <c r="AA181" s="37">
        <v>12.0</v>
      </c>
      <c r="AB181" s="36"/>
      <c r="AC181" s="36"/>
      <c r="AD181" s="36"/>
      <c r="AE181" s="36"/>
      <c r="AF181" s="36"/>
      <c r="AG181" s="36"/>
      <c r="AH181" s="36" t="s">
        <v>833</v>
      </c>
      <c r="AI181" s="37">
        <v>-9050.0</v>
      </c>
      <c r="AJ181" s="37">
        <v>1600.0</v>
      </c>
      <c r="AK181" s="6" t="s">
        <v>100</v>
      </c>
      <c r="AL181" s="6" t="s">
        <v>72</v>
      </c>
      <c r="AM181" s="33" t="s">
        <v>400</v>
      </c>
      <c r="AN181" s="6" t="s">
        <v>72</v>
      </c>
      <c r="AO181" s="33"/>
      <c r="AP181" s="6" t="s">
        <v>102</v>
      </c>
      <c r="AQ181" s="33"/>
      <c r="AR181" s="33"/>
      <c r="AS181" s="33"/>
      <c r="AT181" s="6" t="s">
        <v>76</v>
      </c>
      <c r="AU181" s="33"/>
      <c r="AV181" s="33"/>
      <c r="AW181" s="33"/>
      <c r="AX181" s="33"/>
      <c r="AY181" s="33"/>
      <c r="AZ181" s="6" t="s">
        <v>76</v>
      </c>
      <c r="BA181" s="33"/>
      <c r="BB181" s="33">
        <f>VLOOKUP(O181,Eco_DEM_Data!$D$1:$AC$643,20,False)</f>
        <v>1675</v>
      </c>
      <c r="BC181" s="33">
        <f>VLOOKUP($O181,Eco_DEM_Data!$D$1:$AC$643,20,False)</f>
        <v>1675</v>
      </c>
      <c r="BD181" s="33">
        <f>VLOOKUP($O181,Eco_DEM_Data!$D$1:$AC$643,25,False)</f>
        <v>675</v>
      </c>
      <c r="BE181" s="33">
        <f>VLOOKUP($O181,Eco_DEM_Data!$D$1:$AC$643,22,False)</f>
        <v>36</v>
      </c>
      <c r="BF181" s="33">
        <f>VLOOKUP($O181,Eco_DEM_Data!$D$1:$AC$643,23,False)</f>
        <v>133</v>
      </c>
      <c r="BG181" s="33">
        <f>VLOOKUP($O181,Eco_DEM_Data!$D$1:$AC$643,21,False)</f>
        <v>5856</v>
      </c>
      <c r="BH181" s="33">
        <f>VLOOKUP($O181,Eco_DEM_Data!$D$1:$AC$643,26,False)</f>
        <v>110</v>
      </c>
      <c r="BI181" s="33" t="str">
        <f>VLOOKUP($O181,Eco_DEM_Data!$D$1:$AC$643,9,False)</f>
        <v>Petén-Veracruz moist forests</v>
      </c>
      <c r="BJ181" s="33" t="str">
        <f>VLOOKUP($O181,Eco_DEM_Data!$D$1:$AC$643,11,False)</f>
        <v>Tropical &amp; Subtropical Moist Broadleaf Forests</v>
      </c>
    </row>
    <row r="182">
      <c r="A182" s="33" t="s">
        <v>824</v>
      </c>
      <c r="B182" s="33" t="s">
        <v>2258</v>
      </c>
      <c r="C182" s="34">
        <v>9.0</v>
      </c>
      <c r="D182" s="33" t="s">
        <v>53</v>
      </c>
      <c r="E182" s="34">
        <v>2005.0</v>
      </c>
      <c r="F182" s="33" t="s">
        <v>825</v>
      </c>
      <c r="G182" s="33" t="s">
        <v>826</v>
      </c>
      <c r="H182" s="33" t="s">
        <v>827</v>
      </c>
      <c r="I182" s="33" t="s">
        <v>828</v>
      </c>
      <c r="J182" s="33" t="s">
        <v>829</v>
      </c>
      <c r="K182" s="34">
        <v>20.0</v>
      </c>
      <c r="L182" s="34">
        <v>4.0</v>
      </c>
      <c r="M182" s="6" t="s">
        <v>830</v>
      </c>
      <c r="N182" s="35" t="s">
        <v>60</v>
      </c>
      <c r="O182" s="33" t="s">
        <v>1080</v>
      </c>
      <c r="P182" s="36" t="s">
        <v>62</v>
      </c>
      <c r="Q182" s="36" t="s">
        <v>167</v>
      </c>
      <c r="R182" s="36" t="s">
        <v>512</v>
      </c>
      <c r="S182" s="37">
        <v>17.0</v>
      </c>
      <c r="T182" s="37">
        <v>-89.779</v>
      </c>
      <c r="U182" s="36" t="s">
        <v>148</v>
      </c>
      <c r="V182" s="6" t="s">
        <v>95</v>
      </c>
      <c r="W182" s="6" t="s">
        <v>615</v>
      </c>
      <c r="X182" s="1" t="s">
        <v>264</v>
      </c>
      <c r="Y182" s="55" t="s">
        <v>256</v>
      </c>
      <c r="Z182" s="37">
        <v>1.0</v>
      </c>
      <c r="AA182" s="37">
        <v>12.0</v>
      </c>
      <c r="AB182" s="36"/>
      <c r="AC182" s="36"/>
      <c r="AD182" s="36"/>
      <c r="AE182" s="36"/>
      <c r="AF182" s="36"/>
      <c r="AG182" s="36"/>
      <c r="AH182" s="36" t="s">
        <v>833</v>
      </c>
      <c r="AI182" s="37">
        <v>-9050.0</v>
      </c>
      <c r="AJ182" s="37">
        <v>1600.0</v>
      </c>
      <c r="AK182" s="6" t="s">
        <v>100</v>
      </c>
      <c r="AL182" s="6" t="s">
        <v>72</v>
      </c>
      <c r="AM182" s="33" t="s">
        <v>400</v>
      </c>
      <c r="AN182" s="6" t="s">
        <v>72</v>
      </c>
      <c r="AO182" s="33"/>
      <c r="AP182" s="6" t="s">
        <v>102</v>
      </c>
      <c r="AQ182" s="33"/>
      <c r="AR182" s="33"/>
      <c r="AS182" s="33"/>
      <c r="AT182" s="6" t="s">
        <v>76</v>
      </c>
      <c r="AU182" s="33"/>
      <c r="AV182" s="33"/>
      <c r="AW182" s="33"/>
      <c r="AX182" s="33"/>
      <c r="AY182" s="33"/>
      <c r="AZ182" s="6" t="s">
        <v>76</v>
      </c>
      <c r="BA182" s="33"/>
      <c r="BB182" s="33">
        <f>VLOOKUP(O182,Eco_DEM_Data!$D$1:$AC$643,20,False)</f>
        <v>1675</v>
      </c>
      <c r="BC182" s="33">
        <f>VLOOKUP($O182,Eco_DEM_Data!$D$1:$AC$643,20,False)</f>
        <v>1675</v>
      </c>
      <c r="BD182" s="33">
        <f>VLOOKUP($O182,Eco_DEM_Data!$D$1:$AC$643,25,False)</f>
        <v>675</v>
      </c>
      <c r="BE182" s="33">
        <f>VLOOKUP($O182,Eco_DEM_Data!$D$1:$AC$643,22,False)</f>
        <v>36</v>
      </c>
      <c r="BF182" s="33">
        <f>VLOOKUP($O182,Eco_DEM_Data!$D$1:$AC$643,23,False)</f>
        <v>133</v>
      </c>
      <c r="BG182" s="33">
        <f>VLOOKUP($O182,Eco_DEM_Data!$D$1:$AC$643,21,False)</f>
        <v>5856</v>
      </c>
      <c r="BH182" s="33">
        <f>VLOOKUP($O182,Eco_DEM_Data!$D$1:$AC$643,26,False)</f>
        <v>110</v>
      </c>
      <c r="BI182" s="33" t="str">
        <f>VLOOKUP($O182,Eco_DEM_Data!$D$1:$AC$643,9,False)</f>
        <v>Petén-Veracruz moist forests</v>
      </c>
      <c r="BJ182" s="33" t="str">
        <f>VLOOKUP($O182,Eco_DEM_Data!$D$1:$AC$643,11,False)</f>
        <v>Tropical &amp; Subtropical Moist Broadleaf Forests</v>
      </c>
    </row>
    <row r="183">
      <c r="A183" s="33" t="s">
        <v>824</v>
      </c>
      <c r="B183" s="33" t="s">
        <v>2258</v>
      </c>
      <c r="C183" s="34">
        <v>9.0</v>
      </c>
      <c r="D183" s="33" t="s">
        <v>53</v>
      </c>
      <c r="E183" s="34">
        <v>2005.0</v>
      </c>
      <c r="F183" s="33" t="s">
        <v>825</v>
      </c>
      <c r="G183" s="33" t="s">
        <v>826</v>
      </c>
      <c r="H183" s="33" t="s">
        <v>827</v>
      </c>
      <c r="I183" s="33" t="s">
        <v>828</v>
      </c>
      <c r="J183" s="33" t="s">
        <v>829</v>
      </c>
      <c r="K183" s="34">
        <v>20.0</v>
      </c>
      <c r="L183" s="34">
        <v>4.0</v>
      </c>
      <c r="M183" s="6" t="s">
        <v>830</v>
      </c>
      <c r="N183" s="35" t="s">
        <v>60</v>
      </c>
      <c r="O183" s="33" t="s">
        <v>843</v>
      </c>
      <c r="P183" s="36" t="s">
        <v>62</v>
      </c>
      <c r="Q183" s="36" t="s">
        <v>167</v>
      </c>
      <c r="R183" s="36" t="s">
        <v>512</v>
      </c>
      <c r="S183" s="37">
        <v>17.0</v>
      </c>
      <c r="T183" s="37">
        <v>-89.779</v>
      </c>
      <c r="U183" s="36" t="s">
        <v>148</v>
      </c>
      <c r="V183" s="38" t="s">
        <v>194</v>
      </c>
      <c r="W183" s="33" t="s">
        <v>72</v>
      </c>
      <c r="X183" s="1" t="s">
        <v>191</v>
      </c>
      <c r="Y183" s="33" t="s">
        <v>70</v>
      </c>
      <c r="Z183" s="37">
        <v>1.0</v>
      </c>
      <c r="AA183" s="37">
        <v>12.0</v>
      </c>
      <c r="AB183" s="36"/>
      <c r="AC183" s="36"/>
      <c r="AD183" s="36"/>
      <c r="AE183" s="36"/>
      <c r="AF183" s="36"/>
      <c r="AG183" s="36"/>
      <c r="AH183" s="36" t="s">
        <v>833</v>
      </c>
      <c r="AI183" s="37">
        <v>-9050.0</v>
      </c>
      <c r="AJ183" s="37">
        <v>1600.0</v>
      </c>
      <c r="AK183" s="6" t="s">
        <v>100</v>
      </c>
      <c r="AL183" s="6" t="s">
        <v>72</v>
      </c>
      <c r="AM183" s="33" t="s">
        <v>400</v>
      </c>
      <c r="AN183" s="6" t="s">
        <v>72</v>
      </c>
      <c r="AO183" s="33"/>
      <c r="AP183" s="6" t="s">
        <v>102</v>
      </c>
      <c r="AQ183" s="33"/>
      <c r="AR183" s="33"/>
      <c r="AS183" s="33"/>
      <c r="AT183" s="6" t="s">
        <v>76</v>
      </c>
      <c r="AU183" s="33"/>
      <c r="AV183" s="33"/>
      <c r="AW183" s="33"/>
      <c r="AX183" s="33"/>
      <c r="AY183" s="33"/>
      <c r="AZ183" s="6" t="s">
        <v>76</v>
      </c>
      <c r="BA183" s="33"/>
      <c r="BB183" s="33">
        <f>VLOOKUP(O183,Eco_DEM_Data!$D$1:$AC$643,20,False)</f>
        <v>1675</v>
      </c>
      <c r="BC183" s="33">
        <f>VLOOKUP($O183,Eco_DEM_Data!$D$1:$AC$643,20,False)</f>
        <v>1675</v>
      </c>
      <c r="BD183" s="33">
        <f>VLOOKUP($O183,Eco_DEM_Data!$D$1:$AC$643,25,False)</f>
        <v>675</v>
      </c>
      <c r="BE183" s="33">
        <f>VLOOKUP($O183,Eco_DEM_Data!$D$1:$AC$643,22,False)</f>
        <v>36</v>
      </c>
      <c r="BF183" s="33">
        <f>VLOOKUP($O183,Eco_DEM_Data!$D$1:$AC$643,23,False)</f>
        <v>133</v>
      </c>
      <c r="BG183" s="33">
        <f>VLOOKUP($O183,Eco_DEM_Data!$D$1:$AC$643,21,False)</f>
        <v>5856</v>
      </c>
      <c r="BH183" s="33">
        <f>VLOOKUP($O183,Eco_DEM_Data!$D$1:$AC$643,26,False)</f>
        <v>110</v>
      </c>
      <c r="BI183" s="33" t="str">
        <f>VLOOKUP($O183,Eco_DEM_Data!$D$1:$AC$643,9,False)</f>
        <v>Petén-Veracruz moist forests</v>
      </c>
      <c r="BJ183" s="33" t="str">
        <f>VLOOKUP($O183,Eco_DEM_Data!$D$1:$AC$643,11,False)</f>
        <v>Tropical &amp; Subtropical Moist Broadleaf Forests</v>
      </c>
    </row>
    <row r="184">
      <c r="A184" s="33" t="s">
        <v>824</v>
      </c>
      <c r="B184" s="33" t="s">
        <v>2258</v>
      </c>
      <c r="C184" s="34">
        <v>9.0</v>
      </c>
      <c r="D184" s="33" t="s">
        <v>53</v>
      </c>
      <c r="E184" s="34">
        <v>2005.0</v>
      </c>
      <c r="F184" s="33" t="s">
        <v>825</v>
      </c>
      <c r="G184" s="33" t="s">
        <v>826</v>
      </c>
      <c r="H184" s="33" t="s">
        <v>827</v>
      </c>
      <c r="I184" s="33" t="s">
        <v>828</v>
      </c>
      <c r="J184" s="33" t="s">
        <v>829</v>
      </c>
      <c r="K184" s="34">
        <v>20.0</v>
      </c>
      <c r="L184" s="34">
        <v>4.0</v>
      </c>
      <c r="M184" s="6" t="s">
        <v>830</v>
      </c>
      <c r="N184" s="35" t="s">
        <v>60</v>
      </c>
      <c r="O184" s="33" t="s">
        <v>844</v>
      </c>
      <c r="P184" s="36" t="s">
        <v>62</v>
      </c>
      <c r="Q184" s="36" t="s">
        <v>167</v>
      </c>
      <c r="R184" s="36" t="s">
        <v>512</v>
      </c>
      <c r="S184" s="37">
        <v>16.988</v>
      </c>
      <c r="T184" s="37">
        <v>-89.779</v>
      </c>
      <c r="U184" s="36" t="s">
        <v>148</v>
      </c>
      <c r="V184" s="38" t="s">
        <v>194</v>
      </c>
      <c r="W184" s="33" t="s">
        <v>72</v>
      </c>
      <c r="X184" s="1" t="s">
        <v>191</v>
      </c>
      <c r="Y184" s="33" t="s">
        <v>70</v>
      </c>
      <c r="Z184" s="37">
        <v>1.0</v>
      </c>
      <c r="AA184" s="37">
        <v>2.0</v>
      </c>
      <c r="AB184" s="36"/>
      <c r="AC184" s="36"/>
      <c r="AD184" s="36"/>
      <c r="AE184" s="36"/>
      <c r="AF184" s="36"/>
      <c r="AG184" s="36"/>
      <c r="AH184" s="36" t="s">
        <v>835</v>
      </c>
      <c r="AI184" s="37">
        <v>-24050.0</v>
      </c>
      <c r="AJ184" s="36" t="s">
        <v>470</v>
      </c>
      <c r="AK184" s="6" t="s">
        <v>100</v>
      </c>
      <c r="AL184" s="6" t="s">
        <v>72</v>
      </c>
      <c r="AM184" s="33" t="s">
        <v>400</v>
      </c>
      <c r="AN184" s="6" t="s">
        <v>72</v>
      </c>
      <c r="AO184" s="33"/>
      <c r="AP184" s="6" t="s">
        <v>102</v>
      </c>
      <c r="AQ184" s="33"/>
      <c r="AR184" s="33"/>
      <c r="AS184" s="33"/>
      <c r="AT184" s="6" t="s">
        <v>76</v>
      </c>
      <c r="AU184" s="33"/>
      <c r="AV184" s="33"/>
      <c r="AW184" s="33"/>
      <c r="AX184" s="33"/>
      <c r="AY184" s="33"/>
      <c r="AZ184" s="6" t="s">
        <v>76</v>
      </c>
      <c r="BA184" s="33"/>
      <c r="BB184" s="33">
        <f>VLOOKUP(O184,Eco_DEM_Data!$D$1:$AC$643,20,False)</f>
        <v>1679</v>
      </c>
      <c r="BC184" s="33">
        <f>VLOOKUP($O184,Eco_DEM_Data!$D$1:$AC$643,20,False)</f>
        <v>1679</v>
      </c>
      <c r="BD184" s="33">
        <f>VLOOKUP($O184,Eco_DEM_Data!$D$1:$AC$643,25,False)</f>
        <v>677</v>
      </c>
      <c r="BE184" s="33">
        <f>VLOOKUP($O184,Eco_DEM_Data!$D$1:$AC$643,22,False)</f>
        <v>36</v>
      </c>
      <c r="BF184" s="33">
        <f>VLOOKUP($O184,Eco_DEM_Data!$D$1:$AC$643,23,False)</f>
        <v>133</v>
      </c>
      <c r="BG184" s="33">
        <f>VLOOKUP($O184,Eco_DEM_Data!$D$1:$AC$643,21,False)</f>
        <v>5867</v>
      </c>
      <c r="BH184" s="33">
        <f>VLOOKUP($O184,Eco_DEM_Data!$D$1:$AC$643,26,False)</f>
        <v>110</v>
      </c>
      <c r="BI184" s="33" t="str">
        <f>VLOOKUP($O184,Eco_DEM_Data!$D$1:$AC$643,9,False)</f>
        <v>Petén-Veracruz moist forests</v>
      </c>
      <c r="BJ184" s="33" t="str">
        <f>VLOOKUP($O184,Eco_DEM_Data!$D$1:$AC$643,11,False)</f>
        <v>Tropical &amp; Subtropical Moist Broadleaf Forests</v>
      </c>
    </row>
    <row r="185">
      <c r="A185" s="33" t="s">
        <v>1648</v>
      </c>
      <c r="B185" s="33" t="s">
        <v>2258</v>
      </c>
      <c r="C185" s="34">
        <v>1.0</v>
      </c>
      <c r="D185" s="33" t="s">
        <v>53</v>
      </c>
      <c r="E185" s="34">
        <v>2005.0</v>
      </c>
      <c r="F185" s="33" t="s">
        <v>228</v>
      </c>
      <c r="G185" s="33" t="s">
        <v>1649</v>
      </c>
      <c r="H185" s="33" t="s">
        <v>1386</v>
      </c>
      <c r="I185" s="33" t="s">
        <v>1650</v>
      </c>
      <c r="J185" s="33" t="s">
        <v>1651</v>
      </c>
      <c r="K185" s="34">
        <v>24.0</v>
      </c>
      <c r="L185" s="33" t="s">
        <v>1652</v>
      </c>
      <c r="M185" s="6" t="s">
        <v>1653</v>
      </c>
      <c r="N185" s="35" t="s">
        <v>76</v>
      </c>
      <c r="O185" s="33" t="s">
        <v>1648</v>
      </c>
      <c r="P185" s="36" t="s">
        <v>62</v>
      </c>
      <c r="Q185" s="36" t="s">
        <v>92</v>
      </c>
      <c r="R185" s="36" t="s">
        <v>466</v>
      </c>
      <c r="S185" s="37">
        <v>19.857061</v>
      </c>
      <c r="T185" s="37">
        <v>-88.763083</v>
      </c>
      <c r="U185" s="36" t="s">
        <v>148</v>
      </c>
      <c r="V185" s="38" t="s">
        <v>1029</v>
      </c>
      <c r="W185" s="6" t="s">
        <v>615</v>
      </c>
      <c r="X185" s="1" t="s">
        <v>1654</v>
      </c>
      <c r="Y185" s="6" t="s">
        <v>1655</v>
      </c>
      <c r="Z185" s="36"/>
      <c r="AA185" s="37">
        <v>12.0</v>
      </c>
      <c r="AB185" s="36"/>
      <c r="AC185" s="36"/>
      <c r="AD185" s="36"/>
      <c r="AE185" s="36"/>
      <c r="AF185" s="36"/>
      <c r="AG185" s="36"/>
      <c r="AH185" s="38" t="s">
        <v>72</v>
      </c>
      <c r="AI185" s="37">
        <v>-900.0</v>
      </c>
      <c r="AJ185" s="37">
        <v>2000.0</v>
      </c>
      <c r="AK185" s="6" t="s">
        <v>73</v>
      </c>
      <c r="AL185" s="6" t="s">
        <v>72</v>
      </c>
      <c r="AM185" s="6" t="s">
        <v>72</v>
      </c>
      <c r="AN185" s="6" t="s">
        <v>72</v>
      </c>
      <c r="AO185" s="33"/>
      <c r="AP185" s="6" t="s">
        <v>576</v>
      </c>
      <c r="AQ185" s="33"/>
      <c r="AR185" s="33"/>
      <c r="AS185" s="33"/>
      <c r="AT185" s="6" t="s">
        <v>76</v>
      </c>
      <c r="AU185" s="33"/>
      <c r="AV185" s="33"/>
      <c r="AW185" s="33"/>
      <c r="AX185" s="33"/>
      <c r="AY185" s="33"/>
      <c r="AZ185" s="6" t="s">
        <v>76</v>
      </c>
      <c r="BA185" s="33"/>
      <c r="BB185" s="33">
        <f>VLOOKUP(O185,Eco_DEM_Data!$D$1:$AC$643,20,False)</f>
        <v>1254</v>
      </c>
      <c r="BC185" s="33">
        <f>VLOOKUP($O185,Eco_DEM_Data!$D$1:$AC$643,20,False)</f>
        <v>1254</v>
      </c>
      <c r="BD185" s="33">
        <f>VLOOKUP($O185,Eco_DEM_Data!$D$1:$AC$643,25,False)</f>
        <v>551</v>
      </c>
      <c r="BE185" s="33">
        <f>VLOOKUP($O185,Eco_DEM_Data!$D$1:$AC$643,22,False)</f>
        <v>32</v>
      </c>
      <c r="BF185" s="33">
        <f>VLOOKUP($O185,Eco_DEM_Data!$D$1:$AC$643,23,False)</f>
        <v>107</v>
      </c>
      <c r="BG185" s="33">
        <f>VLOOKUP($O185,Eco_DEM_Data!$D$1:$AC$643,21,False)</f>
        <v>6228</v>
      </c>
      <c r="BH185" s="33">
        <f>VLOOKUP($O185,Eco_DEM_Data!$D$1:$AC$643,26,False)</f>
        <v>36</v>
      </c>
      <c r="BI185" s="33" t="str">
        <f>VLOOKUP($O185,Eco_DEM_Data!$D$1:$AC$643,9,False)</f>
        <v>Yucatán moist forests</v>
      </c>
      <c r="BJ185" s="33" t="str">
        <f>VLOOKUP($O185,Eco_DEM_Data!$D$1:$AC$643,11,False)</f>
        <v>Tropical &amp; Subtropical Moist Broadleaf Forests</v>
      </c>
    </row>
    <row r="186">
      <c r="A186" s="33" t="s">
        <v>1983</v>
      </c>
      <c r="B186" s="33" t="s">
        <v>2258</v>
      </c>
      <c r="C186" s="34">
        <v>3.0</v>
      </c>
      <c r="D186" s="33" t="s">
        <v>268</v>
      </c>
      <c r="E186" s="34">
        <v>2005.0</v>
      </c>
      <c r="F186" s="33" t="s">
        <v>1984</v>
      </c>
      <c r="G186" s="45" t="s">
        <v>1985</v>
      </c>
      <c r="H186" s="46"/>
      <c r="I186" s="33"/>
      <c r="J186" s="33" t="s">
        <v>1986</v>
      </c>
      <c r="K186" s="34">
        <v>63.0</v>
      </c>
      <c r="L186" s="33"/>
      <c r="M186" s="6" t="s">
        <v>1987</v>
      </c>
      <c r="N186" s="35" t="s">
        <v>60</v>
      </c>
      <c r="O186" s="33" t="s">
        <v>1988</v>
      </c>
      <c r="P186" s="36" t="s">
        <v>62</v>
      </c>
      <c r="Q186" s="36" t="s">
        <v>92</v>
      </c>
      <c r="R186" s="36" t="s">
        <v>1989</v>
      </c>
      <c r="S186" s="37">
        <v>20.601667</v>
      </c>
      <c r="T186" s="37">
        <v>-89.7025</v>
      </c>
      <c r="U186" s="36" t="s">
        <v>148</v>
      </c>
      <c r="V186" s="6" t="s">
        <v>95</v>
      </c>
      <c r="W186" s="6" t="s">
        <v>1990</v>
      </c>
      <c r="X186" s="1" t="s">
        <v>264</v>
      </c>
      <c r="Y186" s="6" t="s">
        <v>728</v>
      </c>
      <c r="Z186" s="36"/>
      <c r="AA186" s="37">
        <v>8.0</v>
      </c>
      <c r="AB186" s="36"/>
      <c r="AC186" s="36"/>
      <c r="AD186" s="36"/>
      <c r="AE186" s="36"/>
      <c r="AF186" s="36"/>
      <c r="AG186" s="36"/>
      <c r="AH186" s="38" t="s">
        <v>1991</v>
      </c>
      <c r="AI186" s="37">
        <v>-2600.0</v>
      </c>
      <c r="AJ186" s="37">
        <v>1400.0</v>
      </c>
      <c r="AK186" s="6" t="s">
        <v>73</v>
      </c>
      <c r="AL186" s="6" t="s">
        <v>76</v>
      </c>
      <c r="AM186" s="33" t="s">
        <v>400</v>
      </c>
      <c r="AN186" s="6" t="s">
        <v>76</v>
      </c>
      <c r="AO186" s="33"/>
      <c r="AP186" s="6" t="s">
        <v>102</v>
      </c>
      <c r="AQ186" s="33"/>
      <c r="AR186" s="33"/>
      <c r="AS186" s="33"/>
      <c r="AT186" s="6" t="s">
        <v>76</v>
      </c>
      <c r="AU186" s="33"/>
      <c r="AV186" s="33"/>
      <c r="AW186" s="33"/>
      <c r="AX186" s="33"/>
      <c r="AY186" s="33"/>
      <c r="AZ186" s="6" t="s">
        <v>76</v>
      </c>
      <c r="BA186" s="33"/>
      <c r="BB186" s="33">
        <f>VLOOKUP(O186,Eco_DEM_Data!$D$1:$AC$643,20,False)</f>
        <v>1101</v>
      </c>
      <c r="BC186" s="33">
        <f>VLOOKUP($O186,Eco_DEM_Data!$D$1:$AC$643,20,False)</f>
        <v>1101</v>
      </c>
      <c r="BD186" s="33">
        <f>VLOOKUP($O186,Eco_DEM_Data!$D$1:$AC$643,25,False)</f>
        <v>546</v>
      </c>
      <c r="BE186" s="33">
        <f>VLOOKUP($O186,Eco_DEM_Data!$D$1:$AC$643,22,False)</f>
        <v>24</v>
      </c>
      <c r="BF186" s="33">
        <f>VLOOKUP($O186,Eco_DEM_Data!$D$1:$AC$643,23,False)</f>
        <v>82</v>
      </c>
      <c r="BG186" s="33">
        <f>VLOOKUP($O186,Eco_DEM_Data!$D$1:$AC$643,21,False)</f>
        <v>7316</v>
      </c>
      <c r="BH186" s="33">
        <f>VLOOKUP($O186,Eco_DEM_Data!$D$1:$AC$643,26,False)</f>
        <v>19</v>
      </c>
      <c r="BI186" s="33" t="str">
        <f>VLOOKUP($O186,Eco_DEM_Data!$D$1:$AC$643,9,False)</f>
        <v>Yucatán dry forests</v>
      </c>
      <c r="BJ186" s="33" t="str">
        <f>VLOOKUP($O186,Eco_DEM_Data!$D$1:$AC$643,11,False)</f>
        <v>Tropical &amp; Subtropical Dry Broadleaf Forests</v>
      </c>
    </row>
    <row r="187">
      <c r="A187" s="33" t="s">
        <v>1983</v>
      </c>
      <c r="B187" s="33" t="s">
        <v>2258</v>
      </c>
      <c r="C187" s="34">
        <v>3.0</v>
      </c>
      <c r="D187" s="33" t="s">
        <v>268</v>
      </c>
      <c r="E187" s="34">
        <v>2005.0</v>
      </c>
      <c r="F187" s="33" t="s">
        <v>1984</v>
      </c>
      <c r="G187" s="45" t="s">
        <v>1985</v>
      </c>
      <c r="H187" s="46"/>
      <c r="I187" s="33"/>
      <c r="J187" s="33" t="s">
        <v>1986</v>
      </c>
      <c r="K187" s="34">
        <v>63.0</v>
      </c>
      <c r="L187" s="33"/>
      <c r="M187" s="6" t="s">
        <v>1987</v>
      </c>
      <c r="N187" s="35" t="s">
        <v>60</v>
      </c>
      <c r="O187" s="33" t="s">
        <v>1992</v>
      </c>
      <c r="P187" s="36" t="s">
        <v>62</v>
      </c>
      <c r="Q187" s="36" t="s">
        <v>92</v>
      </c>
      <c r="R187" s="36" t="s">
        <v>1989</v>
      </c>
      <c r="S187" s="37">
        <v>20.601667</v>
      </c>
      <c r="T187" s="37">
        <v>-89.7025</v>
      </c>
      <c r="U187" s="36" t="s">
        <v>148</v>
      </c>
      <c r="V187" s="6" t="s">
        <v>95</v>
      </c>
      <c r="W187" s="6" t="s">
        <v>1990</v>
      </c>
      <c r="X187" s="1" t="s">
        <v>264</v>
      </c>
      <c r="Y187" s="6" t="s">
        <v>728</v>
      </c>
      <c r="Z187" s="36"/>
      <c r="AA187" s="37">
        <v>8.0</v>
      </c>
      <c r="AB187" s="36"/>
      <c r="AC187" s="36"/>
      <c r="AD187" s="36"/>
      <c r="AE187" s="36"/>
      <c r="AF187" s="36"/>
      <c r="AG187" s="36"/>
      <c r="AH187" s="38" t="s">
        <v>1991</v>
      </c>
      <c r="AI187" s="37">
        <v>-2600.0</v>
      </c>
      <c r="AJ187" s="37">
        <v>1950.0</v>
      </c>
      <c r="AK187" s="6" t="s">
        <v>73</v>
      </c>
      <c r="AL187" s="6" t="s">
        <v>76</v>
      </c>
      <c r="AM187" s="33" t="s">
        <v>400</v>
      </c>
      <c r="AN187" s="6" t="s">
        <v>76</v>
      </c>
      <c r="AO187" s="33"/>
      <c r="AP187" s="6" t="s">
        <v>102</v>
      </c>
      <c r="AQ187" s="33"/>
      <c r="AR187" s="33"/>
      <c r="AS187" s="33"/>
      <c r="AT187" s="6" t="s">
        <v>76</v>
      </c>
      <c r="AU187" s="33"/>
      <c r="AV187" s="33"/>
      <c r="AW187" s="33"/>
      <c r="AX187" s="33"/>
      <c r="AY187" s="33"/>
      <c r="AZ187" s="6" t="s">
        <v>76</v>
      </c>
      <c r="BA187" s="33"/>
      <c r="BB187" s="33">
        <f>VLOOKUP(O187,Eco_DEM_Data!$D$1:$AC$643,20,False)</f>
        <v>1101</v>
      </c>
      <c r="BC187" s="33">
        <f>VLOOKUP($O187,Eco_DEM_Data!$D$1:$AC$643,20,False)</f>
        <v>1101</v>
      </c>
      <c r="BD187" s="33">
        <f>VLOOKUP($O187,Eco_DEM_Data!$D$1:$AC$643,25,False)</f>
        <v>546</v>
      </c>
      <c r="BE187" s="33">
        <f>VLOOKUP($O187,Eco_DEM_Data!$D$1:$AC$643,22,False)</f>
        <v>24</v>
      </c>
      <c r="BF187" s="33">
        <f>VLOOKUP($O187,Eco_DEM_Data!$D$1:$AC$643,23,False)</f>
        <v>82</v>
      </c>
      <c r="BG187" s="33">
        <f>VLOOKUP($O187,Eco_DEM_Data!$D$1:$AC$643,21,False)</f>
        <v>7316</v>
      </c>
      <c r="BH187" s="33">
        <f>VLOOKUP($O187,Eco_DEM_Data!$D$1:$AC$643,26,False)</f>
        <v>19</v>
      </c>
      <c r="BI187" s="33" t="str">
        <f>VLOOKUP($O187,Eco_DEM_Data!$D$1:$AC$643,9,False)</f>
        <v>Yucatán dry forests</v>
      </c>
      <c r="BJ187" s="33" t="str">
        <f>VLOOKUP($O187,Eco_DEM_Data!$D$1:$AC$643,11,False)</f>
        <v>Tropical &amp; Subtropical Dry Broadleaf Forests</v>
      </c>
    </row>
    <row r="188">
      <c r="A188" s="33" t="s">
        <v>1983</v>
      </c>
      <c r="B188" s="33" t="s">
        <v>2258</v>
      </c>
      <c r="C188" s="34">
        <v>3.0</v>
      </c>
      <c r="D188" s="33" t="s">
        <v>268</v>
      </c>
      <c r="E188" s="34">
        <v>2005.0</v>
      </c>
      <c r="F188" s="33" t="s">
        <v>1984</v>
      </c>
      <c r="G188" s="45" t="s">
        <v>1985</v>
      </c>
      <c r="H188" s="46"/>
      <c r="I188" s="33"/>
      <c r="J188" s="33" t="s">
        <v>1986</v>
      </c>
      <c r="K188" s="34">
        <v>63.0</v>
      </c>
      <c r="L188" s="33"/>
      <c r="M188" s="6" t="s">
        <v>1987</v>
      </c>
      <c r="N188" s="35" t="s">
        <v>60</v>
      </c>
      <c r="O188" s="33" t="s">
        <v>1996</v>
      </c>
      <c r="P188" s="36" t="s">
        <v>62</v>
      </c>
      <c r="Q188" s="36" t="s">
        <v>92</v>
      </c>
      <c r="R188" s="36" t="s">
        <v>1989</v>
      </c>
      <c r="S188" s="37">
        <v>20.601667</v>
      </c>
      <c r="T188" s="37">
        <v>-89.7025</v>
      </c>
      <c r="U188" s="36" t="s">
        <v>148</v>
      </c>
      <c r="V188" s="6" t="s">
        <v>95</v>
      </c>
      <c r="W188" s="6" t="s">
        <v>1990</v>
      </c>
      <c r="X188" s="1" t="s">
        <v>264</v>
      </c>
      <c r="Y188" s="6" t="s">
        <v>728</v>
      </c>
      <c r="Z188" s="36"/>
      <c r="AA188" s="37">
        <v>8.0</v>
      </c>
      <c r="AB188" s="36"/>
      <c r="AC188" s="36"/>
      <c r="AD188" s="36"/>
      <c r="AE188" s="36"/>
      <c r="AF188" s="36"/>
      <c r="AG188" s="36"/>
      <c r="AH188" s="38" t="s">
        <v>1991</v>
      </c>
      <c r="AI188" s="37">
        <v>-2600.0</v>
      </c>
      <c r="AJ188" s="37">
        <v>1950.0</v>
      </c>
      <c r="AK188" s="6" t="s">
        <v>73</v>
      </c>
      <c r="AL188" s="6" t="s">
        <v>76</v>
      </c>
      <c r="AM188" s="33" t="s">
        <v>400</v>
      </c>
      <c r="AN188" s="6" t="s">
        <v>76</v>
      </c>
      <c r="AO188" s="33"/>
      <c r="AP188" s="6" t="s">
        <v>102</v>
      </c>
      <c r="AQ188" s="33"/>
      <c r="AR188" s="33"/>
      <c r="AS188" s="33"/>
      <c r="AT188" s="6" t="s">
        <v>76</v>
      </c>
      <c r="AU188" s="33"/>
      <c r="AV188" s="33"/>
      <c r="AW188" s="33"/>
      <c r="AX188" s="33"/>
      <c r="AY188" s="33"/>
      <c r="AZ188" s="6" t="s">
        <v>76</v>
      </c>
      <c r="BA188" s="33"/>
      <c r="BB188" s="33">
        <f>VLOOKUP(O188,Eco_DEM_Data!$D$1:$AC$643,20,False)</f>
        <v>1101</v>
      </c>
      <c r="BC188" s="33">
        <f>VLOOKUP($O188,Eco_DEM_Data!$D$1:$AC$643,20,False)</f>
        <v>1101</v>
      </c>
      <c r="BD188" s="33">
        <f>VLOOKUP($O188,Eco_DEM_Data!$D$1:$AC$643,25,False)</f>
        <v>546</v>
      </c>
      <c r="BE188" s="33">
        <f>VLOOKUP($O188,Eco_DEM_Data!$D$1:$AC$643,22,False)</f>
        <v>24</v>
      </c>
      <c r="BF188" s="33">
        <f>VLOOKUP($O188,Eco_DEM_Data!$D$1:$AC$643,23,False)</f>
        <v>82</v>
      </c>
      <c r="BG188" s="33">
        <f>VLOOKUP($O188,Eco_DEM_Data!$D$1:$AC$643,21,False)</f>
        <v>7316</v>
      </c>
      <c r="BH188" s="33">
        <f>VLOOKUP($O188,Eco_DEM_Data!$D$1:$AC$643,26,False)</f>
        <v>19</v>
      </c>
      <c r="BI188" s="33" t="str">
        <f>VLOOKUP($O188,Eco_DEM_Data!$D$1:$AC$643,9,False)</f>
        <v>Yucatán dry forests</v>
      </c>
      <c r="BJ188" s="33" t="str">
        <f>VLOOKUP($O188,Eco_DEM_Data!$D$1:$AC$643,11,False)</f>
        <v>Tropical &amp; Subtropical Dry Broadleaf Forests</v>
      </c>
    </row>
    <row r="189">
      <c r="A189" s="33" t="s">
        <v>485</v>
      </c>
      <c r="B189" s="33" t="s">
        <v>2259</v>
      </c>
      <c r="C189" s="34">
        <v>2.0</v>
      </c>
      <c r="D189" s="33" t="s">
        <v>53</v>
      </c>
      <c r="E189" s="34">
        <v>2005.0</v>
      </c>
      <c r="F189" s="33" t="s">
        <v>486</v>
      </c>
      <c r="G189" s="33" t="s">
        <v>487</v>
      </c>
      <c r="H189" s="33" t="s">
        <v>488</v>
      </c>
      <c r="I189" s="33" t="s">
        <v>489</v>
      </c>
      <c r="J189" s="33" t="s">
        <v>490</v>
      </c>
      <c r="K189" s="34">
        <v>33.0</v>
      </c>
      <c r="L189" s="34">
        <v>1.0</v>
      </c>
      <c r="M189" s="6" t="s">
        <v>491</v>
      </c>
      <c r="N189" s="35" t="s">
        <v>60</v>
      </c>
      <c r="O189" s="33" t="s">
        <v>492</v>
      </c>
      <c r="P189" s="36" t="s">
        <v>62</v>
      </c>
      <c r="Q189" s="36" t="s">
        <v>112</v>
      </c>
      <c r="R189" s="36" t="s">
        <v>493</v>
      </c>
      <c r="S189" s="37">
        <v>10.554751</v>
      </c>
      <c r="T189" s="37">
        <v>-84.768433</v>
      </c>
      <c r="U189" s="36" t="s">
        <v>94</v>
      </c>
      <c r="V189" s="6" t="s">
        <v>135</v>
      </c>
      <c r="W189" s="6" t="s">
        <v>96</v>
      </c>
      <c r="X189" s="1" t="s">
        <v>494</v>
      </c>
      <c r="Y189" s="6" t="s">
        <v>99</v>
      </c>
      <c r="Z189" s="36"/>
      <c r="AA189" s="37"/>
      <c r="AB189" s="36"/>
      <c r="AC189" s="36"/>
      <c r="AD189" s="36"/>
      <c r="AE189" s="37">
        <v>8.0</v>
      </c>
      <c r="AF189" s="36"/>
      <c r="AG189" s="36"/>
      <c r="AH189" s="36"/>
      <c r="AI189" s="37">
        <v>-6890.0</v>
      </c>
      <c r="AJ189" s="37">
        <v>-2970.0</v>
      </c>
      <c r="AK189" s="6" t="s">
        <v>153</v>
      </c>
      <c r="AL189" s="6" t="s">
        <v>60</v>
      </c>
      <c r="AM189" s="6" t="s">
        <v>72</v>
      </c>
      <c r="AN189" s="6" t="s">
        <v>72</v>
      </c>
      <c r="AO189" s="33"/>
      <c r="AP189" s="6" t="s">
        <v>102</v>
      </c>
      <c r="AQ189" s="33"/>
      <c r="AR189" s="33"/>
      <c r="AS189" s="33"/>
      <c r="AT189" s="6" t="s">
        <v>76</v>
      </c>
      <c r="AU189" s="33"/>
      <c r="AV189" s="33"/>
      <c r="AW189" s="33"/>
      <c r="AX189" s="33"/>
      <c r="AY189" s="33"/>
      <c r="AZ189" s="6" t="s">
        <v>76</v>
      </c>
      <c r="BA189" s="33"/>
      <c r="BB189" s="33">
        <f>VLOOKUP(O189,Eco_DEM_Data!$D$1:$AC$643,20,False)</f>
        <v>3499</v>
      </c>
      <c r="BC189" s="33">
        <f>VLOOKUP($O189,Eco_DEM_Data!$D$1:$AC$643,20,False)</f>
        <v>3499</v>
      </c>
      <c r="BD189" s="33">
        <f>VLOOKUP($O189,Eco_DEM_Data!$D$1:$AC$643,25,False)</f>
        <v>1184</v>
      </c>
      <c r="BE189" s="33">
        <f>VLOOKUP($O189,Eco_DEM_Data!$D$1:$AC$643,22,False)</f>
        <v>62</v>
      </c>
      <c r="BF189" s="33">
        <f>VLOOKUP($O189,Eco_DEM_Data!$D$1:$AC$643,23,False)</f>
        <v>304</v>
      </c>
      <c r="BG189" s="33">
        <f>VLOOKUP($O189,Eco_DEM_Data!$D$1:$AC$643,21,False)</f>
        <v>4357</v>
      </c>
      <c r="BH189" s="33">
        <f>VLOOKUP($O189,Eco_DEM_Data!$D$1:$AC$643,26,False)</f>
        <v>406</v>
      </c>
      <c r="BI189" s="33" t="str">
        <f>VLOOKUP($O189,Eco_DEM_Data!$D$1:$AC$643,9,False)</f>
        <v>Isthmian-Atlantic moist forests</v>
      </c>
      <c r="BJ189" s="33" t="str">
        <f>VLOOKUP($O189,Eco_DEM_Data!$D$1:$AC$643,11,False)</f>
        <v>Tropical &amp; Subtropical Moist Broadleaf Forests</v>
      </c>
    </row>
    <row r="190">
      <c r="A190" s="33" t="s">
        <v>485</v>
      </c>
      <c r="B190" s="33" t="s">
        <v>2259</v>
      </c>
      <c r="C190" s="34">
        <v>2.0</v>
      </c>
      <c r="D190" s="33" t="s">
        <v>53</v>
      </c>
      <c r="E190" s="34">
        <v>2005.0</v>
      </c>
      <c r="F190" s="33" t="s">
        <v>486</v>
      </c>
      <c r="G190" s="33" t="s">
        <v>487</v>
      </c>
      <c r="H190" s="33" t="s">
        <v>488</v>
      </c>
      <c r="I190" s="33" t="s">
        <v>489</v>
      </c>
      <c r="J190" s="33" t="s">
        <v>490</v>
      </c>
      <c r="K190" s="34">
        <v>33.0</v>
      </c>
      <c r="L190" s="34">
        <v>1.0</v>
      </c>
      <c r="M190" s="6" t="s">
        <v>491</v>
      </c>
      <c r="N190" s="35" t="s">
        <v>60</v>
      </c>
      <c r="O190" s="33" t="s">
        <v>495</v>
      </c>
      <c r="P190" s="36" t="s">
        <v>62</v>
      </c>
      <c r="Q190" s="36" t="s">
        <v>112</v>
      </c>
      <c r="R190" s="36" t="s">
        <v>493</v>
      </c>
      <c r="S190" s="37">
        <v>10.554751</v>
      </c>
      <c r="T190" s="37">
        <v>-84.768433</v>
      </c>
      <c r="U190" s="36" t="s">
        <v>94</v>
      </c>
      <c r="V190" s="6" t="s">
        <v>95</v>
      </c>
      <c r="W190" s="6" t="s">
        <v>96</v>
      </c>
      <c r="X190" s="1" t="s">
        <v>494</v>
      </c>
      <c r="Y190" s="6" t="s">
        <v>99</v>
      </c>
      <c r="Z190" s="36"/>
      <c r="AA190" s="37"/>
      <c r="AB190" s="36"/>
      <c r="AC190" s="36"/>
      <c r="AD190" s="36"/>
      <c r="AE190" s="37">
        <v>8.0</v>
      </c>
      <c r="AF190" s="36"/>
      <c r="AG190" s="36"/>
      <c r="AH190" s="36"/>
      <c r="AI190" s="37">
        <v>-6890.0</v>
      </c>
      <c r="AJ190" s="37">
        <v>-2970.0</v>
      </c>
      <c r="AK190" s="6" t="s">
        <v>153</v>
      </c>
      <c r="AL190" s="6" t="s">
        <v>60</v>
      </c>
      <c r="AM190" s="6" t="s">
        <v>72</v>
      </c>
      <c r="AN190" s="6" t="s">
        <v>72</v>
      </c>
      <c r="AO190" s="33"/>
      <c r="AP190" s="6" t="s">
        <v>102</v>
      </c>
      <c r="AQ190" s="33"/>
      <c r="AR190" s="33"/>
      <c r="AS190" s="33"/>
      <c r="AT190" s="6" t="s">
        <v>76</v>
      </c>
      <c r="AU190" s="33"/>
      <c r="AV190" s="33"/>
      <c r="AW190" s="33"/>
      <c r="AX190" s="33"/>
      <c r="AY190" s="33"/>
      <c r="AZ190" s="6" t="s">
        <v>76</v>
      </c>
      <c r="BA190" s="33"/>
      <c r="BB190" s="33">
        <f>VLOOKUP(O190,Eco_DEM_Data!$D$1:$AC$643,20,False)</f>
        <v>3499</v>
      </c>
      <c r="BC190" s="33">
        <f>VLOOKUP($O190,Eco_DEM_Data!$D$1:$AC$643,20,False)</f>
        <v>3499</v>
      </c>
      <c r="BD190" s="33">
        <f>VLOOKUP($O190,Eco_DEM_Data!$D$1:$AC$643,25,False)</f>
        <v>1184</v>
      </c>
      <c r="BE190" s="33">
        <f>VLOOKUP($O190,Eco_DEM_Data!$D$1:$AC$643,22,False)</f>
        <v>62</v>
      </c>
      <c r="BF190" s="33">
        <f>VLOOKUP($O190,Eco_DEM_Data!$D$1:$AC$643,23,False)</f>
        <v>304</v>
      </c>
      <c r="BG190" s="33">
        <f>VLOOKUP($O190,Eco_DEM_Data!$D$1:$AC$643,21,False)</f>
        <v>4357</v>
      </c>
      <c r="BH190" s="33">
        <f>VLOOKUP($O190,Eco_DEM_Data!$D$1:$AC$643,26,False)</f>
        <v>406</v>
      </c>
      <c r="BI190" s="33" t="str">
        <f>VLOOKUP($O190,Eco_DEM_Data!$D$1:$AC$643,9,False)</f>
        <v>Isthmian-Atlantic moist forests</v>
      </c>
      <c r="BJ190" s="33" t="str">
        <f>VLOOKUP($O190,Eco_DEM_Data!$D$1:$AC$643,11,False)</f>
        <v>Tropical &amp; Subtropical Moist Broadleaf Forests</v>
      </c>
    </row>
    <row r="191">
      <c r="A191" s="33" t="s">
        <v>1304</v>
      </c>
      <c r="B191" s="33" t="s">
        <v>2258</v>
      </c>
      <c r="C191" s="34">
        <v>1.0</v>
      </c>
      <c r="D191" s="33" t="s">
        <v>53</v>
      </c>
      <c r="E191" s="34">
        <v>2006.0</v>
      </c>
      <c r="F191" s="33" t="s">
        <v>1305</v>
      </c>
      <c r="G191" s="33" t="s">
        <v>1306</v>
      </c>
      <c r="H191" s="33" t="s">
        <v>793</v>
      </c>
      <c r="I191" s="33" t="s">
        <v>1307</v>
      </c>
      <c r="J191" s="33" t="s">
        <v>1308</v>
      </c>
      <c r="K191" s="34">
        <v>230.0</v>
      </c>
      <c r="L191" s="59">
        <v>43862.0</v>
      </c>
      <c r="M191" s="6" t="s">
        <v>1309</v>
      </c>
      <c r="N191" s="35" t="s">
        <v>76</v>
      </c>
      <c r="O191" s="33" t="s">
        <v>1304</v>
      </c>
      <c r="P191" s="36" t="s">
        <v>62</v>
      </c>
      <c r="Q191" s="36" t="s">
        <v>167</v>
      </c>
      <c r="R191" s="36" t="s">
        <v>512</v>
      </c>
      <c r="S191" s="37">
        <v>17.0</v>
      </c>
      <c r="T191" s="37">
        <v>-89.779</v>
      </c>
      <c r="U191" s="36" t="s">
        <v>148</v>
      </c>
      <c r="V191" s="6" t="s">
        <v>275</v>
      </c>
      <c r="W191" s="6" t="s">
        <v>615</v>
      </c>
      <c r="X191" s="1" t="s">
        <v>278</v>
      </c>
      <c r="Y191" s="33" t="s">
        <v>279</v>
      </c>
      <c r="Z191" s="36"/>
      <c r="AA191" s="37">
        <v>19.0</v>
      </c>
      <c r="AB191" s="36"/>
      <c r="AC191" s="36"/>
      <c r="AD191" s="36"/>
      <c r="AE191" s="36"/>
      <c r="AF191" s="36"/>
      <c r="AG191" s="36"/>
      <c r="AH191" s="38" t="s">
        <v>72</v>
      </c>
      <c r="AI191" s="37">
        <v>-9050.0</v>
      </c>
      <c r="AJ191" s="37">
        <v>1950.0</v>
      </c>
      <c r="AK191" s="6" t="s">
        <v>73</v>
      </c>
      <c r="AL191" s="6" t="s">
        <v>72</v>
      </c>
      <c r="AM191" s="33" t="s">
        <v>400</v>
      </c>
      <c r="AN191" s="6" t="s">
        <v>72</v>
      </c>
      <c r="AO191" s="33"/>
      <c r="AP191" s="6" t="s">
        <v>75</v>
      </c>
      <c r="AQ191" s="33"/>
      <c r="AR191" s="33"/>
      <c r="AS191" s="33"/>
      <c r="AT191" s="6" t="s">
        <v>76</v>
      </c>
      <c r="AU191" s="33"/>
      <c r="AV191" s="33"/>
      <c r="AW191" s="33"/>
      <c r="AX191" s="33"/>
      <c r="AY191" s="33"/>
      <c r="AZ191" s="6" t="s">
        <v>76</v>
      </c>
      <c r="BA191" s="33"/>
      <c r="BB191" s="33">
        <f>VLOOKUP(O191,Eco_DEM_Data!$D$1:$AC$643,20,False)</f>
        <v>1675</v>
      </c>
      <c r="BC191" s="33">
        <f>VLOOKUP($O191,Eco_DEM_Data!$D$1:$AC$643,20,False)</f>
        <v>1675</v>
      </c>
      <c r="BD191" s="33">
        <f>VLOOKUP($O191,Eco_DEM_Data!$D$1:$AC$643,25,False)</f>
        <v>675</v>
      </c>
      <c r="BE191" s="33">
        <f>VLOOKUP($O191,Eco_DEM_Data!$D$1:$AC$643,22,False)</f>
        <v>36</v>
      </c>
      <c r="BF191" s="33">
        <f>VLOOKUP($O191,Eco_DEM_Data!$D$1:$AC$643,23,False)</f>
        <v>133</v>
      </c>
      <c r="BG191" s="33">
        <f>VLOOKUP($O191,Eco_DEM_Data!$D$1:$AC$643,21,False)</f>
        <v>5856</v>
      </c>
      <c r="BH191" s="33">
        <f>VLOOKUP($O191,Eco_DEM_Data!$D$1:$AC$643,26,False)</f>
        <v>110</v>
      </c>
      <c r="BI191" s="33" t="str">
        <f>VLOOKUP($O191,Eco_DEM_Data!$D$1:$AC$643,9,False)</f>
        <v>Petén-Veracruz moist forests</v>
      </c>
      <c r="BJ191" s="33" t="str">
        <f>VLOOKUP($O191,Eco_DEM_Data!$D$1:$AC$643,11,False)</f>
        <v>Tropical &amp; Subtropical Moist Broadleaf Forests</v>
      </c>
    </row>
    <row r="192">
      <c r="A192" s="33" t="s">
        <v>1153</v>
      </c>
      <c r="B192" s="33" t="s">
        <v>2259</v>
      </c>
      <c r="C192" s="34">
        <v>18.0</v>
      </c>
      <c r="D192" s="33" t="s">
        <v>53</v>
      </c>
      <c r="E192" s="34">
        <v>2006.0</v>
      </c>
      <c r="F192" s="33" t="s">
        <v>1154</v>
      </c>
      <c r="G192" s="33" t="s">
        <v>1155</v>
      </c>
      <c r="H192" s="45" t="s">
        <v>631</v>
      </c>
      <c r="I192" s="33"/>
      <c r="J192" s="33" t="s">
        <v>1156</v>
      </c>
      <c r="K192" s="34">
        <v>17.0</v>
      </c>
      <c r="L192" s="34">
        <v>3.0</v>
      </c>
      <c r="M192" s="6" t="s">
        <v>1157</v>
      </c>
      <c r="N192" s="35" t="s">
        <v>60</v>
      </c>
      <c r="O192" s="33" t="s">
        <v>1158</v>
      </c>
      <c r="P192" s="36" t="s">
        <v>62</v>
      </c>
      <c r="Q192" s="36" t="s">
        <v>167</v>
      </c>
      <c r="R192" s="36" t="s">
        <v>1159</v>
      </c>
      <c r="S192" s="37">
        <v>13.941022</v>
      </c>
      <c r="T192" s="37">
        <v>-90.629732</v>
      </c>
      <c r="U192" s="36" t="s">
        <v>1160</v>
      </c>
      <c r="V192" s="38" t="s">
        <v>599</v>
      </c>
      <c r="W192" s="33" t="s">
        <v>156</v>
      </c>
      <c r="X192" s="3" t="s">
        <v>72</v>
      </c>
      <c r="Y192" s="33" t="s">
        <v>1161</v>
      </c>
      <c r="Z192" s="36"/>
      <c r="AA192" s="37">
        <v>6.0</v>
      </c>
      <c r="AB192" s="36"/>
      <c r="AC192" s="36"/>
      <c r="AD192" s="36"/>
      <c r="AE192" s="36"/>
      <c r="AF192" s="36"/>
      <c r="AG192" s="36"/>
      <c r="AH192" s="38" t="s">
        <v>72</v>
      </c>
      <c r="AI192" s="37">
        <v>-3600.0</v>
      </c>
      <c r="AJ192" s="37">
        <v>1805.0</v>
      </c>
      <c r="AK192" s="6" t="s">
        <v>73</v>
      </c>
      <c r="AL192" s="6" t="s">
        <v>72</v>
      </c>
      <c r="AM192" s="33" t="s">
        <v>74</v>
      </c>
      <c r="AN192" s="6" t="s">
        <v>72</v>
      </c>
      <c r="AO192" s="33"/>
      <c r="AP192" s="6" t="s">
        <v>75</v>
      </c>
      <c r="AQ192" s="33"/>
      <c r="AR192" s="33"/>
      <c r="AS192" s="33"/>
      <c r="AT192" s="6" t="s">
        <v>76</v>
      </c>
      <c r="AU192" s="33"/>
      <c r="AV192" s="33"/>
      <c r="AW192" s="33"/>
      <c r="AX192" s="33"/>
      <c r="AY192" s="33"/>
      <c r="AZ192" s="6" t="s">
        <v>76</v>
      </c>
      <c r="BA192" s="33"/>
      <c r="BB192" s="33">
        <f>VLOOKUP(O192,Eco_DEM_Data!$D$1:$AC$643,20,False)</f>
        <v>1707</v>
      </c>
      <c r="BC192" s="33">
        <f>VLOOKUP($O192,Eco_DEM_Data!$D$1:$AC$643,20,False)</f>
        <v>1707</v>
      </c>
      <c r="BD192" s="33">
        <f>VLOOKUP($O192,Eco_DEM_Data!$D$1:$AC$643,25,False)</f>
        <v>819</v>
      </c>
      <c r="BE192" s="33">
        <f>VLOOKUP($O192,Eco_DEM_Data!$D$1:$AC$643,22,False)</f>
        <v>2</v>
      </c>
      <c r="BF192" s="33">
        <f>VLOOKUP($O192,Eco_DEM_Data!$D$1:$AC$643,23,False)</f>
        <v>12</v>
      </c>
      <c r="BG192" s="33">
        <f>VLOOKUP($O192,Eco_DEM_Data!$D$1:$AC$643,21,False)</f>
        <v>9271</v>
      </c>
      <c r="BH192" s="33">
        <f>VLOOKUP($O192,Eco_DEM_Data!$D$1:$AC$643,26,False)</f>
        <v>7</v>
      </c>
      <c r="BI192" s="33" t="str">
        <f>VLOOKUP($O192,Eco_DEM_Data!$D$1:$AC$643,9,False)</f>
        <v>Southern Mesoamerican Pacific mangroves</v>
      </c>
      <c r="BJ192" s="33" t="str">
        <f>VLOOKUP($O192,Eco_DEM_Data!$D$1:$AC$643,11,False)</f>
        <v>Mangroves</v>
      </c>
    </row>
    <row r="193">
      <c r="A193" s="33" t="s">
        <v>1153</v>
      </c>
      <c r="B193" s="33" t="s">
        <v>2259</v>
      </c>
      <c r="C193" s="34">
        <v>18.0</v>
      </c>
      <c r="D193" s="33" t="s">
        <v>53</v>
      </c>
      <c r="E193" s="34">
        <v>2006.0</v>
      </c>
      <c r="F193" s="33" t="s">
        <v>1154</v>
      </c>
      <c r="G193" s="33" t="s">
        <v>1155</v>
      </c>
      <c r="H193" s="45" t="s">
        <v>631</v>
      </c>
      <c r="I193" s="33"/>
      <c r="J193" s="33" t="s">
        <v>1156</v>
      </c>
      <c r="K193" s="34">
        <v>17.0</v>
      </c>
      <c r="L193" s="34">
        <v>3.0</v>
      </c>
      <c r="M193" s="6" t="s">
        <v>1157</v>
      </c>
      <c r="N193" s="35" t="s">
        <v>60</v>
      </c>
      <c r="O193" s="33" t="s">
        <v>1163</v>
      </c>
      <c r="P193" s="36" t="s">
        <v>62</v>
      </c>
      <c r="Q193" s="36" t="s">
        <v>167</v>
      </c>
      <c r="R193" s="36" t="s">
        <v>1159</v>
      </c>
      <c r="S193" s="37">
        <v>13.941022</v>
      </c>
      <c r="T193" s="37">
        <v>-90.629732</v>
      </c>
      <c r="U193" s="36" t="s">
        <v>1160</v>
      </c>
      <c r="V193" s="38" t="s">
        <v>599</v>
      </c>
      <c r="W193" s="33" t="s">
        <v>156</v>
      </c>
      <c r="X193" s="3" t="s">
        <v>72</v>
      </c>
      <c r="Y193" s="33" t="s">
        <v>1161</v>
      </c>
      <c r="Z193" s="36"/>
      <c r="AA193" s="37">
        <v>8.0</v>
      </c>
      <c r="AB193" s="36"/>
      <c r="AC193" s="36"/>
      <c r="AD193" s="36"/>
      <c r="AE193" s="36"/>
      <c r="AF193" s="36"/>
      <c r="AG193" s="36"/>
      <c r="AH193" s="38" t="s">
        <v>72</v>
      </c>
      <c r="AI193" s="37">
        <v>-3800.0</v>
      </c>
      <c r="AJ193" s="37">
        <v>-2000.0</v>
      </c>
      <c r="AK193" s="6" t="s">
        <v>73</v>
      </c>
      <c r="AL193" s="6" t="s">
        <v>72</v>
      </c>
      <c r="AM193" s="33" t="s">
        <v>74</v>
      </c>
      <c r="AN193" s="6" t="s">
        <v>72</v>
      </c>
      <c r="AO193" s="33"/>
      <c r="AP193" s="6" t="s">
        <v>75</v>
      </c>
      <c r="AQ193" s="33"/>
      <c r="AR193" s="33"/>
      <c r="AS193" s="33"/>
      <c r="AT193" s="6" t="s">
        <v>76</v>
      </c>
      <c r="AU193" s="33"/>
      <c r="AV193" s="33"/>
      <c r="AW193" s="33"/>
      <c r="AX193" s="33"/>
      <c r="AY193" s="33"/>
      <c r="AZ193" s="6" t="s">
        <v>76</v>
      </c>
      <c r="BA193" s="33"/>
      <c r="BB193" s="33">
        <f>VLOOKUP(O193,Eco_DEM_Data!$D$1:$AC$643,20,False)</f>
        <v>1707</v>
      </c>
      <c r="BC193" s="33">
        <f>VLOOKUP($O193,Eco_DEM_Data!$D$1:$AC$643,20,False)</f>
        <v>1707</v>
      </c>
      <c r="BD193" s="33">
        <f>VLOOKUP($O193,Eco_DEM_Data!$D$1:$AC$643,25,False)</f>
        <v>819</v>
      </c>
      <c r="BE193" s="33">
        <f>VLOOKUP($O193,Eco_DEM_Data!$D$1:$AC$643,22,False)</f>
        <v>2</v>
      </c>
      <c r="BF193" s="33">
        <f>VLOOKUP($O193,Eco_DEM_Data!$D$1:$AC$643,23,False)</f>
        <v>12</v>
      </c>
      <c r="BG193" s="33">
        <f>VLOOKUP($O193,Eco_DEM_Data!$D$1:$AC$643,21,False)</f>
        <v>9271</v>
      </c>
      <c r="BH193" s="33">
        <f>VLOOKUP($O193,Eco_DEM_Data!$D$1:$AC$643,26,False)</f>
        <v>7</v>
      </c>
      <c r="BI193" s="33" t="str">
        <f>VLOOKUP($O193,Eco_DEM_Data!$D$1:$AC$643,9,False)</f>
        <v>Southern Mesoamerican Pacific mangroves</v>
      </c>
      <c r="BJ193" s="33" t="str">
        <f>VLOOKUP($O193,Eco_DEM_Data!$D$1:$AC$643,11,False)</f>
        <v>Mangroves</v>
      </c>
    </row>
    <row r="194">
      <c r="A194" s="33" t="s">
        <v>1153</v>
      </c>
      <c r="B194" s="33" t="s">
        <v>2259</v>
      </c>
      <c r="C194" s="34">
        <v>18.0</v>
      </c>
      <c r="D194" s="33" t="s">
        <v>53</v>
      </c>
      <c r="E194" s="34">
        <v>2006.0</v>
      </c>
      <c r="F194" s="33" t="s">
        <v>1154</v>
      </c>
      <c r="G194" s="33" t="s">
        <v>1155</v>
      </c>
      <c r="H194" s="45" t="s">
        <v>631</v>
      </c>
      <c r="I194" s="33"/>
      <c r="J194" s="33" t="s">
        <v>1156</v>
      </c>
      <c r="K194" s="34">
        <v>17.0</v>
      </c>
      <c r="L194" s="34">
        <v>3.0</v>
      </c>
      <c r="M194" s="6" t="s">
        <v>1157</v>
      </c>
      <c r="N194" s="35" t="s">
        <v>60</v>
      </c>
      <c r="O194" s="33" t="s">
        <v>1164</v>
      </c>
      <c r="P194" s="36" t="s">
        <v>62</v>
      </c>
      <c r="Q194" s="36" t="s">
        <v>167</v>
      </c>
      <c r="R194" s="36" t="s">
        <v>1159</v>
      </c>
      <c r="S194" s="37">
        <v>13.941022</v>
      </c>
      <c r="T194" s="37">
        <v>-90.629732</v>
      </c>
      <c r="U194" s="36" t="s">
        <v>1160</v>
      </c>
      <c r="V194" s="38" t="s">
        <v>599</v>
      </c>
      <c r="W194" s="33" t="s">
        <v>156</v>
      </c>
      <c r="X194" s="3" t="s">
        <v>72</v>
      </c>
      <c r="Y194" s="33" t="s">
        <v>1161</v>
      </c>
      <c r="Z194" s="36"/>
      <c r="AA194" s="37">
        <v>5.0</v>
      </c>
      <c r="AB194" s="36"/>
      <c r="AC194" s="36"/>
      <c r="AD194" s="36"/>
      <c r="AE194" s="36"/>
      <c r="AF194" s="36"/>
      <c r="AG194" s="36"/>
      <c r="AH194" s="38" t="s">
        <v>72</v>
      </c>
      <c r="AI194" s="37">
        <v>-1998.0</v>
      </c>
      <c r="AJ194" s="37">
        <v>-1000.0</v>
      </c>
      <c r="AK194" s="6" t="s">
        <v>73</v>
      </c>
      <c r="AL194" s="6" t="s">
        <v>72</v>
      </c>
      <c r="AM194" s="33" t="s">
        <v>74</v>
      </c>
      <c r="AN194" s="6" t="s">
        <v>72</v>
      </c>
      <c r="AO194" s="33"/>
      <c r="AP194" s="6" t="s">
        <v>75</v>
      </c>
      <c r="AQ194" s="33"/>
      <c r="AR194" s="33"/>
      <c r="AS194" s="33"/>
      <c r="AT194" s="6" t="s">
        <v>76</v>
      </c>
      <c r="AU194" s="33"/>
      <c r="AV194" s="33"/>
      <c r="AW194" s="33"/>
      <c r="AX194" s="33"/>
      <c r="AY194" s="33"/>
      <c r="AZ194" s="6" t="s">
        <v>76</v>
      </c>
      <c r="BA194" s="33"/>
      <c r="BB194" s="33">
        <f>VLOOKUP(O194,Eco_DEM_Data!$D$1:$AC$643,20,False)</f>
        <v>1707</v>
      </c>
      <c r="BC194" s="33">
        <f>VLOOKUP($O194,Eco_DEM_Data!$D$1:$AC$643,20,False)</f>
        <v>1707</v>
      </c>
      <c r="BD194" s="33">
        <f>VLOOKUP($O194,Eco_DEM_Data!$D$1:$AC$643,25,False)</f>
        <v>819</v>
      </c>
      <c r="BE194" s="33">
        <f>VLOOKUP($O194,Eco_DEM_Data!$D$1:$AC$643,22,False)</f>
        <v>2</v>
      </c>
      <c r="BF194" s="33">
        <f>VLOOKUP($O194,Eco_DEM_Data!$D$1:$AC$643,23,False)</f>
        <v>12</v>
      </c>
      <c r="BG194" s="33">
        <f>VLOOKUP($O194,Eco_DEM_Data!$D$1:$AC$643,21,False)</f>
        <v>9271</v>
      </c>
      <c r="BH194" s="33">
        <f>VLOOKUP($O194,Eco_DEM_Data!$D$1:$AC$643,26,False)</f>
        <v>7</v>
      </c>
      <c r="BI194" s="33" t="str">
        <f>VLOOKUP($O194,Eco_DEM_Data!$D$1:$AC$643,9,False)</f>
        <v>Southern Mesoamerican Pacific mangroves</v>
      </c>
      <c r="BJ194" s="33" t="str">
        <f>VLOOKUP($O194,Eco_DEM_Data!$D$1:$AC$643,11,False)</f>
        <v>Mangroves</v>
      </c>
    </row>
    <row r="195">
      <c r="A195" s="33" t="s">
        <v>1153</v>
      </c>
      <c r="B195" s="33" t="s">
        <v>2259</v>
      </c>
      <c r="C195" s="34">
        <v>18.0</v>
      </c>
      <c r="D195" s="33" t="s">
        <v>53</v>
      </c>
      <c r="E195" s="34">
        <v>2006.0</v>
      </c>
      <c r="F195" s="33" t="s">
        <v>1154</v>
      </c>
      <c r="G195" s="33" t="s">
        <v>1155</v>
      </c>
      <c r="H195" s="45" t="s">
        <v>631</v>
      </c>
      <c r="I195" s="33"/>
      <c r="J195" s="33" t="s">
        <v>1156</v>
      </c>
      <c r="K195" s="34">
        <v>17.0</v>
      </c>
      <c r="L195" s="34">
        <v>3.0</v>
      </c>
      <c r="M195" s="6" t="s">
        <v>1157</v>
      </c>
      <c r="N195" s="35" t="s">
        <v>60</v>
      </c>
      <c r="O195" s="33" t="s">
        <v>1165</v>
      </c>
      <c r="P195" s="36" t="s">
        <v>62</v>
      </c>
      <c r="Q195" s="36" t="s">
        <v>167</v>
      </c>
      <c r="R195" s="36" t="s">
        <v>1166</v>
      </c>
      <c r="S195" s="37">
        <v>14.538711</v>
      </c>
      <c r="T195" s="37">
        <v>-92.202276</v>
      </c>
      <c r="U195" s="36" t="s">
        <v>1160</v>
      </c>
      <c r="V195" s="38" t="s">
        <v>599</v>
      </c>
      <c r="W195" s="33" t="s">
        <v>156</v>
      </c>
      <c r="X195" s="3" t="s">
        <v>72</v>
      </c>
      <c r="Y195" s="33" t="s">
        <v>1161</v>
      </c>
      <c r="Z195" s="36"/>
      <c r="AA195" s="37">
        <v>6.0</v>
      </c>
      <c r="AB195" s="36"/>
      <c r="AC195" s="36"/>
      <c r="AD195" s="36"/>
      <c r="AE195" s="36"/>
      <c r="AF195" s="36"/>
      <c r="AG195" s="36"/>
      <c r="AH195" s="38" t="s">
        <v>72</v>
      </c>
      <c r="AI195" s="37">
        <v>-1030.0</v>
      </c>
      <c r="AJ195" s="37">
        <v>1950.0</v>
      </c>
      <c r="AK195" s="6" t="s">
        <v>73</v>
      </c>
      <c r="AL195" s="6" t="s">
        <v>72</v>
      </c>
      <c r="AM195" s="33" t="s">
        <v>74</v>
      </c>
      <c r="AN195" s="6" t="s">
        <v>72</v>
      </c>
      <c r="AO195" s="33"/>
      <c r="AP195" s="6" t="s">
        <v>75</v>
      </c>
      <c r="AQ195" s="33"/>
      <c r="AR195" s="33"/>
      <c r="AS195" s="33"/>
      <c r="AT195" s="6" t="s">
        <v>76</v>
      </c>
      <c r="AU195" s="33"/>
      <c r="AV195" s="33"/>
      <c r="AW195" s="33"/>
      <c r="AX195" s="33"/>
      <c r="AY195" s="33"/>
      <c r="AZ195" s="6" t="s">
        <v>76</v>
      </c>
      <c r="BA195" s="33"/>
      <c r="BB195" s="33">
        <f>VLOOKUP(O195,Eco_DEM_Data!$D$1:$AC$643,20,False)</f>
        <v>1385</v>
      </c>
      <c r="BC195" s="33">
        <f>VLOOKUP($O195,Eco_DEM_Data!$D$1:$AC$643,20,False)</f>
        <v>1385</v>
      </c>
      <c r="BD195" s="33">
        <f>VLOOKUP($O195,Eco_DEM_Data!$D$1:$AC$643,25,False)</f>
        <v>680</v>
      </c>
      <c r="BE195" s="33">
        <f>VLOOKUP($O195,Eco_DEM_Data!$D$1:$AC$643,22,False)</f>
        <v>2</v>
      </c>
      <c r="BF195" s="33">
        <f>VLOOKUP($O195,Eco_DEM_Data!$D$1:$AC$643,23,False)</f>
        <v>11</v>
      </c>
      <c r="BG195" s="33">
        <f>VLOOKUP($O195,Eco_DEM_Data!$D$1:$AC$643,21,False)</f>
        <v>9489</v>
      </c>
      <c r="BH195" s="33">
        <f>VLOOKUP($O195,Eco_DEM_Data!$D$1:$AC$643,26,False)</f>
        <v>2</v>
      </c>
      <c r="BI195" s="33" t="str">
        <f>VLOOKUP($O195,Eco_DEM_Data!$D$1:$AC$643,9,False)</f>
        <v>Southern Mesoamerican Pacific mangroves</v>
      </c>
      <c r="BJ195" s="33" t="str">
        <f>VLOOKUP($O195,Eco_DEM_Data!$D$1:$AC$643,11,False)</f>
        <v>Mangroves</v>
      </c>
    </row>
    <row r="196">
      <c r="A196" s="33" t="s">
        <v>1153</v>
      </c>
      <c r="B196" s="33" t="s">
        <v>2259</v>
      </c>
      <c r="C196" s="34">
        <v>18.0</v>
      </c>
      <c r="D196" s="33" t="s">
        <v>53</v>
      </c>
      <c r="E196" s="34">
        <v>2006.0</v>
      </c>
      <c r="F196" s="33" t="s">
        <v>1154</v>
      </c>
      <c r="G196" s="33" t="s">
        <v>1155</v>
      </c>
      <c r="H196" s="45" t="s">
        <v>631</v>
      </c>
      <c r="I196" s="33"/>
      <c r="J196" s="33" t="s">
        <v>1156</v>
      </c>
      <c r="K196" s="34">
        <v>17.0</v>
      </c>
      <c r="L196" s="34">
        <v>3.0</v>
      </c>
      <c r="M196" s="6" t="s">
        <v>1157</v>
      </c>
      <c r="N196" s="35" t="s">
        <v>60</v>
      </c>
      <c r="O196" s="33" t="s">
        <v>1167</v>
      </c>
      <c r="P196" s="36" t="s">
        <v>62</v>
      </c>
      <c r="Q196" s="36" t="s">
        <v>167</v>
      </c>
      <c r="R196" s="36" t="s">
        <v>1166</v>
      </c>
      <c r="S196" s="37">
        <v>14.540503</v>
      </c>
      <c r="T196" s="37">
        <v>-92.188883</v>
      </c>
      <c r="U196" s="36" t="s">
        <v>1160</v>
      </c>
      <c r="V196" s="38" t="s">
        <v>599</v>
      </c>
      <c r="W196" s="33" t="s">
        <v>156</v>
      </c>
      <c r="X196" s="3" t="s">
        <v>72</v>
      </c>
      <c r="Y196" s="33" t="s">
        <v>1161</v>
      </c>
      <c r="Z196" s="36"/>
      <c r="AA196" s="37">
        <v>7.0</v>
      </c>
      <c r="AB196" s="36"/>
      <c r="AC196" s="36"/>
      <c r="AD196" s="36"/>
      <c r="AE196" s="36"/>
      <c r="AF196" s="36"/>
      <c r="AG196" s="36"/>
      <c r="AH196" s="38" t="s">
        <v>72</v>
      </c>
      <c r="AI196" s="37">
        <v>-3367.0</v>
      </c>
      <c r="AJ196" s="37">
        <v>1950.0</v>
      </c>
      <c r="AK196" s="6" t="s">
        <v>73</v>
      </c>
      <c r="AL196" s="6" t="s">
        <v>72</v>
      </c>
      <c r="AM196" s="33" t="s">
        <v>74</v>
      </c>
      <c r="AN196" s="6" t="s">
        <v>72</v>
      </c>
      <c r="AO196" s="33"/>
      <c r="AP196" s="6" t="s">
        <v>75</v>
      </c>
      <c r="AQ196" s="33"/>
      <c r="AR196" s="33"/>
      <c r="AS196" s="33"/>
      <c r="AT196" s="6" t="s">
        <v>76</v>
      </c>
      <c r="AU196" s="33"/>
      <c r="AV196" s="33"/>
      <c r="AW196" s="33"/>
      <c r="AX196" s="33"/>
      <c r="AY196" s="33"/>
      <c r="AZ196" s="6" t="s">
        <v>76</v>
      </c>
      <c r="BA196" s="33"/>
      <c r="BB196" s="33">
        <f>VLOOKUP(O196,Eco_DEM_Data!$D$1:$AC$643,20,False)</f>
        <v>1381</v>
      </c>
      <c r="BC196" s="33">
        <f>VLOOKUP($O196,Eco_DEM_Data!$D$1:$AC$643,20,False)</f>
        <v>1381</v>
      </c>
      <c r="BD196" s="33">
        <f>VLOOKUP($O196,Eco_DEM_Data!$D$1:$AC$643,25,False)</f>
        <v>693</v>
      </c>
      <c r="BE196" s="33">
        <f>VLOOKUP($O196,Eco_DEM_Data!$D$1:$AC$643,22,False)</f>
        <v>1</v>
      </c>
      <c r="BF196" s="33">
        <f>VLOOKUP($O196,Eco_DEM_Data!$D$1:$AC$643,23,False)</f>
        <v>10</v>
      </c>
      <c r="BG196" s="33">
        <f>VLOOKUP($O196,Eco_DEM_Data!$D$1:$AC$643,21,False)</f>
        <v>9500</v>
      </c>
      <c r="BH196" s="33">
        <f>VLOOKUP($O196,Eco_DEM_Data!$D$1:$AC$643,26,False)</f>
        <v>4</v>
      </c>
      <c r="BI196" s="33" t="str">
        <f>VLOOKUP($O196,Eco_DEM_Data!$D$1:$AC$643,9,False)</f>
        <v>Central American dry forests</v>
      </c>
      <c r="BJ196" s="33" t="str">
        <f>VLOOKUP($O196,Eco_DEM_Data!$D$1:$AC$643,11,False)</f>
        <v>Tropical &amp; Subtropical Dry Broadleaf Forests</v>
      </c>
    </row>
    <row r="197">
      <c r="A197" s="33" t="s">
        <v>1153</v>
      </c>
      <c r="B197" s="33" t="s">
        <v>2259</v>
      </c>
      <c r="C197" s="34">
        <v>18.0</v>
      </c>
      <c r="D197" s="33" t="s">
        <v>53</v>
      </c>
      <c r="E197" s="34">
        <v>2006.0</v>
      </c>
      <c r="F197" s="33" t="s">
        <v>1154</v>
      </c>
      <c r="G197" s="33" t="s">
        <v>1155</v>
      </c>
      <c r="H197" s="45" t="s">
        <v>631</v>
      </c>
      <c r="I197" s="33"/>
      <c r="J197" s="33" t="s">
        <v>1156</v>
      </c>
      <c r="K197" s="34">
        <v>17.0</v>
      </c>
      <c r="L197" s="34">
        <v>3.0</v>
      </c>
      <c r="M197" s="6" t="s">
        <v>1157</v>
      </c>
      <c r="N197" s="35" t="s">
        <v>60</v>
      </c>
      <c r="O197" s="33" t="s">
        <v>1178</v>
      </c>
      <c r="P197" s="36" t="s">
        <v>62</v>
      </c>
      <c r="Q197" s="36" t="s">
        <v>167</v>
      </c>
      <c r="R197" s="36" t="s">
        <v>1179</v>
      </c>
      <c r="S197" s="37">
        <v>14.517108</v>
      </c>
      <c r="T197" s="37">
        <v>-92.118835</v>
      </c>
      <c r="U197" s="36" t="s">
        <v>1160</v>
      </c>
      <c r="V197" s="38" t="s">
        <v>599</v>
      </c>
      <c r="W197" s="33" t="s">
        <v>156</v>
      </c>
      <c r="X197" s="3" t="s">
        <v>72</v>
      </c>
      <c r="Y197" s="33" t="s">
        <v>1161</v>
      </c>
      <c r="Z197" s="36"/>
      <c r="AA197" s="37">
        <v>4.0</v>
      </c>
      <c r="AB197" s="36"/>
      <c r="AC197" s="36"/>
      <c r="AD197" s="36"/>
      <c r="AE197" s="36"/>
      <c r="AF197" s="36"/>
      <c r="AG197" s="36"/>
      <c r="AH197" s="38" t="s">
        <v>72</v>
      </c>
      <c r="AI197" s="37">
        <v>-4800.0</v>
      </c>
      <c r="AJ197" s="37">
        <v>1950.0</v>
      </c>
      <c r="AK197" s="6" t="s">
        <v>73</v>
      </c>
      <c r="AL197" s="6" t="s">
        <v>72</v>
      </c>
      <c r="AM197" s="33" t="s">
        <v>74</v>
      </c>
      <c r="AN197" s="6" t="s">
        <v>72</v>
      </c>
      <c r="AO197" s="33"/>
      <c r="AP197" s="6" t="s">
        <v>75</v>
      </c>
      <c r="AQ197" s="33"/>
      <c r="AR197" s="33"/>
      <c r="AS197" s="33"/>
      <c r="AT197" s="6" t="s">
        <v>76</v>
      </c>
      <c r="AU197" s="33"/>
      <c r="AV197" s="33"/>
      <c r="AW197" s="33"/>
      <c r="AX197" s="33"/>
      <c r="AY197" s="33"/>
      <c r="AZ197" s="6" t="s">
        <v>76</v>
      </c>
      <c r="BA197" s="33"/>
      <c r="BB197" s="33">
        <f>VLOOKUP(O197,Eco_DEM_Data!$D$1:$AC$643,20,False)</f>
        <v>1385</v>
      </c>
      <c r="BC197" s="33">
        <f>VLOOKUP($O197,Eco_DEM_Data!$D$1:$AC$643,20,False)</f>
        <v>1385</v>
      </c>
      <c r="BD197" s="33">
        <f>VLOOKUP($O197,Eco_DEM_Data!$D$1:$AC$643,25,False)</f>
        <v>691</v>
      </c>
      <c r="BE197" s="33">
        <f>VLOOKUP($O197,Eco_DEM_Data!$D$1:$AC$643,22,False)</f>
        <v>1</v>
      </c>
      <c r="BF197" s="33">
        <f>VLOOKUP($O197,Eco_DEM_Data!$D$1:$AC$643,23,False)</f>
        <v>11</v>
      </c>
      <c r="BG197" s="33">
        <f>VLOOKUP($O197,Eco_DEM_Data!$D$1:$AC$643,21,False)</f>
        <v>9569</v>
      </c>
      <c r="BH197" s="33">
        <f>VLOOKUP($O197,Eco_DEM_Data!$D$1:$AC$643,26,False)</f>
        <v>9</v>
      </c>
      <c r="BI197" s="33" t="str">
        <f>VLOOKUP($O197,Eco_DEM_Data!$D$1:$AC$643,9,False)</f>
        <v>Southern Mesoamerican Pacific mangroves</v>
      </c>
      <c r="BJ197" s="33" t="str">
        <f>VLOOKUP($O197,Eco_DEM_Data!$D$1:$AC$643,11,False)</f>
        <v>Mangroves</v>
      </c>
    </row>
    <row r="198">
      <c r="A198" s="33" t="s">
        <v>1153</v>
      </c>
      <c r="B198" s="33" t="s">
        <v>2259</v>
      </c>
      <c r="C198" s="34">
        <v>18.0</v>
      </c>
      <c r="D198" s="33" t="s">
        <v>53</v>
      </c>
      <c r="E198" s="34">
        <v>2006.0</v>
      </c>
      <c r="F198" s="33" t="s">
        <v>1154</v>
      </c>
      <c r="G198" s="33" t="s">
        <v>1155</v>
      </c>
      <c r="H198" s="45" t="s">
        <v>631</v>
      </c>
      <c r="I198" s="33"/>
      <c r="J198" s="33" t="s">
        <v>1156</v>
      </c>
      <c r="K198" s="34">
        <v>17.0</v>
      </c>
      <c r="L198" s="34">
        <v>3.0</v>
      </c>
      <c r="M198" s="6" t="s">
        <v>1157</v>
      </c>
      <c r="N198" s="35" t="s">
        <v>60</v>
      </c>
      <c r="O198" s="33" t="s">
        <v>1180</v>
      </c>
      <c r="P198" s="36" t="s">
        <v>62</v>
      </c>
      <c r="Q198" s="36" t="s">
        <v>167</v>
      </c>
      <c r="R198" s="36" t="s">
        <v>1179</v>
      </c>
      <c r="S198" s="37">
        <v>14.517108</v>
      </c>
      <c r="T198" s="37">
        <v>-92.118835</v>
      </c>
      <c r="U198" s="36" t="s">
        <v>1160</v>
      </c>
      <c r="V198" s="38" t="s">
        <v>66</v>
      </c>
      <c r="W198" s="6" t="s">
        <v>1073</v>
      </c>
      <c r="X198" s="3" t="s">
        <v>72</v>
      </c>
      <c r="Y198" s="33" t="s">
        <v>70</v>
      </c>
      <c r="Z198" s="36"/>
      <c r="AA198" s="37">
        <v>4.0</v>
      </c>
      <c r="AB198" s="36"/>
      <c r="AC198" s="36"/>
      <c r="AD198" s="36"/>
      <c r="AE198" s="36"/>
      <c r="AF198" s="36"/>
      <c r="AG198" s="36"/>
      <c r="AH198" s="38" t="s">
        <v>72</v>
      </c>
      <c r="AI198" s="37">
        <v>-4800.0</v>
      </c>
      <c r="AJ198" s="37">
        <v>1950.0</v>
      </c>
      <c r="AK198" s="6" t="s">
        <v>73</v>
      </c>
      <c r="AL198" s="6" t="s">
        <v>72</v>
      </c>
      <c r="AM198" s="33" t="s">
        <v>74</v>
      </c>
      <c r="AN198" s="6" t="s">
        <v>72</v>
      </c>
      <c r="AO198" s="33"/>
      <c r="AP198" s="6" t="s">
        <v>75</v>
      </c>
      <c r="AQ198" s="33"/>
      <c r="AR198" s="33"/>
      <c r="AS198" s="33"/>
      <c r="AT198" s="6" t="s">
        <v>60</v>
      </c>
      <c r="AU198" s="33"/>
      <c r="AV198" s="33"/>
      <c r="AW198" s="33"/>
      <c r="AX198" s="33"/>
      <c r="AY198" s="33"/>
      <c r="AZ198" s="6" t="s">
        <v>76</v>
      </c>
      <c r="BA198" s="33"/>
      <c r="BB198" s="33">
        <f>VLOOKUP(O198,Eco_DEM_Data!$D$1:$AC$643,20,False)</f>
        <v>1385</v>
      </c>
      <c r="BC198" s="33">
        <f>VLOOKUP($O198,Eco_DEM_Data!$D$1:$AC$643,20,False)</f>
        <v>1385</v>
      </c>
      <c r="BD198" s="33">
        <f>VLOOKUP($O198,Eco_DEM_Data!$D$1:$AC$643,25,False)</f>
        <v>691</v>
      </c>
      <c r="BE198" s="33">
        <f>VLOOKUP($O198,Eco_DEM_Data!$D$1:$AC$643,22,False)</f>
        <v>1</v>
      </c>
      <c r="BF198" s="33">
        <f>VLOOKUP($O198,Eco_DEM_Data!$D$1:$AC$643,23,False)</f>
        <v>11</v>
      </c>
      <c r="BG198" s="33">
        <f>VLOOKUP($O198,Eco_DEM_Data!$D$1:$AC$643,21,False)</f>
        <v>9569</v>
      </c>
      <c r="BH198" s="33">
        <f>VLOOKUP($O198,Eco_DEM_Data!$D$1:$AC$643,26,False)</f>
        <v>9</v>
      </c>
      <c r="BI198" s="33" t="str">
        <f>VLOOKUP($O198,Eco_DEM_Data!$D$1:$AC$643,9,False)</f>
        <v>Southern Mesoamerican Pacific mangroves</v>
      </c>
      <c r="BJ198" s="33" t="str">
        <f>VLOOKUP($O198,Eco_DEM_Data!$D$1:$AC$643,11,False)</f>
        <v>Mangroves</v>
      </c>
    </row>
    <row r="199">
      <c r="A199" s="33" t="s">
        <v>1153</v>
      </c>
      <c r="B199" s="33" t="s">
        <v>2259</v>
      </c>
      <c r="C199" s="34">
        <v>18.0</v>
      </c>
      <c r="D199" s="33" t="s">
        <v>53</v>
      </c>
      <c r="E199" s="34">
        <v>2006.0</v>
      </c>
      <c r="F199" s="33" t="s">
        <v>1154</v>
      </c>
      <c r="G199" s="33" t="s">
        <v>1155</v>
      </c>
      <c r="H199" s="45" t="s">
        <v>631</v>
      </c>
      <c r="I199" s="33"/>
      <c r="J199" s="33" t="s">
        <v>1156</v>
      </c>
      <c r="K199" s="34">
        <v>17.0</v>
      </c>
      <c r="L199" s="34">
        <v>3.0</v>
      </c>
      <c r="M199" s="6" t="s">
        <v>1157</v>
      </c>
      <c r="N199" s="35" t="s">
        <v>60</v>
      </c>
      <c r="O199" s="33" t="s">
        <v>1181</v>
      </c>
      <c r="P199" s="36" t="s">
        <v>62</v>
      </c>
      <c r="Q199" s="36" t="s">
        <v>167</v>
      </c>
      <c r="R199" s="36" t="s">
        <v>1166</v>
      </c>
      <c r="S199" s="37">
        <v>14.540503</v>
      </c>
      <c r="T199" s="37">
        <v>-92.188883</v>
      </c>
      <c r="U199" s="36" t="s">
        <v>1160</v>
      </c>
      <c r="V199" s="38" t="s">
        <v>66</v>
      </c>
      <c r="W199" s="6" t="s">
        <v>1073</v>
      </c>
      <c r="X199" s="3" t="s">
        <v>72</v>
      </c>
      <c r="Y199" s="33" t="s">
        <v>70</v>
      </c>
      <c r="Z199" s="36"/>
      <c r="AA199" s="37">
        <v>7.0</v>
      </c>
      <c r="AB199" s="36"/>
      <c r="AC199" s="36"/>
      <c r="AD199" s="36"/>
      <c r="AE199" s="36"/>
      <c r="AF199" s="36"/>
      <c r="AG199" s="36"/>
      <c r="AH199" s="38" t="s">
        <v>72</v>
      </c>
      <c r="AI199" s="37">
        <v>-3367.0</v>
      </c>
      <c r="AJ199" s="37">
        <v>1950.0</v>
      </c>
      <c r="AK199" s="6" t="s">
        <v>73</v>
      </c>
      <c r="AL199" s="6" t="s">
        <v>72</v>
      </c>
      <c r="AM199" s="33" t="s">
        <v>74</v>
      </c>
      <c r="AN199" s="6" t="s">
        <v>72</v>
      </c>
      <c r="AO199" s="33"/>
      <c r="AP199" s="6" t="s">
        <v>75</v>
      </c>
      <c r="AQ199" s="33"/>
      <c r="AR199" s="33"/>
      <c r="AS199" s="33"/>
      <c r="AT199" s="6" t="s">
        <v>60</v>
      </c>
      <c r="AU199" s="33"/>
      <c r="AV199" s="33"/>
      <c r="AW199" s="33"/>
      <c r="AX199" s="33"/>
      <c r="AY199" s="33"/>
      <c r="AZ199" s="6" t="s">
        <v>76</v>
      </c>
      <c r="BA199" s="33"/>
      <c r="BB199" s="33">
        <f>VLOOKUP(O199,Eco_DEM_Data!$D$1:$AC$643,20,False)</f>
        <v>1381</v>
      </c>
      <c r="BC199" s="33">
        <f>VLOOKUP($O199,Eco_DEM_Data!$D$1:$AC$643,20,False)</f>
        <v>1381</v>
      </c>
      <c r="BD199" s="33">
        <f>VLOOKUP($O199,Eco_DEM_Data!$D$1:$AC$643,25,False)</f>
        <v>693</v>
      </c>
      <c r="BE199" s="33">
        <f>VLOOKUP($O199,Eco_DEM_Data!$D$1:$AC$643,22,False)</f>
        <v>1</v>
      </c>
      <c r="BF199" s="33">
        <f>VLOOKUP($O199,Eco_DEM_Data!$D$1:$AC$643,23,False)</f>
        <v>10</v>
      </c>
      <c r="BG199" s="33">
        <f>VLOOKUP($O199,Eco_DEM_Data!$D$1:$AC$643,21,False)</f>
        <v>9500</v>
      </c>
      <c r="BH199" s="33">
        <f>VLOOKUP($O199,Eco_DEM_Data!$D$1:$AC$643,26,False)</f>
        <v>4</v>
      </c>
      <c r="BI199" s="33" t="str">
        <f>VLOOKUP($O199,Eco_DEM_Data!$D$1:$AC$643,9,False)</f>
        <v>Central American dry forests</v>
      </c>
      <c r="BJ199" s="33" t="str">
        <f>VLOOKUP($O199,Eco_DEM_Data!$D$1:$AC$643,11,False)</f>
        <v>Tropical &amp; Subtropical Dry Broadleaf Forests</v>
      </c>
    </row>
    <row r="200">
      <c r="A200" s="33" t="s">
        <v>1153</v>
      </c>
      <c r="B200" s="33" t="s">
        <v>2259</v>
      </c>
      <c r="C200" s="34">
        <v>18.0</v>
      </c>
      <c r="D200" s="33" t="s">
        <v>53</v>
      </c>
      <c r="E200" s="34">
        <v>2006.0</v>
      </c>
      <c r="F200" s="33" t="s">
        <v>1154</v>
      </c>
      <c r="G200" s="33" t="s">
        <v>1155</v>
      </c>
      <c r="H200" s="45" t="s">
        <v>631</v>
      </c>
      <c r="I200" s="33"/>
      <c r="J200" s="33" t="s">
        <v>1156</v>
      </c>
      <c r="K200" s="34">
        <v>17.0</v>
      </c>
      <c r="L200" s="34">
        <v>3.0</v>
      </c>
      <c r="M200" s="6" t="s">
        <v>1157</v>
      </c>
      <c r="N200" s="35" t="s">
        <v>60</v>
      </c>
      <c r="O200" s="33" t="s">
        <v>1182</v>
      </c>
      <c r="P200" s="36" t="s">
        <v>62</v>
      </c>
      <c r="Q200" s="36" t="s">
        <v>167</v>
      </c>
      <c r="R200" s="36" t="s">
        <v>1166</v>
      </c>
      <c r="S200" s="37">
        <v>14.538711</v>
      </c>
      <c r="T200" s="37">
        <v>-92.202276</v>
      </c>
      <c r="U200" s="36" t="s">
        <v>1160</v>
      </c>
      <c r="V200" s="38" t="s">
        <v>66</v>
      </c>
      <c r="W200" s="6" t="s">
        <v>1073</v>
      </c>
      <c r="X200" s="3" t="s">
        <v>72</v>
      </c>
      <c r="Y200" s="33" t="s">
        <v>70</v>
      </c>
      <c r="Z200" s="36"/>
      <c r="AA200" s="37">
        <v>6.0</v>
      </c>
      <c r="AB200" s="36"/>
      <c r="AC200" s="36"/>
      <c r="AD200" s="36"/>
      <c r="AE200" s="36"/>
      <c r="AF200" s="36"/>
      <c r="AG200" s="36"/>
      <c r="AH200" s="38" t="s">
        <v>72</v>
      </c>
      <c r="AI200" s="37">
        <v>-1030.0</v>
      </c>
      <c r="AJ200" s="37">
        <v>1950.0</v>
      </c>
      <c r="AK200" s="6" t="s">
        <v>73</v>
      </c>
      <c r="AL200" s="6" t="s">
        <v>72</v>
      </c>
      <c r="AM200" s="33" t="s">
        <v>74</v>
      </c>
      <c r="AN200" s="6" t="s">
        <v>72</v>
      </c>
      <c r="AO200" s="33"/>
      <c r="AP200" s="6" t="s">
        <v>75</v>
      </c>
      <c r="AQ200" s="33"/>
      <c r="AR200" s="33"/>
      <c r="AS200" s="33"/>
      <c r="AT200" s="6" t="s">
        <v>60</v>
      </c>
      <c r="AU200" s="33"/>
      <c r="AV200" s="33"/>
      <c r="AW200" s="33"/>
      <c r="AX200" s="33"/>
      <c r="AY200" s="33"/>
      <c r="AZ200" s="6" t="s">
        <v>76</v>
      </c>
      <c r="BA200" s="33"/>
      <c r="BB200" s="33">
        <f>VLOOKUP(O200,Eco_DEM_Data!$D$1:$AC$643,20,False)</f>
        <v>1385</v>
      </c>
      <c r="BC200" s="33">
        <f>VLOOKUP($O200,Eco_DEM_Data!$D$1:$AC$643,20,False)</f>
        <v>1385</v>
      </c>
      <c r="BD200" s="33">
        <f>VLOOKUP($O200,Eco_DEM_Data!$D$1:$AC$643,25,False)</f>
        <v>680</v>
      </c>
      <c r="BE200" s="33">
        <f>VLOOKUP($O200,Eco_DEM_Data!$D$1:$AC$643,22,False)</f>
        <v>2</v>
      </c>
      <c r="BF200" s="33">
        <f>VLOOKUP($O200,Eco_DEM_Data!$D$1:$AC$643,23,False)</f>
        <v>11</v>
      </c>
      <c r="BG200" s="33">
        <f>VLOOKUP($O200,Eco_DEM_Data!$D$1:$AC$643,21,False)</f>
        <v>9489</v>
      </c>
      <c r="BH200" s="33">
        <f>VLOOKUP($O200,Eco_DEM_Data!$D$1:$AC$643,26,False)</f>
        <v>2</v>
      </c>
      <c r="BI200" s="33" t="str">
        <f>VLOOKUP($O200,Eco_DEM_Data!$D$1:$AC$643,9,False)</f>
        <v>Southern Mesoamerican Pacific mangroves</v>
      </c>
      <c r="BJ200" s="33" t="str">
        <f>VLOOKUP($O200,Eco_DEM_Data!$D$1:$AC$643,11,False)</f>
        <v>Mangroves</v>
      </c>
    </row>
    <row r="201">
      <c r="A201" s="33" t="s">
        <v>1153</v>
      </c>
      <c r="B201" s="33" t="s">
        <v>2259</v>
      </c>
      <c r="C201" s="34">
        <v>18.0</v>
      </c>
      <c r="D201" s="33" t="s">
        <v>53</v>
      </c>
      <c r="E201" s="34">
        <v>2006.0</v>
      </c>
      <c r="F201" s="33" t="s">
        <v>1154</v>
      </c>
      <c r="G201" s="33" t="s">
        <v>1155</v>
      </c>
      <c r="H201" s="45" t="s">
        <v>631</v>
      </c>
      <c r="I201" s="33"/>
      <c r="J201" s="33" t="s">
        <v>1156</v>
      </c>
      <c r="K201" s="34">
        <v>17.0</v>
      </c>
      <c r="L201" s="34">
        <v>3.0</v>
      </c>
      <c r="M201" s="6" t="s">
        <v>1157</v>
      </c>
      <c r="N201" s="35" t="s">
        <v>60</v>
      </c>
      <c r="O201" s="33" t="s">
        <v>1193</v>
      </c>
      <c r="P201" s="36" t="s">
        <v>62</v>
      </c>
      <c r="Q201" s="36" t="s">
        <v>167</v>
      </c>
      <c r="R201" s="36" t="s">
        <v>1159</v>
      </c>
      <c r="S201" s="37">
        <v>13.941022</v>
      </c>
      <c r="T201" s="37">
        <v>-90.629732</v>
      </c>
      <c r="U201" s="36" t="s">
        <v>1160</v>
      </c>
      <c r="V201" s="38" t="s">
        <v>66</v>
      </c>
      <c r="W201" s="6" t="s">
        <v>1073</v>
      </c>
      <c r="X201" s="3" t="s">
        <v>72</v>
      </c>
      <c r="Y201" s="33" t="s">
        <v>70</v>
      </c>
      <c r="Z201" s="36"/>
      <c r="AA201" s="37">
        <v>8.0</v>
      </c>
      <c r="AB201" s="36"/>
      <c r="AC201" s="36"/>
      <c r="AD201" s="36"/>
      <c r="AE201" s="36"/>
      <c r="AF201" s="36"/>
      <c r="AG201" s="36"/>
      <c r="AH201" s="38" t="s">
        <v>72</v>
      </c>
      <c r="AI201" s="37">
        <v>-3800.0</v>
      </c>
      <c r="AJ201" s="37">
        <v>-2000.0</v>
      </c>
      <c r="AK201" s="6" t="s">
        <v>73</v>
      </c>
      <c r="AL201" s="6" t="s">
        <v>72</v>
      </c>
      <c r="AM201" s="33" t="s">
        <v>74</v>
      </c>
      <c r="AN201" s="6" t="s">
        <v>72</v>
      </c>
      <c r="AO201" s="33"/>
      <c r="AP201" s="6" t="s">
        <v>75</v>
      </c>
      <c r="AQ201" s="33"/>
      <c r="AR201" s="33"/>
      <c r="AS201" s="33"/>
      <c r="AT201" s="6" t="s">
        <v>60</v>
      </c>
      <c r="AU201" s="33"/>
      <c r="AV201" s="33"/>
      <c r="AW201" s="33"/>
      <c r="AX201" s="33"/>
      <c r="AY201" s="33"/>
      <c r="AZ201" s="6" t="s">
        <v>76</v>
      </c>
      <c r="BA201" s="33"/>
      <c r="BB201" s="33">
        <f>VLOOKUP(O201,Eco_DEM_Data!$D$1:$AC$643,20,False)</f>
        <v>1707</v>
      </c>
      <c r="BC201" s="33">
        <f>VLOOKUP($O201,Eco_DEM_Data!$D$1:$AC$643,20,False)</f>
        <v>1707</v>
      </c>
      <c r="BD201" s="33">
        <f>VLOOKUP($O201,Eco_DEM_Data!$D$1:$AC$643,25,False)</f>
        <v>819</v>
      </c>
      <c r="BE201" s="33">
        <f>VLOOKUP($O201,Eco_DEM_Data!$D$1:$AC$643,22,False)</f>
        <v>2</v>
      </c>
      <c r="BF201" s="33">
        <f>VLOOKUP($O201,Eco_DEM_Data!$D$1:$AC$643,23,False)</f>
        <v>12</v>
      </c>
      <c r="BG201" s="33">
        <f>VLOOKUP($O201,Eco_DEM_Data!$D$1:$AC$643,21,False)</f>
        <v>9271</v>
      </c>
      <c r="BH201" s="33">
        <f>VLOOKUP($O201,Eco_DEM_Data!$D$1:$AC$643,26,False)</f>
        <v>7</v>
      </c>
      <c r="BI201" s="33" t="str">
        <f>VLOOKUP($O201,Eco_DEM_Data!$D$1:$AC$643,9,False)</f>
        <v>Southern Mesoamerican Pacific mangroves</v>
      </c>
      <c r="BJ201" s="33" t="str">
        <f>VLOOKUP($O201,Eco_DEM_Data!$D$1:$AC$643,11,False)</f>
        <v>Mangroves</v>
      </c>
    </row>
    <row r="202">
      <c r="A202" s="33" t="s">
        <v>1153</v>
      </c>
      <c r="B202" s="33" t="s">
        <v>2259</v>
      </c>
      <c r="C202" s="34">
        <v>18.0</v>
      </c>
      <c r="D202" s="33" t="s">
        <v>53</v>
      </c>
      <c r="E202" s="34">
        <v>2006.0</v>
      </c>
      <c r="F202" s="33" t="s">
        <v>1154</v>
      </c>
      <c r="G202" s="33" t="s">
        <v>1155</v>
      </c>
      <c r="H202" s="45" t="s">
        <v>631</v>
      </c>
      <c r="I202" s="33"/>
      <c r="J202" s="33" t="s">
        <v>1156</v>
      </c>
      <c r="K202" s="34">
        <v>17.0</v>
      </c>
      <c r="L202" s="34">
        <v>3.0</v>
      </c>
      <c r="M202" s="6" t="s">
        <v>1157</v>
      </c>
      <c r="N202" s="35" t="s">
        <v>60</v>
      </c>
      <c r="O202" s="33" t="s">
        <v>1194</v>
      </c>
      <c r="P202" s="36" t="s">
        <v>62</v>
      </c>
      <c r="Q202" s="36" t="s">
        <v>167</v>
      </c>
      <c r="R202" s="36" t="s">
        <v>1159</v>
      </c>
      <c r="S202" s="37">
        <v>13.941022</v>
      </c>
      <c r="T202" s="37">
        <v>-90.629732</v>
      </c>
      <c r="U202" s="36" t="s">
        <v>1160</v>
      </c>
      <c r="V202" s="38" t="s">
        <v>66</v>
      </c>
      <c r="W202" s="6" t="s">
        <v>1073</v>
      </c>
      <c r="X202" s="3" t="s">
        <v>72</v>
      </c>
      <c r="Y202" s="33" t="s">
        <v>70</v>
      </c>
      <c r="Z202" s="36"/>
      <c r="AA202" s="37">
        <v>6.0</v>
      </c>
      <c r="AB202" s="36"/>
      <c r="AC202" s="36"/>
      <c r="AD202" s="36"/>
      <c r="AE202" s="36"/>
      <c r="AF202" s="36"/>
      <c r="AG202" s="36"/>
      <c r="AH202" s="38" t="s">
        <v>72</v>
      </c>
      <c r="AI202" s="37">
        <v>-3600.0</v>
      </c>
      <c r="AJ202" s="37">
        <v>1805.0</v>
      </c>
      <c r="AK202" s="6" t="s">
        <v>73</v>
      </c>
      <c r="AL202" s="6" t="s">
        <v>72</v>
      </c>
      <c r="AM202" s="33" t="s">
        <v>74</v>
      </c>
      <c r="AN202" s="6" t="s">
        <v>72</v>
      </c>
      <c r="AO202" s="33"/>
      <c r="AP202" s="6" t="s">
        <v>75</v>
      </c>
      <c r="AQ202" s="33"/>
      <c r="AR202" s="33"/>
      <c r="AS202" s="33"/>
      <c r="AT202" s="6" t="s">
        <v>60</v>
      </c>
      <c r="AU202" s="33"/>
      <c r="AV202" s="33"/>
      <c r="AW202" s="33"/>
      <c r="AX202" s="33"/>
      <c r="AY202" s="33"/>
      <c r="AZ202" s="6" t="s">
        <v>76</v>
      </c>
      <c r="BA202" s="33"/>
      <c r="BB202" s="33">
        <f>VLOOKUP(O202,Eco_DEM_Data!$D$1:$AC$643,20,False)</f>
        <v>1707</v>
      </c>
      <c r="BC202" s="33">
        <f>VLOOKUP($O202,Eco_DEM_Data!$D$1:$AC$643,20,False)</f>
        <v>1707</v>
      </c>
      <c r="BD202" s="33">
        <f>VLOOKUP($O202,Eco_DEM_Data!$D$1:$AC$643,25,False)</f>
        <v>819</v>
      </c>
      <c r="BE202" s="33">
        <f>VLOOKUP($O202,Eco_DEM_Data!$D$1:$AC$643,22,False)</f>
        <v>2</v>
      </c>
      <c r="BF202" s="33">
        <f>VLOOKUP($O202,Eco_DEM_Data!$D$1:$AC$643,23,False)</f>
        <v>12</v>
      </c>
      <c r="BG202" s="33">
        <f>VLOOKUP($O202,Eco_DEM_Data!$D$1:$AC$643,21,False)</f>
        <v>9271</v>
      </c>
      <c r="BH202" s="33">
        <f>VLOOKUP($O202,Eco_DEM_Data!$D$1:$AC$643,26,False)</f>
        <v>7</v>
      </c>
      <c r="BI202" s="33" t="str">
        <f>VLOOKUP($O202,Eco_DEM_Data!$D$1:$AC$643,9,False)</f>
        <v>Southern Mesoamerican Pacific mangroves</v>
      </c>
      <c r="BJ202" s="33" t="str">
        <f>VLOOKUP($O202,Eco_DEM_Data!$D$1:$AC$643,11,False)</f>
        <v>Mangroves</v>
      </c>
    </row>
    <row r="203">
      <c r="A203" s="33" t="s">
        <v>1153</v>
      </c>
      <c r="B203" s="33" t="s">
        <v>2259</v>
      </c>
      <c r="C203" s="34">
        <v>18.0</v>
      </c>
      <c r="D203" s="33" t="s">
        <v>53</v>
      </c>
      <c r="E203" s="34">
        <v>2006.0</v>
      </c>
      <c r="F203" s="33" t="s">
        <v>1154</v>
      </c>
      <c r="G203" s="33" t="s">
        <v>1155</v>
      </c>
      <c r="H203" s="45" t="s">
        <v>631</v>
      </c>
      <c r="I203" s="33"/>
      <c r="J203" s="33" t="s">
        <v>1156</v>
      </c>
      <c r="K203" s="34">
        <v>17.0</v>
      </c>
      <c r="L203" s="34">
        <v>3.0</v>
      </c>
      <c r="M203" s="6" t="s">
        <v>1157</v>
      </c>
      <c r="N203" s="35" t="s">
        <v>60</v>
      </c>
      <c r="O203" s="33" t="s">
        <v>1195</v>
      </c>
      <c r="P203" s="36" t="s">
        <v>62</v>
      </c>
      <c r="Q203" s="36" t="s">
        <v>167</v>
      </c>
      <c r="R203" s="36" t="s">
        <v>1159</v>
      </c>
      <c r="S203" s="37">
        <v>13.941022</v>
      </c>
      <c r="T203" s="37">
        <v>-90.629732</v>
      </c>
      <c r="U203" s="36" t="s">
        <v>1160</v>
      </c>
      <c r="V203" s="38" t="s">
        <v>66</v>
      </c>
      <c r="W203" s="6" t="s">
        <v>1073</v>
      </c>
      <c r="X203" s="3" t="s">
        <v>72</v>
      </c>
      <c r="Y203" s="33" t="s">
        <v>70</v>
      </c>
      <c r="Z203" s="36"/>
      <c r="AA203" s="37">
        <v>5.0</v>
      </c>
      <c r="AB203" s="36"/>
      <c r="AC203" s="36"/>
      <c r="AD203" s="36"/>
      <c r="AE203" s="36"/>
      <c r="AF203" s="36"/>
      <c r="AG203" s="36"/>
      <c r="AH203" s="38" t="s">
        <v>72</v>
      </c>
      <c r="AI203" s="37">
        <v>-1998.0</v>
      </c>
      <c r="AJ203" s="37">
        <v>-1000.0</v>
      </c>
      <c r="AK203" s="6" t="s">
        <v>73</v>
      </c>
      <c r="AL203" s="6" t="s">
        <v>72</v>
      </c>
      <c r="AM203" s="33" t="s">
        <v>74</v>
      </c>
      <c r="AN203" s="6" t="s">
        <v>72</v>
      </c>
      <c r="AO203" s="33"/>
      <c r="AP203" s="6" t="s">
        <v>75</v>
      </c>
      <c r="AQ203" s="33"/>
      <c r="AR203" s="33"/>
      <c r="AS203" s="33"/>
      <c r="AT203" s="6" t="s">
        <v>60</v>
      </c>
      <c r="AU203" s="33"/>
      <c r="AV203" s="33"/>
      <c r="AW203" s="33"/>
      <c r="AX203" s="33"/>
      <c r="AY203" s="33"/>
      <c r="AZ203" s="6" t="s">
        <v>76</v>
      </c>
      <c r="BA203" s="33"/>
      <c r="BB203" s="33">
        <f>VLOOKUP(O203,Eco_DEM_Data!$D$1:$AC$643,20,False)</f>
        <v>1707</v>
      </c>
      <c r="BC203" s="33">
        <f>VLOOKUP($O203,Eco_DEM_Data!$D$1:$AC$643,20,False)</f>
        <v>1707</v>
      </c>
      <c r="BD203" s="33">
        <f>VLOOKUP($O203,Eco_DEM_Data!$D$1:$AC$643,25,False)</f>
        <v>819</v>
      </c>
      <c r="BE203" s="33">
        <f>VLOOKUP($O203,Eco_DEM_Data!$D$1:$AC$643,22,False)</f>
        <v>2</v>
      </c>
      <c r="BF203" s="33">
        <f>VLOOKUP($O203,Eco_DEM_Data!$D$1:$AC$643,23,False)</f>
        <v>12</v>
      </c>
      <c r="BG203" s="33">
        <f>VLOOKUP($O203,Eco_DEM_Data!$D$1:$AC$643,21,False)</f>
        <v>9271</v>
      </c>
      <c r="BH203" s="33">
        <f>VLOOKUP($O203,Eco_DEM_Data!$D$1:$AC$643,26,False)</f>
        <v>7</v>
      </c>
      <c r="BI203" s="33" t="str">
        <f>VLOOKUP($O203,Eco_DEM_Data!$D$1:$AC$643,9,False)</f>
        <v>Southern Mesoamerican Pacific mangroves</v>
      </c>
      <c r="BJ203" s="33" t="str">
        <f>VLOOKUP($O203,Eco_DEM_Data!$D$1:$AC$643,11,False)</f>
        <v>Mangroves</v>
      </c>
    </row>
    <row r="204">
      <c r="A204" s="33" t="s">
        <v>1153</v>
      </c>
      <c r="B204" s="33" t="s">
        <v>2259</v>
      </c>
      <c r="C204" s="34">
        <v>18.0</v>
      </c>
      <c r="D204" s="33" t="s">
        <v>53</v>
      </c>
      <c r="E204" s="34">
        <v>2006.0</v>
      </c>
      <c r="F204" s="33" t="s">
        <v>1154</v>
      </c>
      <c r="G204" s="33" t="s">
        <v>1155</v>
      </c>
      <c r="H204" s="45" t="s">
        <v>631</v>
      </c>
      <c r="I204" s="33"/>
      <c r="J204" s="33" t="s">
        <v>1156</v>
      </c>
      <c r="K204" s="34">
        <v>17.0</v>
      </c>
      <c r="L204" s="34">
        <v>3.0</v>
      </c>
      <c r="M204" s="6" t="s">
        <v>1157</v>
      </c>
      <c r="N204" s="35" t="s">
        <v>60</v>
      </c>
      <c r="O204" s="33" t="s">
        <v>1196</v>
      </c>
      <c r="P204" s="36" t="s">
        <v>62</v>
      </c>
      <c r="Q204" s="36" t="s">
        <v>167</v>
      </c>
      <c r="R204" s="36" t="s">
        <v>1179</v>
      </c>
      <c r="S204" s="37">
        <v>14.517108</v>
      </c>
      <c r="T204" s="37">
        <v>-92.118835</v>
      </c>
      <c r="U204" s="36" t="s">
        <v>1160</v>
      </c>
      <c r="V204" s="38" t="s">
        <v>293</v>
      </c>
      <c r="W204" s="6" t="s">
        <v>1073</v>
      </c>
      <c r="X204" s="3" t="s">
        <v>72</v>
      </c>
      <c r="Y204" s="33" t="s">
        <v>70</v>
      </c>
      <c r="Z204" s="36"/>
      <c r="AA204" s="37">
        <v>4.0</v>
      </c>
      <c r="AB204" s="36"/>
      <c r="AC204" s="36"/>
      <c r="AD204" s="36"/>
      <c r="AE204" s="36"/>
      <c r="AF204" s="36"/>
      <c r="AG204" s="36"/>
      <c r="AH204" s="38" t="s">
        <v>72</v>
      </c>
      <c r="AI204" s="37">
        <v>-4800.0</v>
      </c>
      <c r="AJ204" s="37">
        <v>1950.0</v>
      </c>
      <c r="AK204" s="6" t="s">
        <v>73</v>
      </c>
      <c r="AL204" s="6" t="s">
        <v>72</v>
      </c>
      <c r="AM204" s="33" t="s">
        <v>74</v>
      </c>
      <c r="AN204" s="6" t="s">
        <v>72</v>
      </c>
      <c r="AO204" s="33"/>
      <c r="AP204" s="6" t="s">
        <v>75</v>
      </c>
      <c r="AQ204" s="33"/>
      <c r="AR204" s="33"/>
      <c r="AS204" s="33"/>
      <c r="AT204" s="6" t="s">
        <v>76</v>
      </c>
      <c r="AU204" s="33"/>
      <c r="AV204" s="33"/>
      <c r="AW204" s="33"/>
      <c r="AX204" s="33"/>
      <c r="AY204" s="33"/>
      <c r="AZ204" s="6" t="s">
        <v>76</v>
      </c>
      <c r="BA204" s="33"/>
      <c r="BB204" s="33">
        <f>VLOOKUP(O204,Eco_DEM_Data!$D$1:$AC$643,20,False)</f>
        <v>1385</v>
      </c>
      <c r="BC204" s="33">
        <f>VLOOKUP($O204,Eco_DEM_Data!$D$1:$AC$643,20,False)</f>
        <v>1385</v>
      </c>
      <c r="BD204" s="33">
        <f>VLOOKUP($O204,Eco_DEM_Data!$D$1:$AC$643,25,False)</f>
        <v>691</v>
      </c>
      <c r="BE204" s="33">
        <f>VLOOKUP($O204,Eco_DEM_Data!$D$1:$AC$643,22,False)</f>
        <v>1</v>
      </c>
      <c r="BF204" s="33">
        <f>VLOOKUP($O204,Eco_DEM_Data!$D$1:$AC$643,23,False)</f>
        <v>11</v>
      </c>
      <c r="BG204" s="33">
        <f>VLOOKUP($O204,Eco_DEM_Data!$D$1:$AC$643,21,False)</f>
        <v>9569</v>
      </c>
      <c r="BH204" s="33">
        <f>VLOOKUP($O204,Eco_DEM_Data!$D$1:$AC$643,26,False)</f>
        <v>9</v>
      </c>
      <c r="BI204" s="33" t="str">
        <f>VLOOKUP($O204,Eco_DEM_Data!$D$1:$AC$643,9,False)</f>
        <v>Southern Mesoamerican Pacific mangroves</v>
      </c>
      <c r="BJ204" s="33" t="str">
        <f>VLOOKUP($O204,Eco_DEM_Data!$D$1:$AC$643,11,False)</f>
        <v>Mangroves</v>
      </c>
    </row>
    <row r="205">
      <c r="A205" s="33" t="s">
        <v>1153</v>
      </c>
      <c r="B205" s="33" t="s">
        <v>2259</v>
      </c>
      <c r="C205" s="34">
        <v>18.0</v>
      </c>
      <c r="D205" s="33" t="s">
        <v>53</v>
      </c>
      <c r="E205" s="34">
        <v>2006.0</v>
      </c>
      <c r="F205" s="33" t="s">
        <v>1154</v>
      </c>
      <c r="G205" s="33" t="s">
        <v>1155</v>
      </c>
      <c r="H205" s="45" t="s">
        <v>631</v>
      </c>
      <c r="I205" s="33"/>
      <c r="J205" s="33" t="s">
        <v>1156</v>
      </c>
      <c r="K205" s="34">
        <v>17.0</v>
      </c>
      <c r="L205" s="34">
        <v>3.0</v>
      </c>
      <c r="M205" s="6" t="s">
        <v>1157</v>
      </c>
      <c r="N205" s="35" t="s">
        <v>60</v>
      </c>
      <c r="O205" s="33" t="s">
        <v>1197</v>
      </c>
      <c r="P205" s="36" t="s">
        <v>62</v>
      </c>
      <c r="Q205" s="36" t="s">
        <v>167</v>
      </c>
      <c r="R205" s="36" t="s">
        <v>1166</v>
      </c>
      <c r="S205" s="37">
        <v>14.540503</v>
      </c>
      <c r="T205" s="37">
        <v>-92.188883</v>
      </c>
      <c r="U205" s="36" t="s">
        <v>1160</v>
      </c>
      <c r="V205" s="38" t="s">
        <v>293</v>
      </c>
      <c r="W205" s="6" t="s">
        <v>1073</v>
      </c>
      <c r="X205" s="3" t="s">
        <v>72</v>
      </c>
      <c r="Y205" s="33" t="s">
        <v>70</v>
      </c>
      <c r="Z205" s="36"/>
      <c r="AA205" s="37">
        <v>7.0</v>
      </c>
      <c r="AB205" s="36"/>
      <c r="AC205" s="36"/>
      <c r="AD205" s="36"/>
      <c r="AE205" s="36"/>
      <c r="AF205" s="36"/>
      <c r="AG205" s="36"/>
      <c r="AH205" s="38" t="s">
        <v>72</v>
      </c>
      <c r="AI205" s="37">
        <v>-3367.0</v>
      </c>
      <c r="AJ205" s="37">
        <v>1950.0</v>
      </c>
      <c r="AK205" s="6" t="s">
        <v>73</v>
      </c>
      <c r="AL205" s="6" t="s">
        <v>72</v>
      </c>
      <c r="AM205" s="33" t="s">
        <v>74</v>
      </c>
      <c r="AN205" s="6" t="s">
        <v>72</v>
      </c>
      <c r="AO205" s="33"/>
      <c r="AP205" s="6" t="s">
        <v>75</v>
      </c>
      <c r="AQ205" s="33"/>
      <c r="AR205" s="33"/>
      <c r="AS205" s="33"/>
      <c r="AT205" s="6" t="s">
        <v>76</v>
      </c>
      <c r="AU205" s="33"/>
      <c r="AV205" s="33"/>
      <c r="AW205" s="33"/>
      <c r="AX205" s="33"/>
      <c r="AY205" s="33"/>
      <c r="AZ205" s="6" t="s">
        <v>76</v>
      </c>
      <c r="BA205" s="33"/>
      <c r="BB205" s="33">
        <f>VLOOKUP(O205,Eco_DEM_Data!$D$1:$AC$643,20,False)</f>
        <v>1381</v>
      </c>
      <c r="BC205" s="33">
        <f>VLOOKUP($O205,Eco_DEM_Data!$D$1:$AC$643,20,False)</f>
        <v>1381</v>
      </c>
      <c r="BD205" s="33">
        <f>VLOOKUP($O205,Eco_DEM_Data!$D$1:$AC$643,25,False)</f>
        <v>693</v>
      </c>
      <c r="BE205" s="33">
        <f>VLOOKUP($O205,Eco_DEM_Data!$D$1:$AC$643,22,False)</f>
        <v>1</v>
      </c>
      <c r="BF205" s="33">
        <f>VLOOKUP($O205,Eco_DEM_Data!$D$1:$AC$643,23,False)</f>
        <v>10</v>
      </c>
      <c r="BG205" s="33">
        <f>VLOOKUP($O205,Eco_DEM_Data!$D$1:$AC$643,21,False)</f>
        <v>9500</v>
      </c>
      <c r="BH205" s="33">
        <f>VLOOKUP($O205,Eco_DEM_Data!$D$1:$AC$643,26,False)</f>
        <v>4</v>
      </c>
      <c r="BI205" s="33" t="str">
        <f>VLOOKUP($O205,Eco_DEM_Data!$D$1:$AC$643,9,False)</f>
        <v>Central American dry forests</v>
      </c>
      <c r="BJ205" s="33" t="str">
        <f>VLOOKUP($O205,Eco_DEM_Data!$D$1:$AC$643,11,False)</f>
        <v>Tropical &amp; Subtropical Dry Broadleaf Forests</v>
      </c>
    </row>
    <row r="206">
      <c r="A206" s="33" t="s">
        <v>1153</v>
      </c>
      <c r="B206" s="33" t="s">
        <v>2259</v>
      </c>
      <c r="C206" s="34">
        <v>18.0</v>
      </c>
      <c r="D206" s="33" t="s">
        <v>53</v>
      </c>
      <c r="E206" s="34">
        <v>2006.0</v>
      </c>
      <c r="F206" s="33" t="s">
        <v>1154</v>
      </c>
      <c r="G206" s="33" t="s">
        <v>1155</v>
      </c>
      <c r="H206" s="45" t="s">
        <v>631</v>
      </c>
      <c r="I206" s="33"/>
      <c r="J206" s="33" t="s">
        <v>1156</v>
      </c>
      <c r="K206" s="34">
        <v>17.0</v>
      </c>
      <c r="L206" s="34">
        <v>3.0</v>
      </c>
      <c r="M206" s="6" t="s">
        <v>1157</v>
      </c>
      <c r="N206" s="35" t="s">
        <v>60</v>
      </c>
      <c r="O206" s="33" t="s">
        <v>1199</v>
      </c>
      <c r="P206" s="36" t="s">
        <v>62</v>
      </c>
      <c r="Q206" s="36" t="s">
        <v>167</v>
      </c>
      <c r="R206" s="36" t="s">
        <v>1166</v>
      </c>
      <c r="S206" s="37">
        <v>14.538711</v>
      </c>
      <c r="T206" s="37">
        <v>-92.202276</v>
      </c>
      <c r="U206" s="36" t="s">
        <v>1160</v>
      </c>
      <c r="V206" s="38" t="s">
        <v>293</v>
      </c>
      <c r="W206" s="6" t="s">
        <v>1073</v>
      </c>
      <c r="X206" s="3" t="s">
        <v>72</v>
      </c>
      <c r="Y206" s="33" t="s">
        <v>70</v>
      </c>
      <c r="Z206" s="36"/>
      <c r="AA206" s="37">
        <v>6.0</v>
      </c>
      <c r="AB206" s="36"/>
      <c r="AC206" s="36"/>
      <c r="AD206" s="36"/>
      <c r="AE206" s="36"/>
      <c r="AF206" s="36"/>
      <c r="AG206" s="36"/>
      <c r="AH206" s="38" t="s">
        <v>72</v>
      </c>
      <c r="AI206" s="37">
        <v>-1030.0</v>
      </c>
      <c r="AJ206" s="37">
        <v>1950.0</v>
      </c>
      <c r="AK206" s="6" t="s">
        <v>73</v>
      </c>
      <c r="AL206" s="6" t="s">
        <v>72</v>
      </c>
      <c r="AM206" s="33" t="s">
        <v>74</v>
      </c>
      <c r="AN206" s="6" t="s">
        <v>72</v>
      </c>
      <c r="AO206" s="33"/>
      <c r="AP206" s="6" t="s">
        <v>75</v>
      </c>
      <c r="AQ206" s="33"/>
      <c r="AR206" s="33"/>
      <c r="AS206" s="33"/>
      <c r="AT206" s="6" t="s">
        <v>76</v>
      </c>
      <c r="AU206" s="33"/>
      <c r="AV206" s="33"/>
      <c r="AW206" s="33"/>
      <c r="AX206" s="33"/>
      <c r="AY206" s="33"/>
      <c r="AZ206" s="6" t="s">
        <v>76</v>
      </c>
      <c r="BA206" s="33"/>
      <c r="BB206" s="33">
        <f>VLOOKUP(O206,Eco_DEM_Data!$D$1:$AC$643,20,False)</f>
        <v>1385</v>
      </c>
      <c r="BC206" s="33">
        <f>VLOOKUP($O206,Eco_DEM_Data!$D$1:$AC$643,20,False)</f>
        <v>1385</v>
      </c>
      <c r="BD206" s="33">
        <f>VLOOKUP($O206,Eco_DEM_Data!$D$1:$AC$643,25,False)</f>
        <v>680</v>
      </c>
      <c r="BE206" s="33">
        <f>VLOOKUP($O206,Eco_DEM_Data!$D$1:$AC$643,22,False)</f>
        <v>2</v>
      </c>
      <c r="BF206" s="33">
        <f>VLOOKUP($O206,Eco_DEM_Data!$D$1:$AC$643,23,False)</f>
        <v>11</v>
      </c>
      <c r="BG206" s="33">
        <f>VLOOKUP($O206,Eco_DEM_Data!$D$1:$AC$643,21,False)</f>
        <v>9489</v>
      </c>
      <c r="BH206" s="33">
        <f>VLOOKUP($O206,Eco_DEM_Data!$D$1:$AC$643,26,False)</f>
        <v>2</v>
      </c>
      <c r="BI206" s="33" t="str">
        <f>VLOOKUP($O206,Eco_DEM_Data!$D$1:$AC$643,9,False)</f>
        <v>Southern Mesoamerican Pacific mangroves</v>
      </c>
      <c r="BJ206" s="33" t="str">
        <f>VLOOKUP($O206,Eco_DEM_Data!$D$1:$AC$643,11,False)</f>
        <v>Mangroves</v>
      </c>
    </row>
    <row r="207">
      <c r="A207" s="33" t="s">
        <v>1153</v>
      </c>
      <c r="B207" s="33" t="s">
        <v>2259</v>
      </c>
      <c r="C207" s="34">
        <v>18.0</v>
      </c>
      <c r="D207" s="33" t="s">
        <v>53</v>
      </c>
      <c r="E207" s="34">
        <v>2006.0</v>
      </c>
      <c r="F207" s="33" t="s">
        <v>1154</v>
      </c>
      <c r="G207" s="33" t="s">
        <v>1155</v>
      </c>
      <c r="H207" s="45" t="s">
        <v>631</v>
      </c>
      <c r="I207" s="33"/>
      <c r="J207" s="33" t="s">
        <v>1156</v>
      </c>
      <c r="K207" s="34">
        <v>17.0</v>
      </c>
      <c r="L207" s="34">
        <v>3.0</v>
      </c>
      <c r="M207" s="6" t="s">
        <v>1157</v>
      </c>
      <c r="N207" s="35" t="s">
        <v>60</v>
      </c>
      <c r="O207" s="33" t="s">
        <v>1210</v>
      </c>
      <c r="P207" s="36" t="s">
        <v>62</v>
      </c>
      <c r="Q207" s="36" t="s">
        <v>167</v>
      </c>
      <c r="R207" s="36" t="s">
        <v>1159</v>
      </c>
      <c r="S207" s="37">
        <v>13.941022</v>
      </c>
      <c r="T207" s="37">
        <v>-90.629732</v>
      </c>
      <c r="U207" s="36" t="s">
        <v>1160</v>
      </c>
      <c r="V207" s="38" t="s">
        <v>293</v>
      </c>
      <c r="W207" s="6" t="s">
        <v>1073</v>
      </c>
      <c r="X207" s="3" t="s">
        <v>72</v>
      </c>
      <c r="Y207" s="33" t="s">
        <v>70</v>
      </c>
      <c r="Z207" s="36"/>
      <c r="AA207" s="37">
        <v>8.0</v>
      </c>
      <c r="AB207" s="36"/>
      <c r="AC207" s="36"/>
      <c r="AD207" s="36"/>
      <c r="AE207" s="36"/>
      <c r="AF207" s="36"/>
      <c r="AG207" s="36"/>
      <c r="AH207" s="38" t="s">
        <v>72</v>
      </c>
      <c r="AI207" s="37">
        <v>-3800.0</v>
      </c>
      <c r="AJ207" s="37">
        <v>-2000.0</v>
      </c>
      <c r="AK207" s="6" t="s">
        <v>73</v>
      </c>
      <c r="AL207" s="6" t="s">
        <v>72</v>
      </c>
      <c r="AM207" s="33" t="s">
        <v>74</v>
      </c>
      <c r="AN207" s="6" t="s">
        <v>72</v>
      </c>
      <c r="AO207" s="33"/>
      <c r="AP207" s="6" t="s">
        <v>75</v>
      </c>
      <c r="AQ207" s="33"/>
      <c r="AR207" s="33"/>
      <c r="AS207" s="33"/>
      <c r="AT207" s="6" t="s">
        <v>76</v>
      </c>
      <c r="AU207" s="33"/>
      <c r="AV207" s="33"/>
      <c r="AW207" s="33"/>
      <c r="AX207" s="33"/>
      <c r="AY207" s="33"/>
      <c r="AZ207" s="6" t="s">
        <v>76</v>
      </c>
      <c r="BA207" s="33"/>
      <c r="BB207" s="33">
        <f>VLOOKUP(O207,Eco_DEM_Data!$D$1:$AC$643,20,False)</f>
        <v>1707</v>
      </c>
      <c r="BC207" s="33">
        <f>VLOOKUP($O207,Eco_DEM_Data!$D$1:$AC$643,20,False)</f>
        <v>1707</v>
      </c>
      <c r="BD207" s="33">
        <f>VLOOKUP($O207,Eco_DEM_Data!$D$1:$AC$643,25,False)</f>
        <v>819</v>
      </c>
      <c r="BE207" s="33">
        <f>VLOOKUP($O207,Eco_DEM_Data!$D$1:$AC$643,22,False)</f>
        <v>2</v>
      </c>
      <c r="BF207" s="33">
        <f>VLOOKUP($O207,Eco_DEM_Data!$D$1:$AC$643,23,False)</f>
        <v>12</v>
      </c>
      <c r="BG207" s="33">
        <f>VLOOKUP($O207,Eco_DEM_Data!$D$1:$AC$643,21,False)</f>
        <v>9271</v>
      </c>
      <c r="BH207" s="33">
        <f>VLOOKUP($O207,Eco_DEM_Data!$D$1:$AC$643,26,False)</f>
        <v>7</v>
      </c>
      <c r="BI207" s="33" t="str">
        <f>VLOOKUP($O207,Eco_DEM_Data!$D$1:$AC$643,9,False)</f>
        <v>Southern Mesoamerican Pacific mangroves</v>
      </c>
      <c r="BJ207" s="33" t="str">
        <f>VLOOKUP($O207,Eco_DEM_Data!$D$1:$AC$643,11,False)</f>
        <v>Mangroves</v>
      </c>
    </row>
    <row r="208">
      <c r="A208" s="33" t="s">
        <v>1153</v>
      </c>
      <c r="B208" s="33" t="s">
        <v>2259</v>
      </c>
      <c r="C208" s="34">
        <v>18.0</v>
      </c>
      <c r="D208" s="33" t="s">
        <v>53</v>
      </c>
      <c r="E208" s="34">
        <v>2006.0</v>
      </c>
      <c r="F208" s="33" t="s">
        <v>1154</v>
      </c>
      <c r="G208" s="33" t="s">
        <v>1155</v>
      </c>
      <c r="H208" s="45" t="s">
        <v>631</v>
      </c>
      <c r="I208" s="33"/>
      <c r="J208" s="33" t="s">
        <v>1156</v>
      </c>
      <c r="K208" s="34">
        <v>17.0</v>
      </c>
      <c r="L208" s="34">
        <v>3.0</v>
      </c>
      <c r="M208" s="6" t="s">
        <v>1157</v>
      </c>
      <c r="N208" s="35" t="s">
        <v>60</v>
      </c>
      <c r="O208" s="33" t="s">
        <v>1211</v>
      </c>
      <c r="P208" s="36" t="s">
        <v>62</v>
      </c>
      <c r="Q208" s="36" t="s">
        <v>167</v>
      </c>
      <c r="R208" s="36" t="s">
        <v>1159</v>
      </c>
      <c r="S208" s="37">
        <v>13.941022</v>
      </c>
      <c r="T208" s="37">
        <v>-90.629732</v>
      </c>
      <c r="U208" s="36" t="s">
        <v>1160</v>
      </c>
      <c r="V208" s="38" t="s">
        <v>293</v>
      </c>
      <c r="W208" s="6" t="s">
        <v>1073</v>
      </c>
      <c r="X208" s="3" t="s">
        <v>72</v>
      </c>
      <c r="Y208" s="33" t="s">
        <v>70</v>
      </c>
      <c r="Z208" s="36"/>
      <c r="AA208" s="37">
        <v>6.0</v>
      </c>
      <c r="AB208" s="36"/>
      <c r="AC208" s="36"/>
      <c r="AD208" s="36"/>
      <c r="AE208" s="36"/>
      <c r="AF208" s="36"/>
      <c r="AG208" s="36"/>
      <c r="AH208" s="38" t="s">
        <v>72</v>
      </c>
      <c r="AI208" s="37">
        <v>-3600.0</v>
      </c>
      <c r="AJ208" s="37">
        <v>1805.0</v>
      </c>
      <c r="AK208" s="6" t="s">
        <v>73</v>
      </c>
      <c r="AL208" s="6" t="s">
        <v>72</v>
      </c>
      <c r="AM208" s="33" t="s">
        <v>74</v>
      </c>
      <c r="AN208" s="6" t="s">
        <v>72</v>
      </c>
      <c r="AO208" s="33"/>
      <c r="AP208" s="6" t="s">
        <v>75</v>
      </c>
      <c r="AQ208" s="33"/>
      <c r="AR208" s="33"/>
      <c r="AS208" s="33"/>
      <c r="AT208" s="6" t="s">
        <v>76</v>
      </c>
      <c r="AU208" s="33"/>
      <c r="AV208" s="33"/>
      <c r="AW208" s="33"/>
      <c r="AX208" s="33"/>
      <c r="AY208" s="33"/>
      <c r="AZ208" s="6" t="s">
        <v>76</v>
      </c>
      <c r="BA208" s="33"/>
      <c r="BB208" s="33">
        <f>VLOOKUP(O208,Eco_DEM_Data!$D$1:$AC$643,20,False)</f>
        <v>1707</v>
      </c>
      <c r="BC208" s="33">
        <f>VLOOKUP($O208,Eco_DEM_Data!$D$1:$AC$643,20,False)</f>
        <v>1707</v>
      </c>
      <c r="BD208" s="33">
        <f>VLOOKUP($O208,Eco_DEM_Data!$D$1:$AC$643,25,False)</f>
        <v>819</v>
      </c>
      <c r="BE208" s="33">
        <f>VLOOKUP($O208,Eco_DEM_Data!$D$1:$AC$643,22,False)</f>
        <v>2</v>
      </c>
      <c r="BF208" s="33">
        <f>VLOOKUP($O208,Eco_DEM_Data!$D$1:$AC$643,23,False)</f>
        <v>12</v>
      </c>
      <c r="BG208" s="33">
        <f>VLOOKUP($O208,Eco_DEM_Data!$D$1:$AC$643,21,False)</f>
        <v>9271</v>
      </c>
      <c r="BH208" s="33">
        <f>VLOOKUP($O208,Eco_DEM_Data!$D$1:$AC$643,26,False)</f>
        <v>7</v>
      </c>
      <c r="BI208" s="33" t="str">
        <f>VLOOKUP($O208,Eco_DEM_Data!$D$1:$AC$643,9,False)</f>
        <v>Southern Mesoamerican Pacific mangroves</v>
      </c>
      <c r="BJ208" s="33" t="str">
        <f>VLOOKUP($O208,Eco_DEM_Data!$D$1:$AC$643,11,False)</f>
        <v>Mangroves</v>
      </c>
    </row>
    <row r="209">
      <c r="A209" s="33" t="s">
        <v>1153</v>
      </c>
      <c r="B209" s="33" t="s">
        <v>2259</v>
      </c>
      <c r="C209" s="34">
        <v>18.0</v>
      </c>
      <c r="D209" s="33" t="s">
        <v>53</v>
      </c>
      <c r="E209" s="34">
        <v>2006.0</v>
      </c>
      <c r="F209" s="33" t="s">
        <v>1154</v>
      </c>
      <c r="G209" s="33" t="s">
        <v>1155</v>
      </c>
      <c r="H209" s="45" t="s">
        <v>631</v>
      </c>
      <c r="I209" s="33"/>
      <c r="J209" s="33" t="s">
        <v>1156</v>
      </c>
      <c r="K209" s="34">
        <v>17.0</v>
      </c>
      <c r="L209" s="34">
        <v>3.0</v>
      </c>
      <c r="M209" s="6" t="s">
        <v>1157</v>
      </c>
      <c r="N209" s="35" t="s">
        <v>60</v>
      </c>
      <c r="O209" s="33" t="s">
        <v>1212</v>
      </c>
      <c r="P209" s="36" t="s">
        <v>62</v>
      </c>
      <c r="Q209" s="36" t="s">
        <v>167</v>
      </c>
      <c r="R209" s="36" t="s">
        <v>1159</v>
      </c>
      <c r="S209" s="37">
        <v>13.941022</v>
      </c>
      <c r="T209" s="37">
        <v>-90.629732</v>
      </c>
      <c r="U209" s="36" t="s">
        <v>1160</v>
      </c>
      <c r="V209" s="38" t="s">
        <v>293</v>
      </c>
      <c r="W209" s="6" t="s">
        <v>1073</v>
      </c>
      <c r="X209" s="3" t="s">
        <v>72</v>
      </c>
      <c r="Y209" s="33" t="s">
        <v>70</v>
      </c>
      <c r="Z209" s="36"/>
      <c r="AA209" s="37">
        <v>5.0</v>
      </c>
      <c r="AB209" s="36"/>
      <c r="AC209" s="36"/>
      <c r="AD209" s="36"/>
      <c r="AE209" s="36"/>
      <c r="AF209" s="36"/>
      <c r="AG209" s="36"/>
      <c r="AH209" s="38" t="s">
        <v>72</v>
      </c>
      <c r="AI209" s="37">
        <v>-1998.0</v>
      </c>
      <c r="AJ209" s="37">
        <v>-1000.0</v>
      </c>
      <c r="AK209" s="6" t="s">
        <v>73</v>
      </c>
      <c r="AL209" s="6" t="s">
        <v>72</v>
      </c>
      <c r="AM209" s="33" t="s">
        <v>74</v>
      </c>
      <c r="AN209" s="6" t="s">
        <v>72</v>
      </c>
      <c r="AO209" s="33"/>
      <c r="AP209" s="6" t="s">
        <v>75</v>
      </c>
      <c r="AQ209" s="33"/>
      <c r="AR209" s="33"/>
      <c r="AS209" s="33"/>
      <c r="AT209" s="6" t="s">
        <v>76</v>
      </c>
      <c r="AU209" s="33"/>
      <c r="AV209" s="33"/>
      <c r="AW209" s="33"/>
      <c r="AX209" s="33"/>
      <c r="AY209" s="33"/>
      <c r="AZ209" s="6" t="s">
        <v>76</v>
      </c>
      <c r="BA209" s="33"/>
      <c r="BB209" s="33">
        <f>VLOOKUP(O209,Eco_DEM_Data!$D$1:$AC$643,20,False)</f>
        <v>1707</v>
      </c>
      <c r="BC209" s="33">
        <f>VLOOKUP($O209,Eco_DEM_Data!$D$1:$AC$643,20,False)</f>
        <v>1707</v>
      </c>
      <c r="BD209" s="33">
        <f>VLOOKUP($O209,Eco_DEM_Data!$D$1:$AC$643,25,False)</f>
        <v>819</v>
      </c>
      <c r="BE209" s="33">
        <f>VLOOKUP($O209,Eco_DEM_Data!$D$1:$AC$643,22,False)</f>
        <v>2</v>
      </c>
      <c r="BF209" s="33">
        <f>VLOOKUP($O209,Eco_DEM_Data!$D$1:$AC$643,23,False)</f>
        <v>12</v>
      </c>
      <c r="BG209" s="33">
        <f>VLOOKUP($O209,Eco_DEM_Data!$D$1:$AC$643,21,False)</f>
        <v>9271</v>
      </c>
      <c r="BH209" s="33">
        <f>VLOOKUP($O209,Eco_DEM_Data!$D$1:$AC$643,26,False)</f>
        <v>7</v>
      </c>
      <c r="BI209" s="33" t="str">
        <f>VLOOKUP($O209,Eco_DEM_Data!$D$1:$AC$643,9,False)</f>
        <v>Southern Mesoamerican Pacific mangroves</v>
      </c>
      <c r="BJ209" s="33" t="str">
        <f>VLOOKUP($O209,Eco_DEM_Data!$D$1:$AC$643,11,False)</f>
        <v>Mangroves</v>
      </c>
    </row>
    <row r="210">
      <c r="A210" s="33" t="s">
        <v>1997</v>
      </c>
      <c r="B210" s="33" t="s">
        <v>2259</v>
      </c>
      <c r="C210" s="34">
        <v>2.0</v>
      </c>
      <c r="D210" s="33" t="s">
        <v>268</v>
      </c>
      <c r="E210" s="34">
        <v>2006.0</v>
      </c>
      <c r="F210" s="33" t="s">
        <v>1998</v>
      </c>
      <c r="G210" s="45" t="s">
        <v>1999</v>
      </c>
      <c r="H210" s="46"/>
      <c r="I210" s="33"/>
      <c r="J210" s="33" t="s">
        <v>2000</v>
      </c>
      <c r="K210" s="34">
        <v>15.0</v>
      </c>
      <c r="L210" s="33"/>
      <c r="M210" s="6" t="s">
        <v>2001</v>
      </c>
      <c r="N210" s="35" t="s">
        <v>76</v>
      </c>
      <c r="O210" s="33" t="s">
        <v>1997</v>
      </c>
      <c r="P210" s="36" t="s">
        <v>62</v>
      </c>
      <c r="Q210" s="36" t="s">
        <v>92</v>
      </c>
      <c r="R210" s="36" t="s">
        <v>406</v>
      </c>
      <c r="S210" s="37">
        <v>18.446667</v>
      </c>
      <c r="T210" s="37">
        <v>-88.529722</v>
      </c>
      <c r="U210" s="36" t="s">
        <v>148</v>
      </c>
      <c r="V210" s="38" t="s">
        <v>66</v>
      </c>
      <c r="W210" s="41" t="s">
        <v>1287</v>
      </c>
      <c r="X210" s="7" t="s">
        <v>2002</v>
      </c>
      <c r="Y210" s="41" t="s">
        <v>70</v>
      </c>
      <c r="Z210" s="43"/>
      <c r="AA210" s="42">
        <v>2.0</v>
      </c>
      <c r="AB210" s="43"/>
      <c r="AC210" s="43"/>
      <c r="AD210" s="43"/>
      <c r="AE210" s="43"/>
      <c r="AF210" s="43"/>
      <c r="AG210" s="43"/>
      <c r="AH210" s="38" t="s">
        <v>72</v>
      </c>
      <c r="AI210" s="42">
        <v>-3130.0</v>
      </c>
      <c r="AJ210" s="42">
        <v>-1250.0</v>
      </c>
      <c r="AK210" s="5" t="s">
        <v>100</v>
      </c>
      <c r="AL210" s="5" t="s">
        <v>76</v>
      </c>
      <c r="AM210" s="41" t="s">
        <v>74</v>
      </c>
      <c r="AN210" s="5" t="s">
        <v>72</v>
      </c>
      <c r="AO210" s="41"/>
      <c r="AP210" s="5" t="s">
        <v>75</v>
      </c>
      <c r="AQ210" s="41"/>
      <c r="AR210" s="41"/>
      <c r="AS210" s="41"/>
      <c r="AT210" s="5" t="s">
        <v>76</v>
      </c>
      <c r="AU210" s="33"/>
      <c r="AV210" s="33"/>
      <c r="AW210" s="33"/>
      <c r="AX210" s="33"/>
      <c r="AY210" s="6" t="s">
        <v>76</v>
      </c>
      <c r="AZ210" s="6" t="s">
        <v>76</v>
      </c>
      <c r="BA210" s="33"/>
      <c r="BB210" s="33">
        <f>VLOOKUP(O210,Eco_DEM_Data!$D$1:$AC$643,20,False)</f>
        <v>1193</v>
      </c>
      <c r="BC210" s="33">
        <f>VLOOKUP($O210,Eco_DEM_Data!$D$1:$AC$643,20,False)</f>
        <v>1193</v>
      </c>
      <c r="BD210" s="33">
        <f>VLOOKUP($O210,Eco_DEM_Data!$D$1:$AC$643,25,False)</f>
        <v>495</v>
      </c>
      <c r="BE210" s="33">
        <f>VLOOKUP($O210,Eco_DEM_Data!$D$1:$AC$643,22,False)</f>
        <v>23</v>
      </c>
      <c r="BF210" s="33">
        <f>VLOOKUP($O210,Eco_DEM_Data!$D$1:$AC$643,23,False)</f>
        <v>84</v>
      </c>
      <c r="BG210" s="33">
        <f>VLOOKUP($O210,Eco_DEM_Data!$D$1:$AC$643,21,False)</f>
        <v>6287</v>
      </c>
      <c r="BH210" s="33">
        <f>VLOOKUP($O210,Eco_DEM_Data!$D$1:$AC$643,26,False)</f>
        <v>19</v>
      </c>
      <c r="BI210" s="33" t="str">
        <f>VLOOKUP($O210,Eco_DEM_Data!$D$1:$AC$643,9,False)</f>
        <v>Yucatán moist forests</v>
      </c>
      <c r="BJ210" s="33" t="str">
        <f>VLOOKUP($O210,Eco_DEM_Data!$D$1:$AC$643,11,False)</f>
        <v>Tropical &amp; Subtropical Moist Broadleaf Forests</v>
      </c>
    </row>
    <row r="211">
      <c r="A211" s="33" t="s">
        <v>919</v>
      </c>
      <c r="B211" s="33" t="s">
        <v>2258</v>
      </c>
      <c r="C211" s="34">
        <v>4.0</v>
      </c>
      <c r="D211" s="33" t="s">
        <v>268</v>
      </c>
      <c r="E211" s="34">
        <v>2006.0</v>
      </c>
      <c r="F211" s="33" t="s">
        <v>581</v>
      </c>
      <c r="G211" s="45" t="s">
        <v>920</v>
      </c>
      <c r="H211" s="46"/>
      <c r="I211" s="33"/>
      <c r="J211" s="33" t="s">
        <v>921</v>
      </c>
      <c r="K211" s="34">
        <v>65.0</v>
      </c>
      <c r="L211" s="33"/>
      <c r="M211" s="6" t="s">
        <v>922</v>
      </c>
      <c r="N211" s="35" t="s">
        <v>60</v>
      </c>
      <c r="O211" s="33" t="s">
        <v>2003</v>
      </c>
      <c r="P211" s="36" t="s">
        <v>62</v>
      </c>
      <c r="Q211" s="36" t="s">
        <v>167</v>
      </c>
      <c r="R211" s="36" t="s">
        <v>588</v>
      </c>
      <c r="S211" s="37">
        <v>17.533333</v>
      </c>
      <c r="T211" s="37">
        <v>-90.183333</v>
      </c>
      <c r="U211" s="36" t="s">
        <v>148</v>
      </c>
      <c r="V211" s="38" t="s">
        <v>66</v>
      </c>
      <c r="W211" s="5" t="s">
        <v>1909</v>
      </c>
      <c r="X211" s="7" t="s">
        <v>589</v>
      </c>
      <c r="Y211" s="41" t="s">
        <v>70</v>
      </c>
      <c r="Z211" s="43"/>
      <c r="AA211" s="42">
        <v>6.0</v>
      </c>
      <c r="AB211" s="43"/>
      <c r="AC211" s="43"/>
      <c r="AD211" s="43"/>
      <c r="AE211" s="43"/>
      <c r="AF211" s="43"/>
      <c r="AG211" s="43"/>
      <c r="AH211" s="38" t="s">
        <v>72</v>
      </c>
      <c r="AI211" s="42">
        <v>-6450.0</v>
      </c>
      <c r="AJ211" s="42">
        <v>1950.0</v>
      </c>
      <c r="AK211" s="5" t="s">
        <v>73</v>
      </c>
      <c r="AL211" s="5" t="s">
        <v>76</v>
      </c>
      <c r="AM211" s="33" t="s">
        <v>400</v>
      </c>
      <c r="AN211" s="5" t="s">
        <v>72</v>
      </c>
      <c r="AO211" s="41"/>
      <c r="AP211" s="5" t="s">
        <v>75</v>
      </c>
      <c r="AQ211" s="41"/>
      <c r="AR211" s="41"/>
      <c r="AS211" s="41"/>
      <c r="AT211" s="5" t="s">
        <v>60</v>
      </c>
      <c r="AU211" s="33"/>
      <c r="AV211" s="33"/>
      <c r="AW211" s="33"/>
      <c r="AX211" s="33"/>
      <c r="AY211" s="33"/>
      <c r="AZ211" s="6" t="s">
        <v>76</v>
      </c>
      <c r="BA211" s="33"/>
      <c r="BB211" s="33">
        <f>VLOOKUP(O211,Eco_DEM_Data!$D$1:$AC$643,20,False)</f>
        <v>1598</v>
      </c>
      <c r="BC211" s="33">
        <f>VLOOKUP($O211,Eco_DEM_Data!$D$1:$AC$643,20,False)</f>
        <v>1598</v>
      </c>
      <c r="BD211" s="33">
        <f>VLOOKUP($O211,Eco_DEM_Data!$D$1:$AC$643,25,False)</f>
        <v>686</v>
      </c>
      <c r="BE211" s="33">
        <f>VLOOKUP($O211,Eco_DEM_Data!$D$1:$AC$643,22,False)</f>
        <v>33</v>
      </c>
      <c r="BF211" s="33">
        <f>VLOOKUP($O211,Eco_DEM_Data!$D$1:$AC$643,23,False)</f>
        <v>119</v>
      </c>
      <c r="BG211" s="33">
        <f>VLOOKUP($O211,Eco_DEM_Data!$D$1:$AC$643,21,False)</f>
        <v>6059</v>
      </c>
      <c r="BH211" s="33">
        <f>VLOOKUP($O211,Eco_DEM_Data!$D$1:$AC$643,26,False)</f>
        <v>238</v>
      </c>
      <c r="BI211" s="33" t="str">
        <f>VLOOKUP($O211,Eco_DEM_Data!$D$1:$AC$643,9,False)</f>
        <v>Petén-Veracruz moist forests</v>
      </c>
      <c r="BJ211" s="33" t="str">
        <f>VLOOKUP($O211,Eco_DEM_Data!$D$1:$AC$643,11,False)</f>
        <v>Tropical &amp; Subtropical Moist Broadleaf Forests</v>
      </c>
    </row>
    <row r="212">
      <c r="A212" s="33" t="s">
        <v>919</v>
      </c>
      <c r="B212" s="33" t="s">
        <v>2258</v>
      </c>
      <c r="C212" s="34">
        <v>4.0</v>
      </c>
      <c r="D212" s="33" t="s">
        <v>268</v>
      </c>
      <c r="E212" s="34">
        <v>2006.0</v>
      </c>
      <c r="F212" s="33" t="s">
        <v>581</v>
      </c>
      <c r="G212" s="45" t="s">
        <v>920</v>
      </c>
      <c r="H212" s="46"/>
      <c r="I212" s="33"/>
      <c r="J212" s="33" t="s">
        <v>921</v>
      </c>
      <c r="K212" s="34">
        <v>65.0</v>
      </c>
      <c r="L212" s="33"/>
      <c r="M212" s="6" t="s">
        <v>922</v>
      </c>
      <c r="N212" s="35" t="s">
        <v>60</v>
      </c>
      <c r="O212" s="33" t="s">
        <v>923</v>
      </c>
      <c r="P212" s="36" t="s">
        <v>62</v>
      </c>
      <c r="Q212" s="36" t="s">
        <v>167</v>
      </c>
      <c r="R212" s="36" t="s">
        <v>588</v>
      </c>
      <c r="S212" s="37">
        <v>17.533333</v>
      </c>
      <c r="T212" s="37">
        <v>-90.183333</v>
      </c>
      <c r="U212" s="36" t="s">
        <v>148</v>
      </c>
      <c r="V212" s="6" t="s">
        <v>189</v>
      </c>
      <c r="W212" s="33" t="s">
        <v>150</v>
      </c>
      <c r="X212" s="1" t="s">
        <v>284</v>
      </c>
      <c r="Y212" s="33" t="s">
        <v>70</v>
      </c>
      <c r="Z212" s="36"/>
      <c r="AA212" s="37">
        <v>6.0</v>
      </c>
      <c r="AB212" s="36"/>
      <c r="AC212" s="36"/>
      <c r="AD212" s="36"/>
      <c r="AE212" s="36"/>
      <c r="AF212" s="36"/>
      <c r="AG212" s="36"/>
      <c r="AH212" s="38" t="s">
        <v>72</v>
      </c>
      <c r="AI212" s="37">
        <v>-6450.0</v>
      </c>
      <c r="AJ212" s="37">
        <v>1950.0</v>
      </c>
      <c r="AK212" s="6" t="s">
        <v>73</v>
      </c>
      <c r="AL212" s="6" t="s">
        <v>76</v>
      </c>
      <c r="AM212" s="33" t="s">
        <v>400</v>
      </c>
      <c r="AN212" s="6" t="s">
        <v>72</v>
      </c>
      <c r="AO212" s="33"/>
      <c r="AP212" s="6" t="s">
        <v>75</v>
      </c>
      <c r="AQ212" s="33"/>
      <c r="AR212" s="33"/>
      <c r="AS212" s="33"/>
      <c r="AT212" s="6" t="s">
        <v>76</v>
      </c>
      <c r="AU212" s="33"/>
      <c r="AV212" s="33"/>
      <c r="AW212" s="33"/>
      <c r="AX212" s="33"/>
      <c r="AY212" s="33"/>
      <c r="AZ212" s="6" t="s">
        <v>76</v>
      </c>
      <c r="BA212" s="33"/>
      <c r="BB212" s="33">
        <f>VLOOKUP(O212,Eco_DEM_Data!$D$1:$AC$643,20,False)</f>
        <v>1598</v>
      </c>
      <c r="BC212" s="33">
        <f>VLOOKUP($O212,Eco_DEM_Data!$D$1:$AC$643,20,False)</f>
        <v>1598</v>
      </c>
      <c r="BD212" s="33">
        <f>VLOOKUP($O212,Eco_DEM_Data!$D$1:$AC$643,25,False)</f>
        <v>686</v>
      </c>
      <c r="BE212" s="33">
        <f>VLOOKUP($O212,Eco_DEM_Data!$D$1:$AC$643,22,False)</f>
        <v>33</v>
      </c>
      <c r="BF212" s="33">
        <f>VLOOKUP($O212,Eco_DEM_Data!$D$1:$AC$643,23,False)</f>
        <v>119</v>
      </c>
      <c r="BG212" s="33">
        <f>VLOOKUP($O212,Eco_DEM_Data!$D$1:$AC$643,21,False)</f>
        <v>6059</v>
      </c>
      <c r="BH212" s="33">
        <f>VLOOKUP($O212,Eco_DEM_Data!$D$1:$AC$643,26,False)</f>
        <v>238</v>
      </c>
      <c r="BI212" s="33" t="str">
        <f>VLOOKUP($O212,Eco_DEM_Data!$D$1:$AC$643,9,False)</f>
        <v>Petén-Veracruz moist forests</v>
      </c>
      <c r="BJ212" s="33" t="str">
        <f>VLOOKUP($O212,Eco_DEM_Data!$D$1:$AC$643,11,False)</f>
        <v>Tropical &amp; Subtropical Moist Broadleaf Forests</v>
      </c>
    </row>
    <row r="213">
      <c r="A213" s="33" t="s">
        <v>919</v>
      </c>
      <c r="B213" s="33" t="s">
        <v>2258</v>
      </c>
      <c r="C213" s="34">
        <v>4.0</v>
      </c>
      <c r="D213" s="33" t="s">
        <v>268</v>
      </c>
      <c r="E213" s="34">
        <v>2006.0</v>
      </c>
      <c r="F213" s="33" t="s">
        <v>581</v>
      </c>
      <c r="G213" s="45" t="s">
        <v>920</v>
      </c>
      <c r="H213" s="46"/>
      <c r="I213" s="33"/>
      <c r="J213" s="33" t="s">
        <v>921</v>
      </c>
      <c r="K213" s="34">
        <v>65.0</v>
      </c>
      <c r="L213" s="33"/>
      <c r="M213" s="6" t="s">
        <v>922</v>
      </c>
      <c r="N213" s="35" t="s">
        <v>60</v>
      </c>
      <c r="O213" s="33" t="s">
        <v>2004</v>
      </c>
      <c r="P213" s="36" t="s">
        <v>62</v>
      </c>
      <c r="Q213" s="36" t="s">
        <v>167</v>
      </c>
      <c r="R213" s="36" t="s">
        <v>588</v>
      </c>
      <c r="S213" s="37">
        <v>17.533333</v>
      </c>
      <c r="T213" s="37">
        <v>-90.183333</v>
      </c>
      <c r="U213" s="36" t="s">
        <v>148</v>
      </c>
      <c r="V213" s="38" t="s">
        <v>382</v>
      </c>
      <c r="W213" s="33" t="s">
        <v>173</v>
      </c>
      <c r="X213" s="1" t="s">
        <v>606</v>
      </c>
      <c r="Y213" s="33" t="s">
        <v>544</v>
      </c>
      <c r="Z213" s="36"/>
      <c r="AA213" s="37">
        <v>6.0</v>
      </c>
      <c r="AB213" s="36"/>
      <c r="AC213" s="36"/>
      <c r="AD213" s="36"/>
      <c r="AE213" s="36"/>
      <c r="AF213" s="36"/>
      <c r="AG213" s="36"/>
      <c r="AH213" s="38" t="s">
        <v>72</v>
      </c>
      <c r="AI213" s="37">
        <v>-6450.0</v>
      </c>
      <c r="AJ213" s="37">
        <v>1950.0</v>
      </c>
      <c r="AK213" s="6" t="s">
        <v>73</v>
      </c>
      <c r="AL213" s="6" t="s">
        <v>76</v>
      </c>
      <c r="AM213" s="33" t="s">
        <v>400</v>
      </c>
      <c r="AN213" s="6" t="s">
        <v>72</v>
      </c>
      <c r="AO213" s="33"/>
      <c r="AP213" s="6" t="s">
        <v>75</v>
      </c>
      <c r="AQ213" s="33"/>
      <c r="AR213" s="33"/>
      <c r="AS213" s="33"/>
      <c r="AT213" s="6" t="s">
        <v>76</v>
      </c>
      <c r="AU213" s="33"/>
      <c r="AV213" s="33"/>
      <c r="AW213" s="33"/>
      <c r="AX213" s="33"/>
      <c r="AY213" s="33"/>
      <c r="AZ213" s="6" t="s">
        <v>76</v>
      </c>
      <c r="BA213" s="33"/>
      <c r="BB213" s="33">
        <f>VLOOKUP(O213,Eco_DEM_Data!$D$1:$AC$643,20,False)</f>
        <v>1598</v>
      </c>
      <c r="BC213" s="33">
        <f>VLOOKUP($O213,Eco_DEM_Data!$D$1:$AC$643,20,False)</f>
        <v>1598</v>
      </c>
      <c r="BD213" s="33">
        <f>VLOOKUP($O213,Eco_DEM_Data!$D$1:$AC$643,25,False)</f>
        <v>686</v>
      </c>
      <c r="BE213" s="33">
        <f>VLOOKUP($O213,Eco_DEM_Data!$D$1:$AC$643,22,False)</f>
        <v>33</v>
      </c>
      <c r="BF213" s="33">
        <f>VLOOKUP($O213,Eco_DEM_Data!$D$1:$AC$643,23,False)</f>
        <v>119</v>
      </c>
      <c r="BG213" s="33">
        <f>VLOOKUP($O213,Eco_DEM_Data!$D$1:$AC$643,21,False)</f>
        <v>6059</v>
      </c>
      <c r="BH213" s="33">
        <f>VLOOKUP($O213,Eco_DEM_Data!$D$1:$AC$643,26,False)</f>
        <v>238</v>
      </c>
      <c r="BI213" s="33" t="str">
        <f>VLOOKUP($O213,Eco_DEM_Data!$D$1:$AC$643,9,False)</f>
        <v>Petén-Veracruz moist forests</v>
      </c>
      <c r="BJ213" s="33" t="str">
        <f>VLOOKUP($O213,Eco_DEM_Data!$D$1:$AC$643,11,False)</f>
        <v>Tropical &amp; Subtropical Moist Broadleaf Forests</v>
      </c>
    </row>
    <row r="214">
      <c r="A214" s="33" t="s">
        <v>919</v>
      </c>
      <c r="B214" s="33" t="s">
        <v>2258</v>
      </c>
      <c r="C214" s="34">
        <v>4.0</v>
      </c>
      <c r="D214" s="33" t="s">
        <v>268</v>
      </c>
      <c r="E214" s="34">
        <v>2006.0</v>
      </c>
      <c r="F214" s="33" t="s">
        <v>581</v>
      </c>
      <c r="G214" s="45" t="s">
        <v>920</v>
      </c>
      <c r="H214" s="46"/>
      <c r="I214" s="33"/>
      <c r="J214" s="33" t="s">
        <v>921</v>
      </c>
      <c r="K214" s="34">
        <v>65.0</v>
      </c>
      <c r="L214" s="33"/>
      <c r="M214" s="6" t="s">
        <v>922</v>
      </c>
      <c r="N214" s="35" t="s">
        <v>60</v>
      </c>
      <c r="O214" s="33" t="s">
        <v>925</v>
      </c>
      <c r="P214" s="36" t="s">
        <v>62</v>
      </c>
      <c r="Q214" s="36" t="s">
        <v>167</v>
      </c>
      <c r="R214" s="36" t="s">
        <v>588</v>
      </c>
      <c r="S214" s="37">
        <v>17.533333</v>
      </c>
      <c r="T214" s="37">
        <v>-90.183333</v>
      </c>
      <c r="U214" s="36" t="s">
        <v>148</v>
      </c>
      <c r="V214" s="38" t="s">
        <v>194</v>
      </c>
      <c r="W214" s="33" t="s">
        <v>150</v>
      </c>
      <c r="X214" s="1" t="s">
        <v>286</v>
      </c>
      <c r="Y214" s="33" t="s">
        <v>70</v>
      </c>
      <c r="Z214" s="36"/>
      <c r="AA214" s="37">
        <v>6.0</v>
      </c>
      <c r="AB214" s="36"/>
      <c r="AC214" s="36"/>
      <c r="AD214" s="36"/>
      <c r="AE214" s="36"/>
      <c r="AF214" s="36"/>
      <c r="AG214" s="36"/>
      <c r="AH214" s="38" t="s">
        <v>72</v>
      </c>
      <c r="AI214" s="37">
        <v>-6450.0</v>
      </c>
      <c r="AJ214" s="37">
        <v>1950.0</v>
      </c>
      <c r="AK214" s="6" t="s">
        <v>73</v>
      </c>
      <c r="AL214" s="6" t="s">
        <v>76</v>
      </c>
      <c r="AM214" s="33" t="s">
        <v>400</v>
      </c>
      <c r="AN214" s="6" t="s">
        <v>72</v>
      </c>
      <c r="AO214" s="33"/>
      <c r="AP214" s="6" t="s">
        <v>75</v>
      </c>
      <c r="AQ214" s="33"/>
      <c r="AR214" s="33"/>
      <c r="AS214" s="33"/>
      <c r="AT214" s="6" t="s">
        <v>76</v>
      </c>
      <c r="AU214" s="33"/>
      <c r="AV214" s="33"/>
      <c r="AW214" s="33"/>
      <c r="AX214" s="33"/>
      <c r="AY214" s="33"/>
      <c r="AZ214" s="6" t="s">
        <v>76</v>
      </c>
      <c r="BA214" s="33"/>
      <c r="BB214" s="33">
        <f>VLOOKUP(O214,Eco_DEM_Data!$D$1:$AC$643,20,False)</f>
        <v>1598</v>
      </c>
      <c r="BC214" s="33">
        <f>VLOOKUP($O214,Eco_DEM_Data!$D$1:$AC$643,20,False)</f>
        <v>1598</v>
      </c>
      <c r="BD214" s="33">
        <f>VLOOKUP($O214,Eco_DEM_Data!$D$1:$AC$643,25,False)</f>
        <v>686</v>
      </c>
      <c r="BE214" s="33">
        <f>VLOOKUP($O214,Eco_DEM_Data!$D$1:$AC$643,22,False)</f>
        <v>33</v>
      </c>
      <c r="BF214" s="33">
        <f>VLOOKUP($O214,Eco_DEM_Data!$D$1:$AC$643,23,False)</f>
        <v>119</v>
      </c>
      <c r="BG214" s="33">
        <f>VLOOKUP($O214,Eco_DEM_Data!$D$1:$AC$643,21,False)</f>
        <v>6059</v>
      </c>
      <c r="BH214" s="33">
        <f>VLOOKUP($O214,Eco_DEM_Data!$D$1:$AC$643,26,False)</f>
        <v>238</v>
      </c>
      <c r="BI214" s="33" t="str">
        <f>VLOOKUP($O214,Eco_DEM_Data!$D$1:$AC$643,9,False)</f>
        <v>Petén-Veracruz moist forests</v>
      </c>
      <c r="BJ214" s="33" t="str">
        <f>VLOOKUP($O214,Eco_DEM_Data!$D$1:$AC$643,11,False)</f>
        <v>Tropical &amp; Subtropical Moist Broadleaf Forests</v>
      </c>
    </row>
    <row r="215">
      <c r="A215" s="33" t="s">
        <v>931</v>
      </c>
      <c r="B215" s="33" t="s">
        <v>2258</v>
      </c>
      <c r="C215" s="34">
        <v>5.0</v>
      </c>
      <c r="D215" s="33" t="s">
        <v>268</v>
      </c>
      <c r="E215" s="34">
        <v>2007.0</v>
      </c>
      <c r="F215" s="33" t="s">
        <v>730</v>
      </c>
      <c r="G215" s="45" t="s">
        <v>932</v>
      </c>
      <c r="H215" s="46"/>
      <c r="I215" s="33"/>
      <c r="J215" s="33" t="s">
        <v>933</v>
      </c>
      <c r="K215" s="34">
        <v>97.0</v>
      </c>
      <c r="L215" s="33"/>
      <c r="M215" s="6" t="s">
        <v>934</v>
      </c>
      <c r="N215" s="35" t="s">
        <v>60</v>
      </c>
      <c r="O215" s="33" t="s">
        <v>2006</v>
      </c>
      <c r="P215" s="36" t="s">
        <v>62</v>
      </c>
      <c r="Q215" s="36" t="s">
        <v>737</v>
      </c>
      <c r="R215" s="36" t="s">
        <v>936</v>
      </c>
      <c r="S215" s="37">
        <v>13.983226</v>
      </c>
      <c r="T215" s="37">
        <v>-89.671258</v>
      </c>
      <c r="U215" s="36" t="s">
        <v>148</v>
      </c>
      <c r="V215" s="38" t="s">
        <v>599</v>
      </c>
      <c r="W215" s="33" t="s">
        <v>156</v>
      </c>
      <c r="X215" s="1" t="s">
        <v>82</v>
      </c>
      <c r="Y215" s="6" t="s">
        <v>928</v>
      </c>
      <c r="Z215" s="36"/>
      <c r="AA215" s="37">
        <v>4.0</v>
      </c>
      <c r="AB215" s="36"/>
      <c r="AC215" s="36"/>
      <c r="AD215" s="36"/>
      <c r="AE215" s="36"/>
      <c r="AF215" s="36"/>
      <c r="AG215" s="37">
        <v>1.0</v>
      </c>
      <c r="AH215" s="36" t="s">
        <v>937</v>
      </c>
      <c r="AI215" s="37">
        <v>-1760.0</v>
      </c>
      <c r="AJ215" s="37">
        <v>1950.0</v>
      </c>
      <c r="AK215" s="6" t="s">
        <v>73</v>
      </c>
      <c r="AL215" s="6" t="s">
        <v>76</v>
      </c>
      <c r="AM215" s="33" t="s">
        <v>74</v>
      </c>
      <c r="AN215" s="6" t="s">
        <v>72</v>
      </c>
      <c r="AO215" s="33"/>
      <c r="AP215" s="6" t="s">
        <v>75</v>
      </c>
      <c r="AQ215" s="33"/>
      <c r="AR215" s="33"/>
      <c r="AS215" s="33"/>
      <c r="AT215" s="6" t="s">
        <v>76</v>
      </c>
      <c r="AU215" s="33"/>
      <c r="AV215" s="33"/>
      <c r="AW215" s="33"/>
      <c r="AX215" s="33"/>
      <c r="AY215" s="33"/>
      <c r="AZ215" s="6" t="s">
        <v>76</v>
      </c>
      <c r="BA215" s="33"/>
      <c r="BB215" s="33">
        <f>VLOOKUP(O215,Eco_DEM_Data!$D$1:$AC$643,20,False)</f>
        <v>1612</v>
      </c>
      <c r="BC215" s="33">
        <f>VLOOKUP($O215,Eco_DEM_Data!$D$1:$AC$643,20,False)</f>
        <v>1612</v>
      </c>
      <c r="BD215" s="33">
        <f>VLOOKUP($O215,Eco_DEM_Data!$D$1:$AC$643,25,False)</f>
        <v>836</v>
      </c>
      <c r="BE215" s="33">
        <f>VLOOKUP($O215,Eco_DEM_Data!$D$1:$AC$643,22,False)</f>
        <v>3</v>
      </c>
      <c r="BF215" s="33">
        <f>VLOOKUP($O215,Eco_DEM_Data!$D$1:$AC$643,23,False)</f>
        <v>13</v>
      </c>
      <c r="BG215" s="33">
        <f>VLOOKUP($O215,Eco_DEM_Data!$D$1:$AC$643,21,False)</f>
        <v>9515</v>
      </c>
      <c r="BH215" s="33">
        <f>VLOOKUP($O215,Eco_DEM_Data!$D$1:$AC$643,26,False)</f>
        <v>700</v>
      </c>
      <c r="BI215" s="33" t="str">
        <f>VLOOKUP($O215,Eco_DEM_Data!$D$1:$AC$643,9,False)</f>
        <v>Central American pine-oak forests</v>
      </c>
      <c r="BJ215" s="33" t="str">
        <f>VLOOKUP($O215,Eco_DEM_Data!$D$1:$AC$643,11,False)</f>
        <v>Tropical &amp; Subtropical Coniferous Forests</v>
      </c>
    </row>
    <row r="216">
      <c r="A216" s="33" t="s">
        <v>931</v>
      </c>
      <c r="B216" s="33" t="s">
        <v>2258</v>
      </c>
      <c r="C216" s="34">
        <v>5.0</v>
      </c>
      <c r="D216" s="33" t="s">
        <v>268</v>
      </c>
      <c r="E216" s="34">
        <v>2007.0</v>
      </c>
      <c r="F216" s="33" t="s">
        <v>730</v>
      </c>
      <c r="G216" s="45" t="s">
        <v>932</v>
      </c>
      <c r="H216" s="46"/>
      <c r="I216" s="33"/>
      <c r="J216" s="33" t="s">
        <v>933</v>
      </c>
      <c r="K216" s="34">
        <v>97.0</v>
      </c>
      <c r="L216" s="33"/>
      <c r="M216" s="6" t="s">
        <v>934</v>
      </c>
      <c r="N216" s="35" t="s">
        <v>60</v>
      </c>
      <c r="O216" s="33" t="s">
        <v>2007</v>
      </c>
      <c r="P216" s="36" t="s">
        <v>62</v>
      </c>
      <c r="Q216" s="36" t="s">
        <v>737</v>
      </c>
      <c r="R216" s="36" t="s">
        <v>936</v>
      </c>
      <c r="S216" s="37">
        <v>13.983226</v>
      </c>
      <c r="T216" s="37">
        <v>-89.671258</v>
      </c>
      <c r="U216" s="36" t="s">
        <v>148</v>
      </c>
      <c r="V216" s="38" t="s">
        <v>382</v>
      </c>
      <c r="W216" s="33" t="s">
        <v>173</v>
      </c>
      <c r="X216" s="1" t="s">
        <v>2008</v>
      </c>
      <c r="Y216" s="33" t="s">
        <v>2009</v>
      </c>
      <c r="Z216" s="36"/>
      <c r="AA216" s="37">
        <v>4.0</v>
      </c>
      <c r="AB216" s="36"/>
      <c r="AC216" s="36"/>
      <c r="AD216" s="36"/>
      <c r="AE216" s="36"/>
      <c r="AF216" s="36"/>
      <c r="AG216" s="37">
        <v>1.0</v>
      </c>
      <c r="AH216" s="36" t="s">
        <v>937</v>
      </c>
      <c r="AI216" s="37">
        <v>-1760.0</v>
      </c>
      <c r="AJ216" s="37">
        <v>1950.0</v>
      </c>
      <c r="AK216" s="6" t="s">
        <v>73</v>
      </c>
      <c r="AL216" s="6" t="s">
        <v>76</v>
      </c>
      <c r="AM216" s="33" t="s">
        <v>74</v>
      </c>
      <c r="AN216" s="6" t="s">
        <v>72</v>
      </c>
      <c r="AO216" s="33"/>
      <c r="AP216" s="6" t="s">
        <v>75</v>
      </c>
      <c r="AQ216" s="33"/>
      <c r="AR216" s="33"/>
      <c r="AS216" s="33"/>
      <c r="AT216" s="6" t="s">
        <v>76</v>
      </c>
      <c r="AU216" s="33"/>
      <c r="AV216" s="33"/>
      <c r="AW216" s="33"/>
      <c r="AX216" s="33"/>
      <c r="AY216" s="33"/>
      <c r="AZ216" s="6" t="s">
        <v>76</v>
      </c>
      <c r="BA216" s="33"/>
      <c r="BB216" s="33">
        <f>VLOOKUP(O216,Eco_DEM_Data!$D$1:$AC$643,20,False)</f>
        <v>1612</v>
      </c>
      <c r="BC216" s="33">
        <f>VLOOKUP($O216,Eco_DEM_Data!$D$1:$AC$643,20,False)</f>
        <v>1612</v>
      </c>
      <c r="BD216" s="33">
        <f>VLOOKUP($O216,Eco_DEM_Data!$D$1:$AC$643,25,False)</f>
        <v>836</v>
      </c>
      <c r="BE216" s="33">
        <f>VLOOKUP($O216,Eco_DEM_Data!$D$1:$AC$643,22,False)</f>
        <v>3</v>
      </c>
      <c r="BF216" s="33">
        <f>VLOOKUP($O216,Eco_DEM_Data!$D$1:$AC$643,23,False)</f>
        <v>13</v>
      </c>
      <c r="BG216" s="33">
        <f>VLOOKUP($O216,Eco_DEM_Data!$D$1:$AC$643,21,False)</f>
        <v>9515</v>
      </c>
      <c r="BH216" s="33">
        <f>VLOOKUP($O216,Eco_DEM_Data!$D$1:$AC$643,26,False)</f>
        <v>700</v>
      </c>
      <c r="BI216" s="33" t="str">
        <f>VLOOKUP($O216,Eco_DEM_Data!$D$1:$AC$643,9,False)</f>
        <v>Central American pine-oak forests</v>
      </c>
      <c r="BJ216" s="33" t="str">
        <f>VLOOKUP($O216,Eco_DEM_Data!$D$1:$AC$643,11,False)</f>
        <v>Tropical &amp; Subtropical Coniferous Forests</v>
      </c>
    </row>
    <row r="217">
      <c r="A217" s="33" t="s">
        <v>931</v>
      </c>
      <c r="B217" s="33" t="s">
        <v>2258</v>
      </c>
      <c r="C217" s="34">
        <v>5.0</v>
      </c>
      <c r="D217" s="33" t="s">
        <v>268</v>
      </c>
      <c r="E217" s="34">
        <v>2007.0</v>
      </c>
      <c r="F217" s="33" t="s">
        <v>730</v>
      </c>
      <c r="G217" s="45" t="s">
        <v>932</v>
      </c>
      <c r="H217" s="46"/>
      <c r="I217" s="33"/>
      <c r="J217" s="33" t="s">
        <v>933</v>
      </c>
      <c r="K217" s="34">
        <v>97.0</v>
      </c>
      <c r="L217" s="33"/>
      <c r="M217" s="6" t="s">
        <v>934</v>
      </c>
      <c r="N217" s="35" t="s">
        <v>60</v>
      </c>
      <c r="O217" s="33" t="s">
        <v>935</v>
      </c>
      <c r="P217" s="36" t="s">
        <v>62</v>
      </c>
      <c r="Q217" s="36" t="s">
        <v>737</v>
      </c>
      <c r="R217" s="36" t="s">
        <v>936</v>
      </c>
      <c r="S217" s="37">
        <v>13.983226</v>
      </c>
      <c r="T217" s="37">
        <v>-89.671258</v>
      </c>
      <c r="U217" s="36" t="s">
        <v>148</v>
      </c>
      <c r="V217" s="6" t="s">
        <v>275</v>
      </c>
      <c r="W217" s="33" t="s">
        <v>72</v>
      </c>
      <c r="X217" s="1" t="s">
        <v>278</v>
      </c>
      <c r="Y217" s="33" t="s">
        <v>279</v>
      </c>
      <c r="Z217" s="36"/>
      <c r="AA217" s="37">
        <v>4.0</v>
      </c>
      <c r="AB217" s="36"/>
      <c r="AC217" s="36"/>
      <c r="AD217" s="36"/>
      <c r="AE217" s="36"/>
      <c r="AF217" s="36"/>
      <c r="AG217" s="37">
        <v>1.0</v>
      </c>
      <c r="AH217" s="36" t="s">
        <v>937</v>
      </c>
      <c r="AI217" s="37">
        <v>-1760.0</v>
      </c>
      <c r="AJ217" s="37">
        <v>1950.0</v>
      </c>
      <c r="AK217" s="6" t="s">
        <v>73</v>
      </c>
      <c r="AL217" s="6" t="s">
        <v>76</v>
      </c>
      <c r="AM217" s="33" t="s">
        <v>74</v>
      </c>
      <c r="AN217" s="6" t="s">
        <v>72</v>
      </c>
      <c r="AO217" s="33"/>
      <c r="AP217" s="6" t="s">
        <v>75</v>
      </c>
      <c r="AQ217" s="33"/>
      <c r="AR217" s="33"/>
      <c r="AS217" s="33"/>
      <c r="AT217" s="6" t="s">
        <v>76</v>
      </c>
      <c r="AU217" s="33"/>
      <c r="AV217" s="33"/>
      <c r="AW217" s="33"/>
      <c r="AX217" s="33"/>
      <c r="AY217" s="33"/>
      <c r="AZ217" s="6" t="s">
        <v>76</v>
      </c>
      <c r="BA217" s="33"/>
      <c r="BB217" s="33">
        <f>VLOOKUP(O217,Eco_DEM_Data!$D$1:$AC$643,20,False)</f>
        <v>1612</v>
      </c>
      <c r="BC217" s="33">
        <f>VLOOKUP($O217,Eco_DEM_Data!$D$1:$AC$643,20,False)</f>
        <v>1612</v>
      </c>
      <c r="BD217" s="33">
        <f>VLOOKUP($O217,Eco_DEM_Data!$D$1:$AC$643,25,False)</f>
        <v>836</v>
      </c>
      <c r="BE217" s="33">
        <f>VLOOKUP($O217,Eco_DEM_Data!$D$1:$AC$643,22,False)</f>
        <v>3</v>
      </c>
      <c r="BF217" s="33">
        <f>VLOOKUP($O217,Eco_DEM_Data!$D$1:$AC$643,23,False)</f>
        <v>13</v>
      </c>
      <c r="BG217" s="33">
        <f>VLOOKUP($O217,Eco_DEM_Data!$D$1:$AC$643,21,False)</f>
        <v>9515</v>
      </c>
      <c r="BH217" s="33">
        <f>VLOOKUP($O217,Eco_DEM_Data!$D$1:$AC$643,26,False)</f>
        <v>700</v>
      </c>
      <c r="BI217" s="33" t="str">
        <f>VLOOKUP($O217,Eco_DEM_Data!$D$1:$AC$643,9,False)</f>
        <v>Central American pine-oak forests</v>
      </c>
      <c r="BJ217" s="33" t="str">
        <f>VLOOKUP($O217,Eco_DEM_Data!$D$1:$AC$643,11,False)</f>
        <v>Tropical &amp; Subtropical Coniferous Forests</v>
      </c>
    </row>
    <row r="218">
      <c r="A218" s="33" t="s">
        <v>931</v>
      </c>
      <c r="B218" s="33" t="s">
        <v>2258</v>
      </c>
      <c r="C218" s="34">
        <v>5.0</v>
      </c>
      <c r="D218" s="33" t="s">
        <v>268</v>
      </c>
      <c r="E218" s="34">
        <v>2007.0</v>
      </c>
      <c r="F218" s="33" t="s">
        <v>730</v>
      </c>
      <c r="G218" s="45" t="s">
        <v>932</v>
      </c>
      <c r="H218" s="46"/>
      <c r="I218" s="33"/>
      <c r="J218" s="33" t="s">
        <v>933</v>
      </c>
      <c r="K218" s="34">
        <v>97.0</v>
      </c>
      <c r="L218" s="33"/>
      <c r="M218" s="6" t="s">
        <v>934</v>
      </c>
      <c r="N218" s="35" t="s">
        <v>60</v>
      </c>
      <c r="O218" s="33" t="s">
        <v>938</v>
      </c>
      <c r="P218" s="36" t="s">
        <v>62</v>
      </c>
      <c r="Q218" s="36" t="s">
        <v>737</v>
      </c>
      <c r="R218" s="36" t="s">
        <v>936</v>
      </c>
      <c r="S218" s="37">
        <v>13.983226</v>
      </c>
      <c r="T218" s="37">
        <v>-89.671258</v>
      </c>
      <c r="U218" s="36" t="s">
        <v>148</v>
      </c>
      <c r="V218" s="38" t="s">
        <v>194</v>
      </c>
      <c r="W218" s="33" t="s">
        <v>72</v>
      </c>
      <c r="X218" s="1" t="s">
        <v>286</v>
      </c>
      <c r="Y218" s="33" t="s">
        <v>70</v>
      </c>
      <c r="Z218" s="36"/>
      <c r="AA218" s="37">
        <v>4.0</v>
      </c>
      <c r="AB218" s="36"/>
      <c r="AC218" s="36"/>
      <c r="AD218" s="36"/>
      <c r="AE218" s="36"/>
      <c r="AF218" s="36"/>
      <c r="AG218" s="37">
        <v>1.0</v>
      </c>
      <c r="AH218" s="36" t="s">
        <v>937</v>
      </c>
      <c r="AI218" s="37">
        <v>-1760.0</v>
      </c>
      <c r="AJ218" s="37">
        <v>1950.0</v>
      </c>
      <c r="AK218" s="6" t="s">
        <v>73</v>
      </c>
      <c r="AL218" s="6" t="s">
        <v>76</v>
      </c>
      <c r="AM218" s="33" t="s">
        <v>74</v>
      </c>
      <c r="AN218" s="6" t="s">
        <v>72</v>
      </c>
      <c r="AO218" s="33"/>
      <c r="AP218" s="6" t="s">
        <v>75</v>
      </c>
      <c r="AQ218" s="33"/>
      <c r="AR218" s="33"/>
      <c r="AS218" s="33"/>
      <c r="AT218" s="6" t="s">
        <v>76</v>
      </c>
      <c r="AU218" s="33"/>
      <c r="AV218" s="33"/>
      <c r="AW218" s="33"/>
      <c r="AX218" s="33"/>
      <c r="AY218" s="33"/>
      <c r="AZ218" s="6" t="s">
        <v>76</v>
      </c>
      <c r="BA218" s="33"/>
      <c r="BB218" s="33">
        <f>VLOOKUP(O218,Eco_DEM_Data!$D$1:$AC$643,20,False)</f>
        <v>1612</v>
      </c>
      <c r="BC218" s="33">
        <f>VLOOKUP($O218,Eco_DEM_Data!$D$1:$AC$643,20,False)</f>
        <v>1612</v>
      </c>
      <c r="BD218" s="33">
        <f>VLOOKUP($O218,Eco_DEM_Data!$D$1:$AC$643,25,False)</f>
        <v>836</v>
      </c>
      <c r="BE218" s="33">
        <f>VLOOKUP($O218,Eco_DEM_Data!$D$1:$AC$643,22,False)</f>
        <v>3</v>
      </c>
      <c r="BF218" s="33">
        <f>VLOOKUP($O218,Eco_DEM_Data!$D$1:$AC$643,23,False)</f>
        <v>13</v>
      </c>
      <c r="BG218" s="33">
        <f>VLOOKUP($O218,Eco_DEM_Data!$D$1:$AC$643,21,False)</f>
        <v>9515</v>
      </c>
      <c r="BH218" s="33">
        <f>VLOOKUP($O218,Eco_DEM_Data!$D$1:$AC$643,26,False)</f>
        <v>700</v>
      </c>
      <c r="BI218" s="33" t="str">
        <f>VLOOKUP($O218,Eco_DEM_Data!$D$1:$AC$643,9,False)</f>
        <v>Central American pine-oak forests</v>
      </c>
      <c r="BJ218" s="33" t="str">
        <f>VLOOKUP($O218,Eco_DEM_Data!$D$1:$AC$643,11,False)</f>
        <v>Tropical &amp; Subtropical Coniferous Forests</v>
      </c>
    </row>
    <row r="219">
      <c r="A219" s="33" t="s">
        <v>931</v>
      </c>
      <c r="B219" s="33" t="s">
        <v>2258</v>
      </c>
      <c r="C219" s="34">
        <v>5.0</v>
      </c>
      <c r="D219" s="33" t="s">
        <v>268</v>
      </c>
      <c r="E219" s="34">
        <v>2007.0</v>
      </c>
      <c r="F219" s="33" t="s">
        <v>730</v>
      </c>
      <c r="G219" s="45" t="s">
        <v>932</v>
      </c>
      <c r="H219" s="46"/>
      <c r="I219" s="33"/>
      <c r="J219" s="33" t="s">
        <v>933</v>
      </c>
      <c r="K219" s="34">
        <v>97.0</v>
      </c>
      <c r="L219" s="33"/>
      <c r="M219" s="6" t="s">
        <v>934</v>
      </c>
      <c r="N219" s="35" t="s">
        <v>60</v>
      </c>
      <c r="O219" s="33" t="s">
        <v>2010</v>
      </c>
      <c r="P219" s="36" t="s">
        <v>62</v>
      </c>
      <c r="Q219" s="36" t="s">
        <v>737</v>
      </c>
      <c r="R219" s="36" t="s">
        <v>936</v>
      </c>
      <c r="S219" s="37">
        <v>13.983226</v>
      </c>
      <c r="T219" s="37">
        <v>-89.671258</v>
      </c>
      <c r="U219" s="36" t="s">
        <v>148</v>
      </c>
      <c r="V219" s="38" t="s">
        <v>66</v>
      </c>
      <c r="W219" s="5" t="s">
        <v>1909</v>
      </c>
      <c r="X219" s="7" t="s">
        <v>2011</v>
      </c>
      <c r="Y219" s="41" t="s">
        <v>70</v>
      </c>
      <c r="Z219" s="43"/>
      <c r="AA219" s="42">
        <v>4.0</v>
      </c>
      <c r="AB219" s="43"/>
      <c r="AC219" s="43"/>
      <c r="AD219" s="43"/>
      <c r="AE219" s="43"/>
      <c r="AF219" s="43"/>
      <c r="AG219" s="42">
        <v>1.0</v>
      </c>
      <c r="AH219" s="43" t="s">
        <v>937</v>
      </c>
      <c r="AI219" s="42">
        <v>-1760.0</v>
      </c>
      <c r="AJ219" s="42">
        <v>1950.0</v>
      </c>
      <c r="AK219" s="5" t="s">
        <v>73</v>
      </c>
      <c r="AL219" s="5" t="s">
        <v>76</v>
      </c>
      <c r="AM219" s="41" t="s">
        <v>74</v>
      </c>
      <c r="AN219" s="5" t="s">
        <v>72</v>
      </c>
      <c r="AO219" s="41"/>
      <c r="AP219" s="5" t="s">
        <v>75</v>
      </c>
      <c r="AQ219" s="41"/>
      <c r="AR219" s="41"/>
      <c r="AS219" s="41"/>
      <c r="AT219" s="5" t="s">
        <v>60</v>
      </c>
      <c r="AU219" s="33"/>
      <c r="AV219" s="33"/>
      <c r="AW219" s="33"/>
      <c r="AX219" s="33"/>
      <c r="AY219" s="33"/>
      <c r="AZ219" s="6" t="s">
        <v>76</v>
      </c>
      <c r="BA219" s="33"/>
      <c r="BB219" s="33">
        <f>VLOOKUP(O219,Eco_DEM_Data!$D$1:$AC$643,20,False)</f>
        <v>1612</v>
      </c>
      <c r="BC219" s="33">
        <f>VLOOKUP($O219,Eco_DEM_Data!$D$1:$AC$643,20,False)</f>
        <v>1612</v>
      </c>
      <c r="BD219" s="33">
        <f>VLOOKUP($O219,Eco_DEM_Data!$D$1:$AC$643,25,False)</f>
        <v>836</v>
      </c>
      <c r="BE219" s="33">
        <f>VLOOKUP($O219,Eco_DEM_Data!$D$1:$AC$643,22,False)</f>
        <v>3</v>
      </c>
      <c r="BF219" s="33">
        <f>VLOOKUP($O219,Eco_DEM_Data!$D$1:$AC$643,23,False)</f>
        <v>13</v>
      </c>
      <c r="BG219" s="33">
        <f>VLOOKUP($O219,Eco_DEM_Data!$D$1:$AC$643,21,False)</f>
        <v>9515</v>
      </c>
      <c r="BH219" s="33">
        <f>VLOOKUP($O219,Eco_DEM_Data!$D$1:$AC$643,26,False)</f>
        <v>700</v>
      </c>
      <c r="BI219" s="33" t="str">
        <f>VLOOKUP($O219,Eco_DEM_Data!$D$1:$AC$643,9,False)</f>
        <v>Central American pine-oak forests</v>
      </c>
      <c r="BJ219" s="33" t="str">
        <f>VLOOKUP($O219,Eco_DEM_Data!$D$1:$AC$643,11,False)</f>
        <v>Tropical &amp; Subtropical Coniferous Forests</v>
      </c>
    </row>
    <row r="220">
      <c r="A220" s="33" t="s">
        <v>496</v>
      </c>
      <c r="B220" s="33" t="s">
        <v>2258</v>
      </c>
      <c r="C220" s="34">
        <v>2.0</v>
      </c>
      <c r="D220" s="33" t="s">
        <v>53</v>
      </c>
      <c r="E220" s="34">
        <v>2007.0</v>
      </c>
      <c r="F220" s="33" t="s">
        <v>497</v>
      </c>
      <c r="G220" s="33" t="s">
        <v>498</v>
      </c>
      <c r="H220" s="33" t="s">
        <v>488</v>
      </c>
      <c r="I220" s="33" t="s">
        <v>499</v>
      </c>
      <c r="J220" s="33" t="s">
        <v>500</v>
      </c>
      <c r="K220" s="34">
        <v>35.0</v>
      </c>
      <c r="L220" s="34">
        <v>2.0</v>
      </c>
      <c r="M220" s="6" t="s">
        <v>501</v>
      </c>
      <c r="N220" s="35" t="s">
        <v>60</v>
      </c>
      <c r="O220" s="33" t="s">
        <v>502</v>
      </c>
      <c r="P220" s="36" t="s">
        <v>62</v>
      </c>
      <c r="Q220" s="36" t="s">
        <v>187</v>
      </c>
      <c r="R220" s="36" t="s">
        <v>443</v>
      </c>
      <c r="S220" s="37">
        <v>17.117188</v>
      </c>
      <c r="T220" s="37">
        <v>-88.890606</v>
      </c>
      <c r="U220" s="36" t="s">
        <v>94</v>
      </c>
      <c r="V220" s="6" t="s">
        <v>95</v>
      </c>
      <c r="W220" s="6" t="s">
        <v>444</v>
      </c>
      <c r="X220" s="1" t="s">
        <v>503</v>
      </c>
      <c r="Y220" s="6" t="s">
        <v>99</v>
      </c>
      <c r="Z220" s="36"/>
      <c r="AA220" s="37"/>
      <c r="AB220" s="36"/>
      <c r="AC220" s="36"/>
      <c r="AD220" s="37">
        <v>1.0</v>
      </c>
      <c r="AE220" s="36"/>
      <c r="AF220" s="36"/>
      <c r="AG220" s="36"/>
      <c r="AH220" s="36"/>
      <c r="AI220" s="37">
        <v>1978.0</v>
      </c>
      <c r="AJ220" s="37">
        <v>2001.0</v>
      </c>
      <c r="AK220" s="6" t="s">
        <v>153</v>
      </c>
      <c r="AL220" s="6" t="s">
        <v>60</v>
      </c>
      <c r="AM220" s="5" t="s">
        <v>72</v>
      </c>
      <c r="AN220" s="6" t="s">
        <v>101</v>
      </c>
      <c r="AO220" s="33"/>
      <c r="AP220" s="6" t="s">
        <v>102</v>
      </c>
      <c r="AQ220" s="33"/>
      <c r="AR220" s="33"/>
      <c r="AS220" s="33"/>
      <c r="AT220" s="6" t="s">
        <v>76</v>
      </c>
      <c r="AU220" s="33"/>
      <c r="AV220" s="33"/>
      <c r="AW220" s="33"/>
      <c r="AX220" s="33"/>
      <c r="AY220" s="33"/>
      <c r="AZ220" s="6" t="s">
        <v>76</v>
      </c>
      <c r="BA220" s="33"/>
      <c r="BB220" s="33">
        <f>VLOOKUP(O220,Eco_DEM_Data!$D$1:$AC$643,20,False)</f>
        <v>1849</v>
      </c>
      <c r="BC220" s="33">
        <f>VLOOKUP($O220,Eco_DEM_Data!$D$1:$AC$643,20,False)</f>
        <v>1849</v>
      </c>
      <c r="BD220" s="33">
        <f>VLOOKUP($O220,Eco_DEM_Data!$D$1:$AC$643,25,False)</f>
        <v>723</v>
      </c>
      <c r="BE220" s="33">
        <f>VLOOKUP($O220,Eco_DEM_Data!$D$1:$AC$643,22,False)</f>
        <v>44</v>
      </c>
      <c r="BF220" s="33">
        <f>VLOOKUP($O220,Eco_DEM_Data!$D$1:$AC$643,23,False)</f>
        <v>156</v>
      </c>
      <c r="BG220" s="33">
        <f>VLOOKUP($O220,Eco_DEM_Data!$D$1:$AC$643,21,False)</f>
        <v>5227</v>
      </c>
      <c r="BH220" s="33">
        <f>VLOOKUP($O220,Eco_DEM_Data!$D$1:$AC$643,26,False)</f>
        <v>194</v>
      </c>
      <c r="BI220" s="33" t="str">
        <f>VLOOKUP($O220,Eco_DEM_Data!$D$1:$AC$643,9,False)</f>
        <v>Belizian pine savannas</v>
      </c>
      <c r="BJ220" s="33" t="str">
        <f>VLOOKUP($O220,Eco_DEM_Data!$D$1:$AC$643,11,False)</f>
        <v>Tropical &amp; Subtropical Grasslands, Savannas &amp; Shrublands</v>
      </c>
    </row>
    <row r="221">
      <c r="A221" s="33" t="s">
        <v>496</v>
      </c>
      <c r="B221" s="33" t="s">
        <v>2258</v>
      </c>
      <c r="C221" s="34">
        <v>2.0</v>
      </c>
      <c r="D221" s="33" t="s">
        <v>53</v>
      </c>
      <c r="E221" s="34">
        <v>2007.0</v>
      </c>
      <c r="F221" s="33" t="s">
        <v>497</v>
      </c>
      <c r="G221" s="33" t="s">
        <v>498</v>
      </c>
      <c r="H221" s="33" t="s">
        <v>488</v>
      </c>
      <c r="I221" s="50" t="s">
        <v>499</v>
      </c>
      <c r="J221" s="33" t="s">
        <v>500</v>
      </c>
      <c r="K221" s="34">
        <v>35.0</v>
      </c>
      <c r="L221" s="34">
        <v>2.0</v>
      </c>
      <c r="M221" s="6" t="s">
        <v>501</v>
      </c>
      <c r="N221" s="35" t="s">
        <v>60</v>
      </c>
      <c r="O221" s="33" t="s">
        <v>504</v>
      </c>
      <c r="P221" s="36" t="s">
        <v>62</v>
      </c>
      <c r="Q221" s="36" t="s">
        <v>187</v>
      </c>
      <c r="R221" s="36" t="s">
        <v>443</v>
      </c>
      <c r="S221" s="37">
        <v>17.117188</v>
      </c>
      <c r="T221" s="37">
        <v>-88.890606</v>
      </c>
      <c r="U221" s="36" t="s">
        <v>94</v>
      </c>
      <c r="V221" s="6" t="s">
        <v>135</v>
      </c>
      <c r="W221" s="6" t="s">
        <v>444</v>
      </c>
      <c r="X221" s="1" t="s">
        <v>503</v>
      </c>
      <c r="Y221" s="6" t="s">
        <v>99</v>
      </c>
      <c r="Z221" s="36"/>
      <c r="AA221" s="37"/>
      <c r="AB221" s="36"/>
      <c r="AC221" s="36"/>
      <c r="AD221" s="37">
        <v>1.0</v>
      </c>
      <c r="AE221" s="36"/>
      <c r="AF221" s="36"/>
      <c r="AG221" s="36"/>
      <c r="AH221" s="36"/>
      <c r="AI221" s="37">
        <v>1978.0</v>
      </c>
      <c r="AJ221" s="37">
        <v>2001.0</v>
      </c>
      <c r="AK221" s="6" t="s">
        <v>153</v>
      </c>
      <c r="AL221" s="6" t="s">
        <v>60</v>
      </c>
      <c r="AM221" s="5" t="s">
        <v>72</v>
      </c>
      <c r="AN221" s="6" t="s">
        <v>101</v>
      </c>
      <c r="AO221" s="33"/>
      <c r="AP221" s="6" t="s">
        <v>102</v>
      </c>
      <c r="AQ221" s="33"/>
      <c r="AR221" s="33"/>
      <c r="AS221" s="33"/>
      <c r="AT221" s="6" t="s">
        <v>76</v>
      </c>
      <c r="AU221" s="33"/>
      <c r="AV221" s="33"/>
      <c r="AW221" s="33"/>
      <c r="AX221" s="33"/>
      <c r="AY221" s="33"/>
      <c r="AZ221" s="6" t="s">
        <v>76</v>
      </c>
      <c r="BA221" s="33"/>
      <c r="BB221" s="33">
        <f>VLOOKUP(O221,Eco_DEM_Data!$D$1:$AC$643,20,False)</f>
        <v>1849</v>
      </c>
      <c r="BC221" s="33">
        <f>VLOOKUP($O221,Eco_DEM_Data!$D$1:$AC$643,20,False)</f>
        <v>1849</v>
      </c>
      <c r="BD221" s="33">
        <f>VLOOKUP($O221,Eco_DEM_Data!$D$1:$AC$643,25,False)</f>
        <v>723</v>
      </c>
      <c r="BE221" s="33">
        <f>VLOOKUP($O221,Eco_DEM_Data!$D$1:$AC$643,22,False)</f>
        <v>44</v>
      </c>
      <c r="BF221" s="33">
        <f>VLOOKUP($O221,Eco_DEM_Data!$D$1:$AC$643,23,False)</f>
        <v>156</v>
      </c>
      <c r="BG221" s="33">
        <f>VLOOKUP($O221,Eco_DEM_Data!$D$1:$AC$643,21,False)</f>
        <v>5227</v>
      </c>
      <c r="BH221" s="33">
        <f>VLOOKUP($O221,Eco_DEM_Data!$D$1:$AC$643,26,False)</f>
        <v>194</v>
      </c>
      <c r="BI221" s="33" t="str">
        <f>VLOOKUP($O221,Eco_DEM_Data!$D$1:$AC$643,9,False)</f>
        <v>Belizian pine savannas</v>
      </c>
      <c r="BJ221" s="33" t="str">
        <f>VLOOKUP($O221,Eco_DEM_Data!$D$1:$AC$643,11,False)</f>
        <v>Tropical &amp; Subtropical Grasslands, Savannas &amp; Shrublands</v>
      </c>
    </row>
    <row r="222">
      <c r="A222" s="33" t="s">
        <v>227</v>
      </c>
      <c r="B222" s="33" t="s">
        <v>2258</v>
      </c>
      <c r="C222" s="34">
        <v>8.0</v>
      </c>
      <c r="D222" s="33" t="s">
        <v>53</v>
      </c>
      <c r="E222" s="34">
        <v>2007.0</v>
      </c>
      <c r="F222" s="33" t="s">
        <v>228</v>
      </c>
      <c r="G222" s="33" t="s">
        <v>229</v>
      </c>
      <c r="H222" s="33" t="s">
        <v>230</v>
      </c>
      <c r="I222" s="33" t="s">
        <v>231</v>
      </c>
      <c r="J222" s="33" t="s">
        <v>232</v>
      </c>
      <c r="K222" s="34">
        <v>83.0</v>
      </c>
      <c r="L222" s="56">
        <v>43862.0</v>
      </c>
      <c r="M222" s="6" t="s">
        <v>233</v>
      </c>
      <c r="N222" s="35" t="s">
        <v>60</v>
      </c>
      <c r="O222" s="33" t="s">
        <v>234</v>
      </c>
      <c r="P222" s="36" t="s">
        <v>62</v>
      </c>
      <c r="Q222" s="36" t="s">
        <v>92</v>
      </c>
      <c r="R222" s="36" t="s">
        <v>235</v>
      </c>
      <c r="S222" s="37">
        <v>20.648487</v>
      </c>
      <c r="T222" s="37">
        <v>-87.637178</v>
      </c>
      <c r="U222" s="36" t="s">
        <v>148</v>
      </c>
      <c r="V222" s="6" t="s">
        <v>189</v>
      </c>
      <c r="W222" s="6" t="s">
        <v>96</v>
      </c>
      <c r="X222" s="1" t="s">
        <v>236</v>
      </c>
      <c r="Y222" s="33" t="s">
        <v>70</v>
      </c>
      <c r="Z222" s="36"/>
      <c r="AA222" s="37">
        <v>7.0</v>
      </c>
      <c r="AB222" s="36"/>
      <c r="AC222" s="36"/>
      <c r="AD222" s="36"/>
      <c r="AE222" s="36"/>
      <c r="AF222" s="36"/>
      <c r="AG222" s="36"/>
      <c r="AH222" s="36" t="s">
        <v>237</v>
      </c>
      <c r="AI222" s="37">
        <v>-1900.0</v>
      </c>
      <c r="AJ222" s="37">
        <v>1330.0</v>
      </c>
      <c r="AK222" s="6" t="s">
        <v>100</v>
      </c>
      <c r="AL222" s="6" t="s">
        <v>72</v>
      </c>
      <c r="AM222" s="33" t="s">
        <v>238</v>
      </c>
      <c r="AN222" s="6" t="s">
        <v>76</v>
      </c>
      <c r="AO222" s="33"/>
      <c r="AP222" s="6" t="s">
        <v>102</v>
      </c>
      <c r="AQ222" s="33"/>
      <c r="AR222" s="33"/>
      <c r="AS222" s="33"/>
      <c r="AT222" s="6" t="s">
        <v>76</v>
      </c>
      <c r="AU222" s="33"/>
      <c r="AV222" s="33"/>
      <c r="AW222" s="33"/>
      <c r="AX222" s="33"/>
      <c r="AY222" s="33"/>
      <c r="AZ222" s="6" t="s">
        <v>76</v>
      </c>
      <c r="BA222" s="33"/>
      <c r="BB222" s="33">
        <f>VLOOKUP(O222,Eco_DEM_Data!$D$1:$AC$643,20,False)</f>
        <v>1183</v>
      </c>
      <c r="BC222" s="33">
        <f>VLOOKUP($O222,Eco_DEM_Data!$D$1:$AC$643,20,False)</f>
        <v>1183</v>
      </c>
      <c r="BD222" s="33">
        <f>VLOOKUP($O222,Eco_DEM_Data!$D$1:$AC$643,25,False)</f>
        <v>505</v>
      </c>
      <c r="BE222" s="33">
        <f>VLOOKUP($O222,Eco_DEM_Data!$D$1:$AC$643,22,False)</f>
        <v>44</v>
      </c>
      <c r="BF222" s="33">
        <f>VLOOKUP($O222,Eco_DEM_Data!$D$1:$AC$643,23,False)</f>
        <v>136</v>
      </c>
      <c r="BG222" s="33">
        <f>VLOOKUP($O222,Eco_DEM_Data!$D$1:$AC$643,21,False)</f>
        <v>5425</v>
      </c>
      <c r="BH222" s="33">
        <f>VLOOKUP($O222,Eco_DEM_Data!$D$1:$AC$643,26,False)</f>
        <v>22</v>
      </c>
      <c r="BI222" s="33" t="str">
        <f>VLOOKUP($O222,Eco_DEM_Data!$D$1:$AC$643,9,False)</f>
        <v>Yucatán moist forests</v>
      </c>
      <c r="BJ222" s="33" t="str">
        <f>VLOOKUP($O222,Eco_DEM_Data!$D$1:$AC$643,11,False)</f>
        <v>Tropical &amp; Subtropical Moist Broadleaf Forests</v>
      </c>
    </row>
    <row r="223">
      <c r="A223" s="33" t="s">
        <v>227</v>
      </c>
      <c r="B223" s="33" t="s">
        <v>2258</v>
      </c>
      <c r="C223" s="34">
        <v>8.0</v>
      </c>
      <c r="D223" s="33" t="s">
        <v>53</v>
      </c>
      <c r="E223" s="34">
        <v>2007.0</v>
      </c>
      <c r="F223" s="33" t="s">
        <v>228</v>
      </c>
      <c r="G223" s="33" t="s">
        <v>229</v>
      </c>
      <c r="H223" s="33" t="s">
        <v>230</v>
      </c>
      <c r="I223" s="33" t="s">
        <v>231</v>
      </c>
      <c r="J223" s="33" t="s">
        <v>232</v>
      </c>
      <c r="K223" s="34">
        <v>83.0</v>
      </c>
      <c r="L223" s="56">
        <v>43862.0</v>
      </c>
      <c r="M223" s="6" t="s">
        <v>233</v>
      </c>
      <c r="N223" s="35" t="s">
        <v>60</v>
      </c>
      <c r="O223" s="33" t="s">
        <v>240</v>
      </c>
      <c r="P223" s="36" t="s">
        <v>62</v>
      </c>
      <c r="Q223" s="36" t="s">
        <v>92</v>
      </c>
      <c r="R223" s="36" t="s">
        <v>235</v>
      </c>
      <c r="S223" s="37">
        <v>20.648487</v>
      </c>
      <c r="T223" s="37">
        <v>-87.637178</v>
      </c>
      <c r="U223" s="36" t="s">
        <v>148</v>
      </c>
      <c r="V223" s="6" t="s">
        <v>189</v>
      </c>
      <c r="W223" s="6" t="s">
        <v>96</v>
      </c>
      <c r="X223" s="1" t="s">
        <v>236</v>
      </c>
      <c r="Y223" s="33" t="s">
        <v>70</v>
      </c>
      <c r="Z223" s="36"/>
      <c r="AA223" s="37">
        <v>7.0</v>
      </c>
      <c r="AB223" s="36"/>
      <c r="AC223" s="36"/>
      <c r="AD223" s="36"/>
      <c r="AE223" s="36"/>
      <c r="AF223" s="36"/>
      <c r="AG223" s="36"/>
      <c r="AH223" s="36" t="s">
        <v>237</v>
      </c>
      <c r="AI223" s="37">
        <v>-1700.0</v>
      </c>
      <c r="AJ223" s="37">
        <v>2000.0</v>
      </c>
      <c r="AK223" s="6" t="s">
        <v>100</v>
      </c>
      <c r="AL223" s="6" t="s">
        <v>72</v>
      </c>
      <c r="AM223" s="33" t="s">
        <v>238</v>
      </c>
      <c r="AN223" s="6" t="s">
        <v>76</v>
      </c>
      <c r="AO223" s="33"/>
      <c r="AP223" s="6" t="s">
        <v>102</v>
      </c>
      <c r="AQ223" s="33"/>
      <c r="AR223" s="33"/>
      <c r="AS223" s="33"/>
      <c r="AT223" s="6" t="s">
        <v>76</v>
      </c>
      <c r="AU223" s="33"/>
      <c r="AV223" s="33"/>
      <c r="AW223" s="33"/>
      <c r="AX223" s="33"/>
      <c r="AY223" s="33"/>
      <c r="AZ223" s="6" t="s">
        <v>76</v>
      </c>
      <c r="BA223" s="33"/>
      <c r="BB223" s="33">
        <f>VLOOKUP(O223,Eco_DEM_Data!$D$1:$AC$643,20,False)</f>
        <v>1183</v>
      </c>
      <c r="BC223" s="33">
        <f>VLOOKUP($O223,Eco_DEM_Data!$D$1:$AC$643,20,False)</f>
        <v>1183</v>
      </c>
      <c r="BD223" s="33">
        <f>VLOOKUP($O223,Eco_DEM_Data!$D$1:$AC$643,25,False)</f>
        <v>505</v>
      </c>
      <c r="BE223" s="33">
        <f>VLOOKUP($O223,Eco_DEM_Data!$D$1:$AC$643,22,False)</f>
        <v>44</v>
      </c>
      <c r="BF223" s="33">
        <f>VLOOKUP($O223,Eco_DEM_Data!$D$1:$AC$643,23,False)</f>
        <v>136</v>
      </c>
      <c r="BG223" s="33">
        <f>VLOOKUP($O223,Eco_DEM_Data!$D$1:$AC$643,21,False)</f>
        <v>5425</v>
      </c>
      <c r="BH223" s="33">
        <f>VLOOKUP($O223,Eco_DEM_Data!$D$1:$AC$643,26,False)</f>
        <v>22</v>
      </c>
      <c r="BI223" s="33" t="str">
        <f>VLOOKUP($O223,Eco_DEM_Data!$D$1:$AC$643,9,False)</f>
        <v>Yucatán moist forests</v>
      </c>
      <c r="BJ223" s="33" t="str">
        <f>VLOOKUP($O223,Eco_DEM_Data!$D$1:$AC$643,11,False)</f>
        <v>Tropical &amp; Subtropical Moist Broadleaf Forests</v>
      </c>
    </row>
    <row r="224">
      <c r="A224" s="33" t="s">
        <v>227</v>
      </c>
      <c r="B224" s="33" t="s">
        <v>2258</v>
      </c>
      <c r="C224" s="34">
        <v>8.0</v>
      </c>
      <c r="D224" s="33" t="s">
        <v>53</v>
      </c>
      <c r="E224" s="34">
        <v>2007.0</v>
      </c>
      <c r="F224" s="33" t="s">
        <v>228</v>
      </c>
      <c r="G224" s="33" t="s">
        <v>229</v>
      </c>
      <c r="H224" s="33" t="s">
        <v>230</v>
      </c>
      <c r="I224" s="33" t="s">
        <v>231</v>
      </c>
      <c r="J224" s="33" t="s">
        <v>232</v>
      </c>
      <c r="K224" s="34">
        <v>83.0</v>
      </c>
      <c r="L224" s="56">
        <v>43862.0</v>
      </c>
      <c r="M224" s="6" t="s">
        <v>233</v>
      </c>
      <c r="N224" s="35" t="s">
        <v>60</v>
      </c>
      <c r="O224" s="33" t="s">
        <v>241</v>
      </c>
      <c r="P224" s="36" t="s">
        <v>62</v>
      </c>
      <c r="Q224" s="36" t="s">
        <v>92</v>
      </c>
      <c r="R224" s="36" t="s">
        <v>235</v>
      </c>
      <c r="S224" s="37">
        <v>20.648487</v>
      </c>
      <c r="T224" s="37">
        <v>-87.637178</v>
      </c>
      <c r="U224" s="36" t="s">
        <v>148</v>
      </c>
      <c r="V224" s="6" t="s">
        <v>135</v>
      </c>
      <c r="W224" s="6" t="s">
        <v>96</v>
      </c>
      <c r="X224" s="1" t="s">
        <v>242</v>
      </c>
      <c r="Y224" s="6" t="s">
        <v>72</v>
      </c>
      <c r="Z224" s="36"/>
      <c r="AA224" s="37">
        <v>7.0</v>
      </c>
      <c r="AB224" s="36"/>
      <c r="AC224" s="36"/>
      <c r="AD224" s="36"/>
      <c r="AE224" s="36"/>
      <c r="AF224" s="36"/>
      <c r="AG224" s="36"/>
      <c r="AH224" s="36" t="s">
        <v>237</v>
      </c>
      <c r="AI224" s="37">
        <v>-1900.0</v>
      </c>
      <c r="AJ224" s="37">
        <v>1330.0</v>
      </c>
      <c r="AK224" s="6" t="s">
        <v>100</v>
      </c>
      <c r="AL224" s="6" t="s">
        <v>72</v>
      </c>
      <c r="AM224" s="33" t="s">
        <v>238</v>
      </c>
      <c r="AN224" s="6" t="s">
        <v>76</v>
      </c>
      <c r="AO224" s="33"/>
      <c r="AP224" s="6" t="s">
        <v>102</v>
      </c>
      <c r="AQ224" s="33"/>
      <c r="AR224" s="33"/>
      <c r="AS224" s="33"/>
      <c r="AT224" s="6" t="s">
        <v>76</v>
      </c>
      <c r="AU224" s="33"/>
      <c r="AV224" s="33"/>
      <c r="AW224" s="33"/>
      <c r="AX224" s="33"/>
      <c r="AY224" s="33"/>
      <c r="AZ224" s="6" t="s">
        <v>76</v>
      </c>
      <c r="BA224" s="33"/>
      <c r="BB224" s="33">
        <f>VLOOKUP(O224,Eco_DEM_Data!$D$1:$AC$643,20,False)</f>
        <v>1183</v>
      </c>
      <c r="BC224" s="33">
        <f>VLOOKUP($O224,Eco_DEM_Data!$D$1:$AC$643,20,False)</f>
        <v>1183</v>
      </c>
      <c r="BD224" s="33">
        <f>VLOOKUP($O224,Eco_DEM_Data!$D$1:$AC$643,25,False)</f>
        <v>505</v>
      </c>
      <c r="BE224" s="33">
        <f>VLOOKUP($O224,Eco_DEM_Data!$D$1:$AC$643,22,False)</f>
        <v>44</v>
      </c>
      <c r="BF224" s="33">
        <f>VLOOKUP($O224,Eco_DEM_Data!$D$1:$AC$643,23,False)</f>
        <v>136</v>
      </c>
      <c r="BG224" s="33">
        <f>VLOOKUP($O224,Eco_DEM_Data!$D$1:$AC$643,21,False)</f>
        <v>5425</v>
      </c>
      <c r="BH224" s="33">
        <f>VLOOKUP($O224,Eco_DEM_Data!$D$1:$AC$643,26,False)</f>
        <v>22</v>
      </c>
      <c r="BI224" s="33" t="str">
        <f>VLOOKUP($O224,Eco_DEM_Data!$D$1:$AC$643,9,False)</f>
        <v>Yucatán moist forests</v>
      </c>
      <c r="BJ224" s="33" t="str">
        <f>VLOOKUP($O224,Eco_DEM_Data!$D$1:$AC$643,11,False)</f>
        <v>Tropical &amp; Subtropical Moist Broadleaf Forests</v>
      </c>
    </row>
    <row r="225">
      <c r="A225" s="33" t="s">
        <v>227</v>
      </c>
      <c r="B225" s="33" t="s">
        <v>2258</v>
      </c>
      <c r="C225" s="34">
        <v>8.0</v>
      </c>
      <c r="D225" s="33" t="s">
        <v>53</v>
      </c>
      <c r="E225" s="34">
        <v>2007.0</v>
      </c>
      <c r="F225" s="33" t="s">
        <v>228</v>
      </c>
      <c r="G225" s="33" t="s">
        <v>229</v>
      </c>
      <c r="H225" s="33" t="s">
        <v>230</v>
      </c>
      <c r="I225" s="33" t="s">
        <v>231</v>
      </c>
      <c r="J225" s="33" t="s">
        <v>232</v>
      </c>
      <c r="K225" s="34">
        <v>83.0</v>
      </c>
      <c r="L225" s="56">
        <v>43862.0</v>
      </c>
      <c r="M225" s="6" t="s">
        <v>233</v>
      </c>
      <c r="N225" s="35" t="s">
        <v>60</v>
      </c>
      <c r="O225" s="33" t="s">
        <v>243</v>
      </c>
      <c r="P225" s="36" t="s">
        <v>62</v>
      </c>
      <c r="Q225" s="36" t="s">
        <v>92</v>
      </c>
      <c r="R225" s="36" t="s">
        <v>235</v>
      </c>
      <c r="S225" s="37">
        <v>20.648487</v>
      </c>
      <c r="T225" s="37">
        <v>-87.637178</v>
      </c>
      <c r="U225" s="36" t="s">
        <v>148</v>
      </c>
      <c r="V225" s="6" t="s">
        <v>135</v>
      </c>
      <c r="W225" s="6" t="s">
        <v>96</v>
      </c>
      <c r="X225" s="1" t="s">
        <v>242</v>
      </c>
      <c r="Y225" s="6" t="s">
        <v>72</v>
      </c>
      <c r="Z225" s="36"/>
      <c r="AA225" s="37">
        <v>7.0</v>
      </c>
      <c r="AB225" s="36"/>
      <c r="AC225" s="36"/>
      <c r="AD225" s="36"/>
      <c r="AE225" s="36"/>
      <c r="AF225" s="36"/>
      <c r="AG225" s="36"/>
      <c r="AH225" s="36" t="s">
        <v>237</v>
      </c>
      <c r="AI225" s="37">
        <v>-1700.0</v>
      </c>
      <c r="AJ225" s="37">
        <v>2000.0</v>
      </c>
      <c r="AK225" s="6" t="s">
        <v>100</v>
      </c>
      <c r="AL225" s="6" t="s">
        <v>72</v>
      </c>
      <c r="AM225" s="33" t="s">
        <v>238</v>
      </c>
      <c r="AN225" s="6" t="s">
        <v>76</v>
      </c>
      <c r="AO225" s="33"/>
      <c r="AP225" s="6" t="s">
        <v>102</v>
      </c>
      <c r="AQ225" s="33"/>
      <c r="AR225" s="33"/>
      <c r="AS225" s="33"/>
      <c r="AT225" s="6" t="s">
        <v>76</v>
      </c>
      <c r="AU225" s="33"/>
      <c r="AV225" s="33"/>
      <c r="AW225" s="33"/>
      <c r="AX225" s="33"/>
      <c r="AY225" s="33"/>
      <c r="AZ225" s="6" t="s">
        <v>76</v>
      </c>
      <c r="BA225" s="33"/>
      <c r="BB225" s="33">
        <f>VLOOKUP(O225,Eco_DEM_Data!$D$1:$AC$643,20,False)</f>
        <v>1183</v>
      </c>
      <c r="BC225" s="33">
        <f>VLOOKUP($O225,Eco_DEM_Data!$D$1:$AC$643,20,False)</f>
        <v>1183</v>
      </c>
      <c r="BD225" s="33">
        <f>VLOOKUP($O225,Eco_DEM_Data!$D$1:$AC$643,25,False)</f>
        <v>505</v>
      </c>
      <c r="BE225" s="33">
        <f>VLOOKUP($O225,Eco_DEM_Data!$D$1:$AC$643,22,False)</f>
        <v>44</v>
      </c>
      <c r="BF225" s="33">
        <f>VLOOKUP($O225,Eco_DEM_Data!$D$1:$AC$643,23,False)</f>
        <v>136</v>
      </c>
      <c r="BG225" s="33">
        <f>VLOOKUP($O225,Eco_DEM_Data!$D$1:$AC$643,21,False)</f>
        <v>5425</v>
      </c>
      <c r="BH225" s="33">
        <f>VLOOKUP($O225,Eco_DEM_Data!$D$1:$AC$643,26,False)</f>
        <v>22</v>
      </c>
      <c r="BI225" s="33" t="str">
        <f>VLOOKUP($O225,Eco_DEM_Data!$D$1:$AC$643,9,False)</f>
        <v>Yucatán moist forests</v>
      </c>
      <c r="BJ225" s="33" t="str">
        <f>VLOOKUP($O225,Eco_DEM_Data!$D$1:$AC$643,11,False)</f>
        <v>Tropical &amp; Subtropical Moist Broadleaf Forests</v>
      </c>
    </row>
    <row r="226">
      <c r="A226" s="33" t="s">
        <v>227</v>
      </c>
      <c r="B226" s="33" t="s">
        <v>2258</v>
      </c>
      <c r="C226" s="34">
        <v>8.0</v>
      </c>
      <c r="D226" s="33" t="s">
        <v>53</v>
      </c>
      <c r="E226" s="34">
        <v>2007.0</v>
      </c>
      <c r="F226" s="33" t="s">
        <v>228</v>
      </c>
      <c r="G226" s="33" t="s">
        <v>229</v>
      </c>
      <c r="H226" s="33" t="s">
        <v>230</v>
      </c>
      <c r="I226" s="33" t="s">
        <v>231</v>
      </c>
      <c r="J226" s="33" t="s">
        <v>232</v>
      </c>
      <c r="K226" s="34">
        <v>83.0</v>
      </c>
      <c r="L226" s="56">
        <v>43862.0</v>
      </c>
      <c r="M226" s="6" t="s">
        <v>233</v>
      </c>
      <c r="N226" s="35" t="s">
        <v>60</v>
      </c>
      <c r="O226" s="33" t="s">
        <v>244</v>
      </c>
      <c r="P226" s="36" t="s">
        <v>62</v>
      </c>
      <c r="Q226" s="36" t="s">
        <v>92</v>
      </c>
      <c r="R226" s="36" t="s">
        <v>235</v>
      </c>
      <c r="S226" s="37">
        <v>20.648487</v>
      </c>
      <c r="T226" s="37">
        <v>-87.637178</v>
      </c>
      <c r="U226" s="36" t="s">
        <v>148</v>
      </c>
      <c r="V226" s="38" t="s">
        <v>194</v>
      </c>
      <c r="W226" s="6" t="s">
        <v>96</v>
      </c>
      <c r="X226" s="1" t="s">
        <v>236</v>
      </c>
      <c r="Y226" s="33" t="s">
        <v>70</v>
      </c>
      <c r="Z226" s="36"/>
      <c r="AA226" s="37">
        <v>7.0</v>
      </c>
      <c r="AB226" s="36"/>
      <c r="AC226" s="36"/>
      <c r="AD226" s="36"/>
      <c r="AE226" s="36"/>
      <c r="AF226" s="36"/>
      <c r="AG226" s="36"/>
      <c r="AH226" s="36" t="s">
        <v>237</v>
      </c>
      <c r="AI226" s="37">
        <v>-1900.0</v>
      </c>
      <c r="AJ226" s="37">
        <v>1330.0</v>
      </c>
      <c r="AK226" s="6" t="s">
        <v>100</v>
      </c>
      <c r="AL226" s="6" t="s">
        <v>72</v>
      </c>
      <c r="AM226" s="33" t="s">
        <v>238</v>
      </c>
      <c r="AN226" s="6" t="s">
        <v>76</v>
      </c>
      <c r="AO226" s="33"/>
      <c r="AP226" s="6" t="s">
        <v>102</v>
      </c>
      <c r="AQ226" s="33"/>
      <c r="AR226" s="33"/>
      <c r="AS226" s="33"/>
      <c r="AT226" s="6" t="s">
        <v>76</v>
      </c>
      <c r="AU226" s="33"/>
      <c r="AV226" s="33"/>
      <c r="AW226" s="33"/>
      <c r="AX226" s="33"/>
      <c r="AY226" s="33"/>
      <c r="AZ226" s="6" t="s">
        <v>76</v>
      </c>
      <c r="BA226" s="33"/>
      <c r="BB226" s="33">
        <f>VLOOKUP(O226,Eco_DEM_Data!$D$1:$AC$643,20,False)</f>
        <v>1183</v>
      </c>
      <c r="BC226" s="33">
        <f>VLOOKUP($O226,Eco_DEM_Data!$D$1:$AC$643,20,False)</f>
        <v>1183</v>
      </c>
      <c r="BD226" s="33">
        <f>VLOOKUP($O226,Eco_DEM_Data!$D$1:$AC$643,25,False)</f>
        <v>505</v>
      </c>
      <c r="BE226" s="33">
        <f>VLOOKUP($O226,Eco_DEM_Data!$D$1:$AC$643,22,False)</f>
        <v>44</v>
      </c>
      <c r="BF226" s="33">
        <f>VLOOKUP($O226,Eco_DEM_Data!$D$1:$AC$643,23,False)</f>
        <v>136</v>
      </c>
      <c r="BG226" s="33">
        <f>VLOOKUP($O226,Eco_DEM_Data!$D$1:$AC$643,21,False)</f>
        <v>5425</v>
      </c>
      <c r="BH226" s="33">
        <f>VLOOKUP($O226,Eco_DEM_Data!$D$1:$AC$643,26,False)</f>
        <v>22</v>
      </c>
      <c r="BI226" s="33" t="str">
        <f>VLOOKUP($O226,Eco_DEM_Data!$D$1:$AC$643,9,False)</f>
        <v>Yucatán moist forests</v>
      </c>
      <c r="BJ226" s="33" t="str">
        <f>VLOOKUP($O226,Eco_DEM_Data!$D$1:$AC$643,11,False)</f>
        <v>Tropical &amp; Subtropical Moist Broadleaf Forests</v>
      </c>
    </row>
    <row r="227">
      <c r="A227" s="33" t="s">
        <v>227</v>
      </c>
      <c r="B227" s="33" t="s">
        <v>2258</v>
      </c>
      <c r="C227" s="34">
        <v>8.0</v>
      </c>
      <c r="D227" s="33" t="s">
        <v>53</v>
      </c>
      <c r="E227" s="34">
        <v>2007.0</v>
      </c>
      <c r="F227" s="33" t="s">
        <v>228</v>
      </c>
      <c r="G227" s="33" t="s">
        <v>229</v>
      </c>
      <c r="H227" s="33" t="s">
        <v>230</v>
      </c>
      <c r="I227" s="33" t="s">
        <v>231</v>
      </c>
      <c r="J227" s="33" t="s">
        <v>232</v>
      </c>
      <c r="K227" s="34">
        <v>83.0</v>
      </c>
      <c r="L227" s="56">
        <v>43862.0</v>
      </c>
      <c r="M227" s="6" t="s">
        <v>233</v>
      </c>
      <c r="N227" s="35" t="s">
        <v>60</v>
      </c>
      <c r="O227" s="33" t="s">
        <v>245</v>
      </c>
      <c r="P227" s="36" t="s">
        <v>62</v>
      </c>
      <c r="Q227" s="36" t="s">
        <v>92</v>
      </c>
      <c r="R227" s="36" t="s">
        <v>235</v>
      </c>
      <c r="S227" s="37">
        <v>20.648487</v>
      </c>
      <c r="T227" s="37">
        <v>-87.637178</v>
      </c>
      <c r="U227" s="36" t="s">
        <v>148</v>
      </c>
      <c r="V227" s="38" t="s">
        <v>194</v>
      </c>
      <c r="W227" s="6" t="s">
        <v>96</v>
      </c>
      <c r="X227" s="1" t="s">
        <v>236</v>
      </c>
      <c r="Y227" s="33" t="s">
        <v>70</v>
      </c>
      <c r="Z227" s="36"/>
      <c r="AA227" s="37">
        <v>7.0</v>
      </c>
      <c r="AB227" s="36"/>
      <c r="AC227" s="36"/>
      <c r="AD227" s="36"/>
      <c r="AE227" s="36"/>
      <c r="AF227" s="36"/>
      <c r="AG227" s="36"/>
      <c r="AH227" s="36" t="s">
        <v>237</v>
      </c>
      <c r="AI227" s="37">
        <v>-1700.0</v>
      </c>
      <c r="AJ227" s="37">
        <v>2000.0</v>
      </c>
      <c r="AK227" s="6" t="s">
        <v>100</v>
      </c>
      <c r="AL227" s="6" t="s">
        <v>72</v>
      </c>
      <c r="AM227" s="33" t="s">
        <v>238</v>
      </c>
      <c r="AN227" s="6" t="s">
        <v>76</v>
      </c>
      <c r="AO227" s="33"/>
      <c r="AP227" s="6" t="s">
        <v>102</v>
      </c>
      <c r="AQ227" s="33"/>
      <c r="AR227" s="33"/>
      <c r="AS227" s="33"/>
      <c r="AT227" s="6" t="s">
        <v>76</v>
      </c>
      <c r="AU227" s="33"/>
      <c r="AV227" s="33"/>
      <c r="AW227" s="33"/>
      <c r="AX227" s="33"/>
      <c r="AY227" s="33"/>
      <c r="AZ227" s="6" t="s">
        <v>76</v>
      </c>
      <c r="BA227" s="33"/>
      <c r="BB227" s="33">
        <f>VLOOKUP(O227,Eco_DEM_Data!$D$1:$AC$643,20,False)</f>
        <v>1183</v>
      </c>
      <c r="BC227" s="33">
        <f>VLOOKUP($O227,Eco_DEM_Data!$D$1:$AC$643,20,False)</f>
        <v>1183</v>
      </c>
      <c r="BD227" s="33">
        <f>VLOOKUP($O227,Eco_DEM_Data!$D$1:$AC$643,25,False)</f>
        <v>505</v>
      </c>
      <c r="BE227" s="33">
        <f>VLOOKUP($O227,Eco_DEM_Data!$D$1:$AC$643,22,False)</f>
        <v>44</v>
      </c>
      <c r="BF227" s="33">
        <f>VLOOKUP($O227,Eco_DEM_Data!$D$1:$AC$643,23,False)</f>
        <v>136</v>
      </c>
      <c r="BG227" s="33">
        <f>VLOOKUP($O227,Eco_DEM_Data!$D$1:$AC$643,21,False)</f>
        <v>5425</v>
      </c>
      <c r="BH227" s="33">
        <f>VLOOKUP($O227,Eco_DEM_Data!$D$1:$AC$643,26,False)</f>
        <v>22</v>
      </c>
      <c r="BI227" s="33" t="str">
        <f>VLOOKUP($O227,Eco_DEM_Data!$D$1:$AC$643,9,False)</f>
        <v>Yucatán moist forests</v>
      </c>
      <c r="BJ227" s="33" t="str">
        <f>VLOOKUP($O227,Eco_DEM_Data!$D$1:$AC$643,11,False)</f>
        <v>Tropical &amp; Subtropical Moist Broadleaf Forests</v>
      </c>
    </row>
    <row r="228">
      <c r="A228" s="33" t="s">
        <v>227</v>
      </c>
      <c r="B228" s="33" t="s">
        <v>2258</v>
      </c>
      <c r="C228" s="34">
        <v>8.0</v>
      </c>
      <c r="D228" s="33" t="s">
        <v>53</v>
      </c>
      <c r="E228" s="34">
        <v>2007.0</v>
      </c>
      <c r="F228" s="33" t="s">
        <v>228</v>
      </c>
      <c r="G228" s="33" t="s">
        <v>229</v>
      </c>
      <c r="H228" s="33" t="s">
        <v>230</v>
      </c>
      <c r="I228" s="33" t="s">
        <v>231</v>
      </c>
      <c r="J228" s="33" t="s">
        <v>232</v>
      </c>
      <c r="K228" s="34">
        <v>83.0</v>
      </c>
      <c r="L228" s="56">
        <v>43862.0</v>
      </c>
      <c r="M228" s="6" t="s">
        <v>233</v>
      </c>
      <c r="N228" s="35" t="s">
        <v>60</v>
      </c>
      <c r="O228" s="33" t="s">
        <v>246</v>
      </c>
      <c r="P228" s="36" t="s">
        <v>62</v>
      </c>
      <c r="Q228" s="36" t="s">
        <v>92</v>
      </c>
      <c r="R228" s="36" t="s">
        <v>235</v>
      </c>
      <c r="S228" s="37">
        <v>20.648487</v>
      </c>
      <c r="T228" s="37">
        <v>-87.637178</v>
      </c>
      <c r="U228" s="36" t="s">
        <v>148</v>
      </c>
      <c r="V228" s="6" t="s">
        <v>95</v>
      </c>
      <c r="W228" s="6" t="s">
        <v>96</v>
      </c>
      <c r="X228" s="1" t="s">
        <v>242</v>
      </c>
      <c r="Y228" s="6" t="s">
        <v>72</v>
      </c>
      <c r="Z228" s="36"/>
      <c r="AA228" s="37">
        <v>7.0</v>
      </c>
      <c r="AB228" s="36"/>
      <c r="AC228" s="36"/>
      <c r="AD228" s="36"/>
      <c r="AE228" s="36"/>
      <c r="AF228" s="36"/>
      <c r="AG228" s="36"/>
      <c r="AH228" s="36" t="s">
        <v>237</v>
      </c>
      <c r="AI228" s="37">
        <v>-1700.0</v>
      </c>
      <c r="AJ228" s="37">
        <v>2000.0</v>
      </c>
      <c r="AK228" s="6" t="s">
        <v>100</v>
      </c>
      <c r="AL228" s="6" t="s">
        <v>72</v>
      </c>
      <c r="AM228" s="33" t="s">
        <v>238</v>
      </c>
      <c r="AN228" s="6" t="s">
        <v>76</v>
      </c>
      <c r="AO228" s="33"/>
      <c r="AP228" s="6" t="s">
        <v>102</v>
      </c>
      <c r="AQ228" s="33"/>
      <c r="AR228" s="33"/>
      <c r="AS228" s="33"/>
      <c r="AT228" s="6" t="s">
        <v>76</v>
      </c>
      <c r="AU228" s="33"/>
      <c r="AV228" s="33"/>
      <c r="AW228" s="33"/>
      <c r="AX228" s="33"/>
      <c r="AY228" s="33"/>
      <c r="AZ228" s="6" t="s">
        <v>76</v>
      </c>
      <c r="BA228" s="33"/>
      <c r="BB228" s="33">
        <f>VLOOKUP(O228,Eco_DEM_Data!$D$1:$AC$643,20,False)</f>
        <v>1183</v>
      </c>
      <c r="BC228" s="33">
        <f>VLOOKUP($O228,Eco_DEM_Data!$D$1:$AC$643,20,False)</f>
        <v>1183</v>
      </c>
      <c r="BD228" s="33">
        <f>VLOOKUP($O228,Eco_DEM_Data!$D$1:$AC$643,25,False)</f>
        <v>505</v>
      </c>
      <c r="BE228" s="33">
        <f>VLOOKUP($O228,Eco_DEM_Data!$D$1:$AC$643,22,False)</f>
        <v>44</v>
      </c>
      <c r="BF228" s="33">
        <f>VLOOKUP($O228,Eco_DEM_Data!$D$1:$AC$643,23,False)</f>
        <v>136</v>
      </c>
      <c r="BG228" s="33">
        <f>VLOOKUP($O228,Eco_DEM_Data!$D$1:$AC$643,21,False)</f>
        <v>5425</v>
      </c>
      <c r="BH228" s="33">
        <f>VLOOKUP($O228,Eco_DEM_Data!$D$1:$AC$643,26,False)</f>
        <v>22</v>
      </c>
      <c r="BI228" s="33" t="str">
        <f>VLOOKUP($O228,Eco_DEM_Data!$D$1:$AC$643,9,False)</f>
        <v>Yucatán moist forests</v>
      </c>
      <c r="BJ228" s="33" t="str">
        <f>VLOOKUP($O228,Eco_DEM_Data!$D$1:$AC$643,11,False)</f>
        <v>Tropical &amp; Subtropical Moist Broadleaf Forests</v>
      </c>
    </row>
    <row r="229">
      <c r="A229" s="33" t="s">
        <v>227</v>
      </c>
      <c r="B229" s="33" t="s">
        <v>2258</v>
      </c>
      <c r="C229" s="34">
        <v>8.0</v>
      </c>
      <c r="D229" s="33" t="s">
        <v>53</v>
      </c>
      <c r="E229" s="34">
        <v>2007.0</v>
      </c>
      <c r="F229" s="33" t="s">
        <v>228</v>
      </c>
      <c r="G229" s="33" t="s">
        <v>229</v>
      </c>
      <c r="H229" s="33" t="s">
        <v>230</v>
      </c>
      <c r="I229" s="33" t="s">
        <v>231</v>
      </c>
      <c r="J229" s="33" t="s">
        <v>232</v>
      </c>
      <c r="K229" s="34">
        <v>83.0</v>
      </c>
      <c r="L229" s="56">
        <v>43862.0</v>
      </c>
      <c r="M229" s="6" t="s">
        <v>233</v>
      </c>
      <c r="N229" s="35" t="s">
        <v>60</v>
      </c>
      <c r="O229" s="33" t="s">
        <v>247</v>
      </c>
      <c r="P229" s="36" t="s">
        <v>62</v>
      </c>
      <c r="Q229" s="36" t="s">
        <v>92</v>
      </c>
      <c r="R229" s="36" t="s">
        <v>235</v>
      </c>
      <c r="S229" s="37">
        <v>20.648487</v>
      </c>
      <c r="T229" s="37">
        <v>-87.637178</v>
      </c>
      <c r="U229" s="36" t="s">
        <v>148</v>
      </c>
      <c r="V229" s="6" t="s">
        <v>95</v>
      </c>
      <c r="W229" s="6" t="s">
        <v>96</v>
      </c>
      <c r="X229" s="1" t="s">
        <v>242</v>
      </c>
      <c r="Y229" s="6" t="s">
        <v>72</v>
      </c>
      <c r="Z229" s="36"/>
      <c r="AA229" s="37">
        <v>7.0</v>
      </c>
      <c r="AB229" s="36"/>
      <c r="AC229" s="36"/>
      <c r="AD229" s="36"/>
      <c r="AE229" s="36"/>
      <c r="AF229" s="36"/>
      <c r="AG229" s="36"/>
      <c r="AH229" s="36" t="s">
        <v>237</v>
      </c>
      <c r="AI229" s="37">
        <v>-1700.0</v>
      </c>
      <c r="AJ229" s="37">
        <v>2000.0</v>
      </c>
      <c r="AK229" s="6" t="s">
        <v>100</v>
      </c>
      <c r="AL229" s="6" t="s">
        <v>72</v>
      </c>
      <c r="AM229" s="33" t="s">
        <v>238</v>
      </c>
      <c r="AN229" s="6" t="s">
        <v>76</v>
      </c>
      <c r="AO229" s="33"/>
      <c r="AP229" s="6" t="s">
        <v>102</v>
      </c>
      <c r="AQ229" s="33"/>
      <c r="AR229" s="33"/>
      <c r="AS229" s="33"/>
      <c r="AT229" s="6" t="s">
        <v>76</v>
      </c>
      <c r="AU229" s="33"/>
      <c r="AV229" s="33"/>
      <c r="AW229" s="33"/>
      <c r="AX229" s="33"/>
      <c r="AY229" s="33"/>
      <c r="AZ229" s="6" t="s">
        <v>76</v>
      </c>
      <c r="BA229" s="33"/>
      <c r="BB229" s="33">
        <f>VLOOKUP(O229,Eco_DEM_Data!$D$1:$AC$643,20,False)</f>
        <v>1183</v>
      </c>
      <c r="BC229" s="33">
        <f>VLOOKUP($O229,Eco_DEM_Data!$D$1:$AC$643,20,False)</f>
        <v>1183</v>
      </c>
      <c r="BD229" s="33">
        <f>VLOOKUP($O229,Eco_DEM_Data!$D$1:$AC$643,25,False)</f>
        <v>505</v>
      </c>
      <c r="BE229" s="33">
        <f>VLOOKUP($O229,Eco_DEM_Data!$D$1:$AC$643,22,False)</f>
        <v>44</v>
      </c>
      <c r="BF229" s="33">
        <f>VLOOKUP($O229,Eco_DEM_Data!$D$1:$AC$643,23,False)</f>
        <v>136</v>
      </c>
      <c r="BG229" s="33">
        <f>VLOOKUP($O229,Eco_DEM_Data!$D$1:$AC$643,21,False)</f>
        <v>5425</v>
      </c>
      <c r="BH229" s="33">
        <f>VLOOKUP($O229,Eco_DEM_Data!$D$1:$AC$643,26,False)</f>
        <v>22</v>
      </c>
      <c r="BI229" s="33" t="str">
        <f>VLOOKUP($O229,Eco_DEM_Data!$D$1:$AC$643,9,False)</f>
        <v>Yucatán moist forests</v>
      </c>
      <c r="BJ229" s="33" t="str">
        <f>VLOOKUP($O229,Eco_DEM_Data!$D$1:$AC$643,11,False)</f>
        <v>Tropical &amp; Subtropical Moist Broadleaf Forests</v>
      </c>
    </row>
    <row r="230">
      <c r="A230" s="33" t="s">
        <v>1392</v>
      </c>
      <c r="B230" s="33" t="s">
        <v>2259</v>
      </c>
      <c r="C230" s="34">
        <v>1.0</v>
      </c>
      <c r="D230" s="33" t="s">
        <v>53</v>
      </c>
      <c r="E230" s="34">
        <v>2007.0</v>
      </c>
      <c r="F230" s="33" t="s">
        <v>1393</v>
      </c>
      <c r="G230" s="33" t="s">
        <v>1394</v>
      </c>
      <c r="H230" s="33" t="s">
        <v>1395</v>
      </c>
      <c r="I230" s="33" t="s">
        <v>1396</v>
      </c>
      <c r="J230" s="33" t="s">
        <v>1397</v>
      </c>
      <c r="K230" s="34">
        <v>104.0</v>
      </c>
      <c r="L230" s="34">
        <v>16.0</v>
      </c>
      <c r="M230" s="6" t="s">
        <v>1398</v>
      </c>
      <c r="N230" s="35" t="s">
        <v>76</v>
      </c>
      <c r="O230" s="33" t="s">
        <v>1392</v>
      </c>
      <c r="P230" s="36" t="s">
        <v>62</v>
      </c>
      <c r="Q230" s="36" t="s">
        <v>92</v>
      </c>
      <c r="R230" s="36" t="s">
        <v>1399</v>
      </c>
      <c r="S230" s="37">
        <v>18.332135</v>
      </c>
      <c r="T230" s="37">
        <v>-93.30773</v>
      </c>
      <c r="U230" s="36" t="s">
        <v>148</v>
      </c>
      <c r="V230" s="38" t="s">
        <v>293</v>
      </c>
      <c r="W230" s="41" t="s">
        <v>823</v>
      </c>
      <c r="X230" s="7" t="s">
        <v>1400</v>
      </c>
      <c r="Y230" s="41" t="s">
        <v>70</v>
      </c>
      <c r="Z230" s="43"/>
      <c r="AA230" s="42">
        <v>4.0</v>
      </c>
      <c r="AB230" s="43"/>
      <c r="AC230" s="43"/>
      <c r="AD230" s="43"/>
      <c r="AE230" s="43"/>
      <c r="AF230" s="43"/>
      <c r="AG230" s="43"/>
      <c r="AH230" s="38" t="s">
        <v>72</v>
      </c>
      <c r="AI230" s="42">
        <v>-5173.0</v>
      </c>
      <c r="AJ230" s="42">
        <v>1950.0</v>
      </c>
      <c r="AK230" s="5" t="s">
        <v>100</v>
      </c>
      <c r="AL230" s="5" t="s">
        <v>72</v>
      </c>
      <c r="AM230" s="41" t="s">
        <v>74</v>
      </c>
      <c r="AN230" s="5" t="s">
        <v>72</v>
      </c>
      <c r="AO230" s="41"/>
      <c r="AP230" s="5" t="s">
        <v>102</v>
      </c>
      <c r="AQ230" s="41"/>
      <c r="AR230" s="41"/>
      <c r="AS230" s="41"/>
      <c r="AT230" s="5" t="s">
        <v>60</v>
      </c>
      <c r="AU230" s="33"/>
      <c r="AV230" s="33"/>
      <c r="AW230" s="33"/>
      <c r="AX230" s="33"/>
      <c r="AY230" s="33"/>
      <c r="AZ230" s="6" t="s">
        <v>76</v>
      </c>
      <c r="BA230" s="33"/>
      <c r="BB230" s="33">
        <f>VLOOKUP(O230,Eco_DEM_Data!$D$1:$AC$643,20,False)</f>
        <v>1823</v>
      </c>
      <c r="BC230" s="33">
        <f>VLOOKUP($O230,Eco_DEM_Data!$D$1:$AC$643,20,False)</f>
        <v>1823</v>
      </c>
      <c r="BD230" s="33">
        <f>VLOOKUP($O230,Eco_DEM_Data!$D$1:$AC$643,25,False)</f>
        <v>822</v>
      </c>
      <c r="BE230" s="33">
        <f>VLOOKUP($O230,Eco_DEM_Data!$D$1:$AC$643,22,False)</f>
        <v>42</v>
      </c>
      <c r="BF230" s="33">
        <f>VLOOKUP($O230,Eco_DEM_Data!$D$1:$AC$643,23,False)</f>
        <v>144</v>
      </c>
      <c r="BG230" s="33">
        <f>VLOOKUP($O230,Eco_DEM_Data!$D$1:$AC$643,21,False)</f>
        <v>5987</v>
      </c>
      <c r="BH230" s="33">
        <f>VLOOKUP($O230,Eco_DEM_Data!$D$1:$AC$643,26,False)</f>
        <v>5</v>
      </c>
      <c r="BI230" s="33" t="str">
        <f>VLOOKUP($O230,Eco_DEM_Data!$D$1:$AC$643,9,False)</f>
        <v>Pantanos de Centla</v>
      </c>
      <c r="BJ230" s="33" t="str">
        <f>VLOOKUP($O230,Eco_DEM_Data!$D$1:$AC$643,11,False)</f>
        <v>Tropical &amp; Subtropical Moist Broadleaf Forests</v>
      </c>
    </row>
    <row r="231">
      <c r="A231" s="33" t="s">
        <v>1574</v>
      </c>
      <c r="B231" s="33" t="s">
        <v>2259</v>
      </c>
      <c r="C231" s="34">
        <v>1.0</v>
      </c>
      <c r="D231" s="33" t="s">
        <v>53</v>
      </c>
      <c r="E231" s="34">
        <v>2007.0</v>
      </c>
      <c r="F231" s="33" t="s">
        <v>1575</v>
      </c>
      <c r="G231" s="33" t="s">
        <v>1576</v>
      </c>
      <c r="H231" s="33" t="s">
        <v>303</v>
      </c>
      <c r="I231" s="50" t="s">
        <v>1577</v>
      </c>
      <c r="J231" s="33" t="s">
        <v>1578</v>
      </c>
      <c r="K231" s="34">
        <v>68.0</v>
      </c>
      <c r="L231" s="33"/>
      <c r="M231" s="6" t="s">
        <v>1579</v>
      </c>
      <c r="N231" s="35" t="s">
        <v>76</v>
      </c>
      <c r="O231" s="33" t="s">
        <v>1574</v>
      </c>
      <c r="P231" s="36" t="s">
        <v>62</v>
      </c>
      <c r="Q231" s="36" t="s">
        <v>187</v>
      </c>
      <c r="R231" s="36" t="s">
        <v>1580</v>
      </c>
      <c r="S231" s="37">
        <v>16.89</v>
      </c>
      <c r="T231" s="37">
        <v>-89.118889</v>
      </c>
      <c r="U231" s="36" t="s">
        <v>1581</v>
      </c>
      <c r="V231" s="6" t="s">
        <v>135</v>
      </c>
      <c r="W231" s="41" t="s">
        <v>823</v>
      </c>
      <c r="X231" s="7" t="s">
        <v>1583</v>
      </c>
      <c r="Y231" s="5" t="s">
        <v>728</v>
      </c>
      <c r="Z231" s="43"/>
      <c r="AA231" s="42">
        <v>9.0</v>
      </c>
      <c r="AB231" s="43"/>
      <c r="AC231" s="43"/>
      <c r="AD231" s="43"/>
      <c r="AE231" s="43"/>
      <c r="AF231" s="43"/>
      <c r="AG231" s="43"/>
      <c r="AH231" s="43" t="s">
        <v>1584</v>
      </c>
      <c r="AI231" s="42">
        <v>-650.0</v>
      </c>
      <c r="AJ231" s="42">
        <v>1950.0</v>
      </c>
      <c r="AK231" s="5" t="s">
        <v>73</v>
      </c>
      <c r="AL231" s="5" t="s">
        <v>60</v>
      </c>
      <c r="AM231" s="5" t="s">
        <v>72</v>
      </c>
      <c r="AN231" s="5" t="s">
        <v>72</v>
      </c>
      <c r="AO231" s="41"/>
      <c r="AP231" s="5" t="s">
        <v>102</v>
      </c>
      <c r="AQ231" s="41"/>
      <c r="AR231" s="41"/>
      <c r="AS231" s="41"/>
      <c r="AT231" s="6" t="s">
        <v>76</v>
      </c>
      <c r="AU231" s="33"/>
      <c r="AV231" s="33"/>
      <c r="AW231" s="33"/>
      <c r="AX231" s="33"/>
      <c r="AY231" s="33"/>
      <c r="AZ231" s="6" t="s">
        <v>76</v>
      </c>
      <c r="BA231" s="33"/>
      <c r="BB231" s="33">
        <f>VLOOKUP(O231,Eco_DEM_Data!$D$1:$AC$643,20,False)</f>
        <v>2136</v>
      </c>
      <c r="BC231" s="33">
        <f>VLOOKUP($O231,Eco_DEM_Data!$D$1:$AC$643,20,False)</f>
        <v>2136</v>
      </c>
      <c r="BD231" s="33">
        <f>VLOOKUP($O231,Eco_DEM_Data!$D$1:$AC$643,25,False)</f>
        <v>878</v>
      </c>
      <c r="BE231" s="33">
        <f>VLOOKUP($O231,Eco_DEM_Data!$D$1:$AC$643,22,False)</f>
        <v>51</v>
      </c>
      <c r="BF231" s="33">
        <f>VLOOKUP($O231,Eco_DEM_Data!$D$1:$AC$643,23,False)</f>
        <v>183</v>
      </c>
      <c r="BG231" s="33">
        <f>VLOOKUP($O231,Eco_DEM_Data!$D$1:$AC$643,21,False)</f>
        <v>5491</v>
      </c>
      <c r="BH231" s="33">
        <f>VLOOKUP($O231,Eco_DEM_Data!$D$1:$AC$643,26,False)</f>
        <v>481</v>
      </c>
      <c r="BI231" s="33" t="str">
        <f>VLOOKUP($O231,Eco_DEM_Data!$D$1:$AC$643,9,False)</f>
        <v>Petén-Veracruz moist forests</v>
      </c>
      <c r="BJ231" s="33" t="str">
        <f>VLOOKUP($O231,Eco_DEM_Data!$D$1:$AC$643,11,False)</f>
        <v>Tropical &amp; Subtropical Moist Broadleaf Forests</v>
      </c>
    </row>
    <row r="232">
      <c r="A232" s="33" t="s">
        <v>580</v>
      </c>
      <c r="B232" s="33" t="s">
        <v>2259</v>
      </c>
      <c r="C232" s="34">
        <v>4.0</v>
      </c>
      <c r="D232" s="33" t="s">
        <v>53</v>
      </c>
      <c r="E232" s="34">
        <v>2007.0</v>
      </c>
      <c r="F232" s="33" t="s">
        <v>581</v>
      </c>
      <c r="G232" s="33" t="s">
        <v>582</v>
      </c>
      <c r="H232" s="33" t="s">
        <v>583</v>
      </c>
      <c r="I232" s="33" t="s">
        <v>584</v>
      </c>
      <c r="J232" s="33" t="s">
        <v>585</v>
      </c>
      <c r="K232" s="34">
        <v>17.0</v>
      </c>
      <c r="L232" s="34">
        <v>6.0</v>
      </c>
      <c r="M232" s="6" t="s">
        <v>586</v>
      </c>
      <c r="N232" s="35" t="s">
        <v>60</v>
      </c>
      <c r="O232" s="33" t="s">
        <v>587</v>
      </c>
      <c r="P232" s="36" t="s">
        <v>62</v>
      </c>
      <c r="Q232" s="36" t="s">
        <v>167</v>
      </c>
      <c r="R232" s="36" t="s">
        <v>588</v>
      </c>
      <c r="S232" s="37">
        <v>17.533333</v>
      </c>
      <c r="T232" s="37">
        <v>-90.183333</v>
      </c>
      <c r="U232" s="36" t="s">
        <v>148</v>
      </c>
      <c r="V232" s="38" t="s">
        <v>66</v>
      </c>
      <c r="W232" s="41" t="s">
        <v>823</v>
      </c>
      <c r="X232" s="7" t="s">
        <v>589</v>
      </c>
      <c r="Y232" s="41" t="s">
        <v>70</v>
      </c>
      <c r="Z232" s="43"/>
      <c r="AA232" s="42">
        <v>6.0</v>
      </c>
      <c r="AB232" s="43"/>
      <c r="AC232" s="43"/>
      <c r="AD232" s="43"/>
      <c r="AE232" s="43"/>
      <c r="AF232" s="43"/>
      <c r="AG232" s="43"/>
      <c r="AH232" s="43" t="s">
        <v>590</v>
      </c>
      <c r="AI232" s="42">
        <v>-2700.0</v>
      </c>
      <c r="AJ232" s="42">
        <v>2001.0</v>
      </c>
      <c r="AK232" s="5" t="s">
        <v>73</v>
      </c>
      <c r="AL232" s="5" t="s">
        <v>76</v>
      </c>
      <c r="AM232" s="33" t="s">
        <v>400</v>
      </c>
      <c r="AN232" s="5" t="s">
        <v>72</v>
      </c>
      <c r="AO232" s="41"/>
      <c r="AP232" s="5" t="s">
        <v>102</v>
      </c>
      <c r="AQ232" s="41"/>
      <c r="AR232" s="41"/>
      <c r="AS232" s="41"/>
      <c r="AT232" s="5" t="s">
        <v>60</v>
      </c>
      <c r="AU232" s="33"/>
      <c r="AV232" s="33"/>
      <c r="AW232" s="33"/>
      <c r="AX232" s="33"/>
      <c r="AY232" s="33"/>
      <c r="AZ232" s="6" t="s">
        <v>76</v>
      </c>
      <c r="BA232" s="33"/>
      <c r="BB232" s="33">
        <f>VLOOKUP(O232,Eco_DEM_Data!$D$1:$AC$643,20,False)</f>
        <v>1598</v>
      </c>
      <c r="BC232" s="33">
        <f>VLOOKUP($O232,Eco_DEM_Data!$D$1:$AC$643,20,False)</f>
        <v>1598</v>
      </c>
      <c r="BD232" s="33">
        <f>VLOOKUP($O232,Eco_DEM_Data!$D$1:$AC$643,25,False)</f>
        <v>686</v>
      </c>
      <c r="BE232" s="33">
        <f>VLOOKUP($O232,Eco_DEM_Data!$D$1:$AC$643,22,False)</f>
        <v>33</v>
      </c>
      <c r="BF232" s="33">
        <f>VLOOKUP($O232,Eco_DEM_Data!$D$1:$AC$643,23,False)</f>
        <v>119</v>
      </c>
      <c r="BG232" s="33">
        <f>VLOOKUP($O232,Eco_DEM_Data!$D$1:$AC$643,21,False)</f>
        <v>6059</v>
      </c>
      <c r="BH232" s="33">
        <f>VLOOKUP($O232,Eco_DEM_Data!$D$1:$AC$643,26,False)</f>
        <v>238</v>
      </c>
      <c r="BI232" s="33" t="str">
        <f>VLOOKUP($O232,Eco_DEM_Data!$D$1:$AC$643,9,False)</f>
        <v>Petén-Veracruz moist forests</v>
      </c>
      <c r="BJ232" s="33" t="str">
        <f>VLOOKUP($O232,Eco_DEM_Data!$D$1:$AC$643,11,False)</f>
        <v>Tropical &amp; Subtropical Moist Broadleaf Forests</v>
      </c>
    </row>
    <row r="233">
      <c r="A233" s="33" t="s">
        <v>580</v>
      </c>
      <c r="B233" s="33" t="s">
        <v>2259</v>
      </c>
      <c r="C233" s="34">
        <v>4.0</v>
      </c>
      <c r="D233" s="33" t="s">
        <v>53</v>
      </c>
      <c r="E233" s="34">
        <v>2007.0</v>
      </c>
      <c r="F233" s="33" t="s">
        <v>581</v>
      </c>
      <c r="G233" s="33" t="s">
        <v>582</v>
      </c>
      <c r="H233" s="33" t="s">
        <v>583</v>
      </c>
      <c r="I233" s="33" t="s">
        <v>584</v>
      </c>
      <c r="J233" s="33" t="s">
        <v>585</v>
      </c>
      <c r="K233" s="34">
        <v>17.0</v>
      </c>
      <c r="L233" s="34">
        <v>6.0</v>
      </c>
      <c r="M233" s="6" t="s">
        <v>586</v>
      </c>
      <c r="N233" s="35" t="s">
        <v>60</v>
      </c>
      <c r="O233" s="33" t="s">
        <v>603</v>
      </c>
      <c r="P233" s="36" t="s">
        <v>62</v>
      </c>
      <c r="Q233" s="36" t="s">
        <v>167</v>
      </c>
      <c r="R233" s="36" t="s">
        <v>588</v>
      </c>
      <c r="S233" s="37">
        <v>17.533333</v>
      </c>
      <c r="T233" s="37">
        <v>-90.183333</v>
      </c>
      <c r="U233" s="36" t="s">
        <v>148</v>
      </c>
      <c r="V233" s="6" t="s">
        <v>189</v>
      </c>
      <c r="W233" s="33" t="s">
        <v>173</v>
      </c>
      <c r="X233" s="1" t="s">
        <v>286</v>
      </c>
      <c r="Y233" s="33" t="s">
        <v>70</v>
      </c>
      <c r="Z233" s="36"/>
      <c r="AA233" s="37">
        <v>6.0</v>
      </c>
      <c r="AB233" s="36"/>
      <c r="AC233" s="36"/>
      <c r="AD233" s="36"/>
      <c r="AE233" s="36"/>
      <c r="AF233" s="36"/>
      <c r="AG233" s="36"/>
      <c r="AH233" s="36" t="s">
        <v>590</v>
      </c>
      <c r="AI233" s="37">
        <v>-2700.0</v>
      </c>
      <c r="AJ233" s="37">
        <v>2001.0</v>
      </c>
      <c r="AK233" s="6" t="s">
        <v>73</v>
      </c>
      <c r="AL233" s="6" t="s">
        <v>76</v>
      </c>
      <c r="AM233" s="33" t="s">
        <v>400</v>
      </c>
      <c r="AN233" s="6" t="s">
        <v>72</v>
      </c>
      <c r="AO233" s="33"/>
      <c r="AP233" s="6" t="s">
        <v>102</v>
      </c>
      <c r="AQ233" s="33"/>
      <c r="AR233" s="33"/>
      <c r="AS233" s="33"/>
      <c r="AT233" s="6" t="s">
        <v>76</v>
      </c>
      <c r="AU233" s="33"/>
      <c r="AV233" s="33"/>
      <c r="AW233" s="33"/>
      <c r="AX233" s="33"/>
      <c r="AY233" s="33"/>
      <c r="AZ233" s="6" t="s">
        <v>76</v>
      </c>
      <c r="BA233" s="33"/>
      <c r="BB233" s="33">
        <f>VLOOKUP(O233,Eco_DEM_Data!$D$1:$AC$643,20,False)</f>
        <v>1598</v>
      </c>
      <c r="BC233" s="33">
        <f>VLOOKUP($O233,Eco_DEM_Data!$D$1:$AC$643,20,False)</f>
        <v>1598</v>
      </c>
      <c r="BD233" s="33">
        <f>VLOOKUP($O233,Eco_DEM_Data!$D$1:$AC$643,25,False)</f>
        <v>686</v>
      </c>
      <c r="BE233" s="33">
        <f>VLOOKUP($O233,Eco_DEM_Data!$D$1:$AC$643,22,False)</f>
        <v>33</v>
      </c>
      <c r="BF233" s="33">
        <f>VLOOKUP($O233,Eco_DEM_Data!$D$1:$AC$643,23,False)</f>
        <v>119</v>
      </c>
      <c r="BG233" s="33">
        <f>VLOOKUP($O233,Eco_DEM_Data!$D$1:$AC$643,21,False)</f>
        <v>6059</v>
      </c>
      <c r="BH233" s="33">
        <f>VLOOKUP($O233,Eco_DEM_Data!$D$1:$AC$643,26,False)</f>
        <v>238</v>
      </c>
      <c r="BI233" s="33" t="str">
        <f>VLOOKUP($O233,Eco_DEM_Data!$D$1:$AC$643,9,False)</f>
        <v>Petén-Veracruz moist forests</v>
      </c>
      <c r="BJ233" s="33" t="str">
        <f>VLOOKUP($O233,Eco_DEM_Data!$D$1:$AC$643,11,False)</f>
        <v>Tropical &amp; Subtropical Moist Broadleaf Forests</v>
      </c>
    </row>
    <row r="234">
      <c r="A234" s="33" t="s">
        <v>580</v>
      </c>
      <c r="B234" s="33" t="s">
        <v>2259</v>
      </c>
      <c r="C234" s="34">
        <v>4.0</v>
      </c>
      <c r="D234" s="33" t="s">
        <v>53</v>
      </c>
      <c r="E234" s="34">
        <v>2007.0</v>
      </c>
      <c r="F234" s="33" t="s">
        <v>581</v>
      </c>
      <c r="G234" s="33" t="s">
        <v>582</v>
      </c>
      <c r="H234" s="33" t="s">
        <v>583</v>
      </c>
      <c r="I234" s="33" t="s">
        <v>584</v>
      </c>
      <c r="J234" s="33" t="s">
        <v>585</v>
      </c>
      <c r="K234" s="34">
        <v>17.0</v>
      </c>
      <c r="L234" s="34">
        <v>6.0</v>
      </c>
      <c r="M234" s="6" t="s">
        <v>586</v>
      </c>
      <c r="N234" s="35" t="s">
        <v>60</v>
      </c>
      <c r="O234" s="33" t="s">
        <v>604</v>
      </c>
      <c r="P234" s="36" t="s">
        <v>62</v>
      </c>
      <c r="Q234" s="36" t="s">
        <v>167</v>
      </c>
      <c r="R234" s="36" t="s">
        <v>588</v>
      </c>
      <c r="S234" s="37">
        <v>17.533333</v>
      </c>
      <c r="T234" s="37">
        <v>-90.183333</v>
      </c>
      <c r="U234" s="36" t="s">
        <v>148</v>
      </c>
      <c r="V234" s="38" t="s">
        <v>194</v>
      </c>
      <c r="W234" s="33" t="s">
        <v>173</v>
      </c>
      <c r="X234" s="1" t="s">
        <v>284</v>
      </c>
      <c r="Y234" s="33" t="s">
        <v>70</v>
      </c>
      <c r="Z234" s="36"/>
      <c r="AA234" s="37">
        <v>6.0</v>
      </c>
      <c r="AB234" s="36"/>
      <c r="AC234" s="36"/>
      <c r="AD234" s="36"/>
      <c r="AE234" s="36"/>
      <c r="AF234" s="36"/>
      <c r="AG234" s="36"/>
      <c r="AH234" s="36" t="s">
        <v>590</v>
      </c>
      <c r="AI234" s="37">
        <v>-2700.0</v>
      </c>
      <c r="AJ234" s="37">
        <v>2001.0</v>
      </c>
      <c r="AK234" s="6" t="s">
        <v>73</v>
      </c>
      <c r="AL234" s="6" t="s">
        <v>76</v>
      </c>
      <c r="AM234" s="33" t="s">
        <v>400</v>
      </c>
      <c r="AN234" s="6" t="s">
        <v>72</v>
      </c>
      <c r="AO234" s="33"/>
      <c r="AP234" s="6" t="s">
        <v>102</v>
      </c>
      <c r="AQ234" s="33"/>
      <c r="AR234" s="33"/>
      <c r="AS234" s="33"/>
      <c r="AT234" s="6" t="s">
        <v>76</v>
      </c>
      <c r="AU234" s="33"/>
      <c r="AV234" s="33"/>
      <c r="AW234" s="33"/>
      <c r="AX234" s="33"/>
      <c r="AY234" s="33"/>
      <c r="AZ234" s="6" t="s">
        <v>76</v>
      </c>
      <c r="BA234" s="33"/>
      <c r="BB234" s="33">
        <f>VLOOKUP(O234,Eco_DEM_Data!$D$1:$AC$643,20,False)</f>
        <v>1598</v>
      </c>
      <c r="BC234" s="33">
        <f>VLOOKUP($O234,Eco_DEM_Data!$D$1:$AC$643,20,False)</f>
        <v>1598</v>
      </c>
      <c r="BD234" s="33">
        <f>VLOOKUP($O234,Eco_DEM_Data!$D$1:$AC$643,25,False)</f>
        <v>686</v>
      </c>
      <c r="BE234" s="33">
        <f>VLOOKUP($O234,Eco_DEM_Data!$D$1:$AC$643,22,False)</f>
        <v>33</v>
      </c>
      <c r="BF234" s="33">
        <f>VLOOKUP($O234,Eco_DEM_Data!$D$1:$AC$643,23,False)</f>
        <v>119</v>
      </c>
      <c r="BG234" s="33">
        <f>VLOOKUP($O234,Eco_DEM_Data!$D$1:$AC$643,21,False)</f>
        <v>6059</v>
      </c>
      <c r="BH234" s="33">
        <f>VLOOKUP($O234,Eco_DEM_Data!$D$1:$AC$643,26,False)</f>
        <v>238</v>
      </c>
      <c r="BI234" s="33" t="str">
        <f>VLOOKUP($O234,Eco_DEM_Data!$D$1:$AC$643,9,False)</f>
        <v>Petén-Veracruz moist forests</v>
      </c>
      <c r="BJ234" s="33" t="str">
        <f>VLOOKUP($O234,Eco_DEM_Data!$D$1:$AC$643,11,False)</f>
        <v>Tropical &amp; Subtropical Moist Broadleaf Forests</v>
      </c>
    </row>
    <row r="235">
      <c r="A235" s="33" t="s">
        <v>580</v>
      </c>
      <c r="B235" s="33" t="s">
        <v>2259</v>
      </c>
      <c r="C235" s="34">
        <v>4.0</v>
      </c>
      <c r="D235" s="33" t="s">
        <v>53</v>
      </c>
      <c r="E235" s="34">
        <v>2007.0</v>
      </c>
      <c r="F235" s="33" t="s">
        <v>581</v>
      </c>
      <c r="G235" s="33" t="s">
        <v>582</v>
      </c>
      <c r="H235" s="33" t="s">
        <v>583</v>
      </c>
      <c r="I235" s="33" t="s">
        <v>584</v>
      </c>
      <c r="J235" s="33" t="s">
        <v>585</v>
      </c>
      <c r="K235" s="34">
        <v>17.0</v>
      </c>
      <c r="L235" s="34">
        <v>6.0</v>
      </c>
      <c r="M235" s="6" t="s">
        <v>586</v>
      </c>
      <c r="N235" s="35" t="s">
        <v>60</v>
      </c>
      <c r="O235" s="33" t="s">
        <v>605</v>
      </c>
      <c r="P235" s="36" t="s">
        <v>62</v>
      </c>
      <c r="Q235" s="36" t="s">
        <v>167</v>
      </c>
      <c r="R235" s="36" t="s">
        <v>588</v>
      </c>
      <c r="S235" s="37">
        <v>17.533333</v>
      </c>
      <c r="T235" s="37">
        <v>-90.183333</v>
      </c>
      <c r="U235" s="36" t="s">
        <v>148</v>
      </c>
      <c r="V235" s="38" t="s">
        <v>382</v>
      </c>
      <c r="W235" s="33" t="s">
        <v>173</v>
      </c>
      <c r="X235" s="1" t="s">
        <v>606</v>
      </c>
      <c r="Y235" s="33" t="s">
        <v>544</v>
      </c>
      <c r="Z235" s="36"/>
      <c r="AA235" s="37">
        <v>6.0</v>
      </c>
      <c r="AB235" s="36"/>
      <c r="AC235" s="36"/>
      <c r="AD235" s="36"/>
      <c r="AE235" s="36"/>
      <c r="AF235" s="36"/>
      <c r="AG235" s="36"/>
      <c r="AH235" s="36" t="s">
        <v>590</v>
      </c>
      <c r="AI235" s="37">
        <v>-2700.0</v>
      </c>
      <c r="AJ235" s="37">
        <v>2001.0</v>
      </c>
      <c r="AK235" s="6" t="s">
        <v>73</v>
      </c>
      <c r="AL235" s="6" t="s">
        <v>76</v>
      </c>
      <c r="AM235" s="33" t="s">
        <v>400</v>
      </c>
      <c r="AN235" s="6" t="s">
        <v>72</v>
      </c>
      <c r="AO235" s="33"/>
      <c r="AP235" s="6" t="s">
        <v>102</v>
      </c>
      <c r="AQ235" s="33"/>
      <c r="AR235" s="33"/>
      <c r="AS235" s="33"/>
      <c r="AT235" s="6" t="s">
        <v>76</v>
      </c>
      <c r="AU235" s="33"/>
      <c r="AV235" s="33"/>
      <c r="AW235" s="33"/>
      <c r="AX235" s="33"/>
      <c r="AY235" s="33"/>
      <c r="AZ235" s="6" t="s">
        <v>76</v>
      </c>
      <c r="BA235" s="33"/>
      <c r="BB235" s="33">
        <f>VLOOKUP(O235,Eco_DEM_Data!$D$1:$AC$643,20,False)</f>
        <v>1598</v>
      </c>
      <c r="BC235" s="33">
        <f>VLOOKUP($O235,Eco_DEM_Data!$D$1:$AC$643,20,False)</f>
        <v>1598</v>
      </c>
      <c r="BD235" s="33">
        <f>VLOOKUP($O235,Eco_DEM_Data!$D$1:$AC$643,25,False)</f>
        <v>686</v>
      </c>
      <c r="BE235" s="33">
        <f>VLOOKUP($O235,Eco_DEM_Data!$D$1:$AC$643,22,False)</f>
        <v>33</v>
      </c>
      <c r="BF235" s="33">
        <f>VLOOKUP($O235,Eco_DEM_Data!$D$1:$AC$643,23,False)</f>
        <v>119</v>
      </c>
      <c r="BG235" s="33">
        <f>VLOOKUP($O235,Eco_DEM_Data!$D$1:$AC$643,21,False)</f>
        <v>6059</v>
      </c>
      <c r="BH235" s="33">
        <f>VLOOKUP($O235,Eco_DEM_Data!$D$1:$AC$643,26,False)</f>
        <v>238</v>
      </c>
      <c r="BI235" s="33" t="str">
        <f>VLOOKUP($O235,Eco_DEM_Data!$D$1:$AC$643,9,False)</f>
        <v>Petén-Veracruz moist forests</v>
      </c>
      <c r="BJ235" s="33" t="str">
        <f>VLOOKUP($O235,Eco_DEM_Data!$D$1:$AC$643,11,False)</f>
        <v>Tropical &amp; Subtropical Moist Broadleaf Forests</v>
      </c>
    </row>
    <row r="236">
      <c r="A236" s="33" t="s">
        <v>993</v>
      </c>
      <c r="B236" s="33" t="s">
        <v>2259</v>
      </c>
      <c r="C236" s="34">
        <v>4.0</v>
      </c>
      <c r="D236" s="33" t="s">
        <v>53</v>
      </c>
      <c r="E236" s="34">
        <v>2007.0</v>
      </c>
      <c r="F236" s="33" t="s">
        <v>994</v>
      </c>
      <c r="G236" s="33" t="s">
        <v>995</v>
      </c>
      <c r="H236" s="33" t="s">
        <v>631</v>
      </c>
      <c r="I236" s="33" t="s">
        <v>996</v>
      </c>
      <c r="J236" s="33" t="s">
        <v>997</v>
      </c>
      <c r="K236" s="34">
        <v>18.0</v>
      </c>
      <c r="L236" s="34">
        <v>2.0</v>
      </c>
      <c r="M236" s="6" t="s">
        <v>998</v>
      </c>
      <c r="N236" s="35" t="s">
        <v>60</v>
      </c>
      <c r="O236" s="33" t="s">
        <v>1217</v>
      </c>
      <c r="P236" s="36" t="s">
        <v>62</v>
      </c>
      <c r="Q236" s="36" t="s">
        <v>167</v>
      </c>
      <c r="R236" s="36" t="s">
        <v>1000</v>
      </c>
      <c r="S236" s="37">
        <v>17.669071</v>
      </c>
      <c r="T236" s="37">
        <v>-89.792832</v>
      </c>
      <c r="U236" s="36" t="s">
        <v>148</v>
      </c>
      <c r="V236" s="38" t="s">
        <v>66</v>
      </c>
      <c r="W236" s="41" t="s">
        <v>823</v>
      </c>
      <c r="X236" s="7" t="s">
        <v>589</v>
      </c>
      <c r="Y236" s="41" t="s">
        <v>70</v>
      </c>
      <c r="Z236" s="43"/>
      <c r="AA236" s="42">
        <v>2.0</v>
      </c>
      <c r="AB236" s="43"/>
      <c r="AC236" s="43"/>
      <c r="AD236" s="43"/>
      <c r="AE236" s="43"/>
      <c r="AF236" s="43"/>
      <c r="AG236" s="43"/>
      <c r="AH236" s="38" t="s">
        <v>72</v>
      </c>
      <c r="AI236" s="42">
        <v>1690.0</v>
      </c>
      <c r="AJ236" s="42">
        <v>1988.0</v>
      </c>
      <c r="AK236" s="5" t="s">
        <v>100</v>
      </c>
      <c r="AL236" s="5" t="s">
        <v>76</v>
      </c>
      <c r="AM236" s="41" t="s">
        <v>238</v>
      </c>
      <c r="AN236" s="5" t="s">
        <v>76</v>
      </c>
      <c r="AO236" s="41"/>
      <c r="AP236" s="5" t="s">
        <v>75</v>
      </c>
      <c r="AQ236" s="41"/>
      <c r="AR236" s="41"/>
      <c r="AS236" s="41"/>
      <c r="AT236" s="5" t="s">
        <v>60</v>
      </c>
      <c r="AU236" s="33"/>
      <c r="AV236" s="33"/>
      <c r="AW236" s="33"/>
      <c r="AX236" s="33"/>
      <c r="AY236" s="33"/>
      <c r="AZ236" s="6" t="s">
        <v>76</v>
      </c>
      <c r="BA236" s="33"/>
      <c r="BB236" s="33">
        <f>VLOOKUP(O236,Eco_DEM_Data!$D$1:$AC$643,20,False)</f>
        <v>1436</v>
      </c>
      <c r="BC236" s="33">
        <f>VLOOKUP($O236,Eco_DEM_Data!$D$1:$AC$643,20,False)</f>
        <v>1436</v>
      </c>
      <c r="BD236" s="33">
        <f>VLOOKUP($O236,Eco_DEM_Data!$D$1:$AC$643,25,False)</f>
        <v>608</v>
      </c>
      <c r="BE236" s="33">
        <f>VLOOKUP($O236,Eco_DEM_Data!$D$1:$AC$643,22,False)</f>
        <v>34</v>
      </c>
      <c r="BF236" s="33">
        <f>VLOOKUP($O236,Eco_DEM_Data!$D$1:$AC$643,23,False)</f>
        <v>112</v>
      </c>
      <c r="BG236" s="33">
        <f>VLOOKUP($O236,Eco_DEM_Data!$D$1:$AC$643,21,False)</f>
        <v>5881</v>
      </c>
      <c r="BH236" s="33">
        <f>VLOOKUP($O236,Eco_DEM_Data!$D$1:$AC$643,26,False)</f>
        <v>298</v>
      </c>
      <c r="BI236" s="33" t="str">
        <f>VLOOKUP($O236,Eco_DEM_Data!$D$1:$AC$643,9,False)</f>
        <v>Petén-Veracruz moist forests</v>
      </c>
      <c r="BJ236" s="33" t="str">
        <f>VLOOKUP($O236,Eco_DEM_Data!$D$1:$AC$643,11,False)</f>
        <v>Tropical &amp; Subtropical Moist Broadleaf Forests</v>
      </c>
    </row>
    <row r="237">
      <c r="A237" s="33" t="s">
        <v>993</v>
      </c>
      <c r="B237" s="33" t="s">
        <v>2259</v>
      </c>
      <c r="C237" s="34">
        <v>4.0</v>
      </c>
      <c r="D237" s="33" t="s">
        <v>53</v>
      </c>
      <c r="E237" s="34">
        <v>2007.0</v>
      </c>
      <c r="F237" s="33" t="s">
        <v>994</v>
      </c>
      <c r="G237" s="33" t="s">
        <v>995</v>
      </c>
      <c r="H237" s="33" t="s">
        <v>631</v>
      </c>
      <c r="I237" s="33" t="s">
        <v>996</v>
      </c>
      <c r="J237" s="33" t="s">
        <v>997</v>
      </c>
      <c r="K237" s="34">
        <v>18.0</v>
      </c>
      <c r="L237" s="34">
        <v>2.0</v>
      </c>
      <c r="M237" s="6" t="s">
        <v>998</v>
      </c>
      <c r="N237" s="35" t="s">
        <v>60</v>
      </c>
      <c r="O237" s="33" t="s">
        <v>1218</v>
      </c>
      <c r="P237" s="36" t="s">
        <v>62</v>
      </c>
      <c r="Q237" s="36" t="s">
        <v>167</v>
      </c>
      <c r="R237" s="36" t="s">
        <v>1000</v>
      </c>
      <c r="S237" s="37">
        <v>17.669071</v>
      </c>
      <c r="T237" s="37">
        <v>-89.792832</v>
      </c>
      <c r="U237" s="36" t="s">
        <v>148</v>
      </c>
      <c r="V237" s="6" t="s">
        <v>80</v>
      </c>
      <c r="W237" s="33" t="s">
        <v>156</v>
      </c>
      <c r="X237" s="1" t="s">
        <v>1219</v>
      </c>
      <c r="Y237" s="6" t="s">
        <v>158</v>
      </c>
      <c r="Z237" s="36"/>
      <c r="AA237" s="37">
        <v>2.0</v>
      </c>
      <c r="AB237" s="36"/>
      <c r="AC237" s="36"/>
      <c r="AD237" s="36"/>
      <c r="AE237" s="36"/>
      <c r="AF237" s="36"/>
      <c r="AG237" s="36"/>
      <c r="AH237" s="38" t="s">
        <v>72</v>
      </c>
      <c r="AI237" s="37">
        <v>690.0</v>
      </c>
      <c r="AJ237" s="37">
        <v>1988.0</v>
      </c>
      <c r="AK237" s="6" t="s">
        <v>100</v>
      </c>
      <c r="AL237" s="6" t="s">
        <v>76</v>
      </c>
      <c r="AM237" s="33" t="s">
        <v>238</v>
      </c>
      <c r="AN237" s="6" t="s">
        <v>76</v>
      </c>
      <c r="AO237" s="33"/>
      <c r="AP237" s="6" t="s">
        <v>75</v>
      </c>
      <c r="AQ237" s="33"/>
      <c r="AR237" s="33"/>
      <c r="AS237" s="33"/>
      <c r="AT237" s="6" t="s">
        <v>76</v>
      </c>
      <c r="AU237" s="33"/>
      <c r="AV237" s="33"/>
      <c r="AW237" s="33"/>
      <c r="AX237" s="33"/>
      <c r="AY237" s="33"/>
      <c r="AZ237" s="6" t="s">
        <v>76</v>
      </c>
      <c r="BA237" s="33"/>
      <c r="BB237" s="33">
        <f>VLOOKUP(O237,Eco_DEM_Data!$D$1:$AC$643,20,False)</f>
        <v>1436</v>
      </c>
      <c r="BC237" s="33">
        <f>VLOOKUP($O237,Eco_DEM_Data!$D$1:$AC$643,20,False)</f>
        <v>1436</v>
      </c>
      <c r="BD237" s="33">
        <f>VLOOKUP($O237,Eco_DEM_Data!$D$1:$AC$643,25,False)</f>
        <v>608</v>
      </c>
      <c r="BE237" s="33">
        <f>VLOOKUP($O237,Eco_DEM_Data!$D$1:$AC$643,22,False)</f>
        <v>34</v>
      </c>
      <c r="BF237" s="33">
        <f>VLOOKUP($O237,Eco_DEM_Data!$D$1:$AC$643,23,False)</f>
        <v>112</v>
      </c>
      <c r="BG237" s="33">
        <f>VLOOKUP($O237,Eco_DEM_Data!$D$1:$AC$643,21,False)</f>
        <v>5881</v>
      </c>
      <c r="BH237" s="33">
        <f>VLOOKUP($O237,Eco_DEM_Data!$D$1:$AC$643,26,False)</f>
        <v>298</v>
      </c>
      <c r="BI237" s="33" t="str">
        <f>VLOOKUP($O237,Eco_DEM_Data!$D$1:$AC$643,9,False)</f>
        <v>Petén-Veracruz moist forests</v>
      </c>
      <c r="BJ237" s="33" t="str">
        <f>VLOOKUP($O237,Eco_DEM_Data!$D$1:$AC$643,11,False)</f>
        <v>Tropical &amp; Subtropical Moist Broadleaf Forests</v>
      </c>
    </row>
    <row r="238">
      <c r="A238" s="33" t="s">
        <v>993</v>
      </c>
      <c r="B238" s="33" t="s">
        <v>2259</v>
      </c>
      <c r="C238" s="34">
        <v>4.0</v>
      </c>
      <c r="D238" s="33" t="s">
        <v>53</v>
      </c>
      <c r="E238" s="34">
        <v>2007.0</v>
      </c>
      <c r="F238" s="33" t="s">
        <v>994</v>
      </c>
      <c r="G238" s="33" t="s">
        <v>995</v>
      </c>
      <c r="H238" s="33" t="s">
        <v>631</v>
      </c>
      <c r="I238" s="33" t="s">
        <v>996</v>
      </c>
      <c r="J238" s="33" t="s">
        <v>997</v>
      </c>
      <c r="K238" s="34">
        <v>18.0</v>
      </c>
      <c r="L238" s="34">
        <v>2.0</v>
      </c>
      <c r="M238" s="6" t="s">
        <v>998</v>
      </c>
      <c r="N238" s="35" t="s">
        <v>60</v>
      </c>
      <c r="O238" s="33" t="s">
        <v>999</v>
      </c>
      <c r="P238" s="36" t="s">
        <v>62</v>
      </c>
      <c r="Q238" s="36" t="s">
        <v>167</v>
      </c>
      <c r="R238" s="36" t="s">
        <v>1000</v>
      </c>
      <c r="S238" s="37">
        <v>17.669071</v>
      </c>
      <c r="T238" s="37">
        <v>-89.792832</v>
      </c>
      <c r="U238" s="36" t="s">
        <v>148</v>
      </c>
      <c r="V238" s="6" t="s">
        <v>275</v>
      </c>
      <c r="W238" s="33" t="s">
        <v>72</v>
      </c>
      <c r="X238" s="1" t="s">
        <v>278</v>
      </c>
      <c r="Y238" s="33" t="s">
        <v>279</v>
      </c>
      <c r="Z238" s="36"/>
      <c r="AA238" s="37">
        <v>2.0</v>
      </c>
      <c r="AB238" s="36"/>
      <c r="AC238" s="36"/>
      <c r="AD238" s="36"/>
      <c r="AE238" s="36"/>
      <c r="AF238" s="36"/>
      <c r="AG238" s="36"/>
      <c r="AH238" s="38" t="s">
        <v>72</v>
      </c>
      <c r="AI238" s="37">
        <v>1690.0</v>
      </c>
      <c r="AJ238" s="37">
        <v>1988.0</v>
      </c>
      <c r="AK238" s="6" t="s">
        <v>100</v>
      </c>
      <c r="AL238" s="6" t="s">
        <v>76</v>
      </c>
      <c r="AM238" s="33" t="s">
        <v>238</v>
      </c>
      <c r="AN238" s="6" t="s">
        <v>76</v>
      </c>
      <c r="AO238" s="33"/>
      <c r="AP238" s="6" t="s">
        <v>75</v>
      </c>
      <c r="AQ238" s="33"/>
      <c r="AR238" s="33"/>
      <c r="AS238" s="33"/>
      <c r="AT238" s="6" t="s">
        <v>76</v>
      </c>
      <c r="AU238" s="33"/>
      <c r="AV238" s="33"/>
      <c r="AW238" s="33"/>
      <c r="AX238" s="33"/>
      <c r="AY238" s="33"/>
      <c r="AZ238" s="6" t="s">
        <v>76</v>
      </c>
      <c r="BA238" s="33"/>
      <c r="BB238" s="33">
        <f>VLOOKUP(O238,Eco_DEM_Data!$D$1:$AC$643,20,False)</f>
        <v>1436</v>
      </c>
      <c r="BC238" s="33">
        <f>VLOOKUP($O238,Eco_DEM_Data!$D$1:$AC$643,20,False)</f>
        <v>1436</v>
      </c>
      <c r="BD238" s="33">
        <f>VLOOKUP($O238,Eco_DEM_Data!$D$1:$AC$643,25,False)</f>
        <v>608</v>
      </c>
      <c r="BE238" s="33">
        <f>VLOOKUP($O238,Eco_DEM_Data!$D$1:$AC$643,22,False)</f>
        <v>34</v>
      </c>
      <c r="BF238" s="33">
        <f>VLOOKUP($O238,Eco_DEM_Data!$D$1:$AC$643,23,False)</f>
        <v>112</v>
      </c>
      <c r="BG238" s="33">
        <f>VLOOKUP($O238,Eco_DEM_Data!$D$1:$AC$643,21,False)</f>
        <v>5881</v>
      </c>
      <c r="BH238" s="33">
        <f>VLOOKUP($O238,Eco_DEM_Data!$D$1:$AC$643,26,False)</f>
        <v>298</v>
      </c>
      <c r="BI238" s="33" t="str">
        <f>VLOOKUP($O238,Eco_DEM_Data!$D$1:$AC$643,9,False)</f>
        <v>Petén-Veracruz moist forests</v>
      </c>
      <c r="BJ238" s="33" t="str">
        <f>VLOOKUP($O238,Eco_DEM_Data!$D$1:$AC$643,11,False)</f>
        <v>Tropical &amp; Subtropical Moist Broadleaf Forests</v>
      </c>
    </row>
    <row r="239">
      <c r="A239" s="33" t="s">
        <v>993</v>
      </c>
      <c r="B239" s="33" t="s">
        <v>2259</v>
      </c>
      <c r="C239" s="34">
        <v>4.0</v>
      </c>
      <c r="D239" s="33" t="s">
        <v>53</v>
      </c>
      <c r="E239" s="34">
        <v>2007.0</v>
      </c>
      <c r="F239" s="33" t="s">
        <v>994</v>
      </c>
      <c r="G239" s="33" t="s">
        <v>995</v>
      </c>
      <c r="H239" s="33" t="s">
        <v>631</v>
      </c>
      <c r="I239" s="33" t="s">
        <v>996</v>
      </c>
      <c r="J239" s="33" t="s">
        <v>997</v>
      </c>
      <c r="K239" s="34">
        <v>18.0</v>
      </c>
      <c r="L239" s="34">
        <v>2.0</v>
      </c>
      <c r="M239" s="6" t="s">
        <v>998</v>
      </c>
      <c r="N239" s="35" t="s">
        <v>60</v>
      </c>
      <c r="O239" s="33" t="s">
        <v>1220</v>
      </c>
      <c r="P239" s="36" t="s">
        <v>62</v>
      </c>
      <c r="Q239" s="36" t="s">
        <v>167</v>
      </c>
      <c r="R239" s="36" t="s">
        <v>1000</v>
      </c>
      <c r="S239" s="37">
        <v>17.669071</v>
      </c>
      <c r="T239" s="37">
        <v>-89.792832</v>
      </c>
      <c r="U239" s="36" t="s">
        <v>148</v>
      </c>
      <c r="V239" s="38" t="s">
        <v>194</v>
      </c>
      <c r="W239" s="33" t="s">
        <v>454</v>
      </c>
      <c r="X239" s="1" t="s">
        <v>286</v>
      </c>
      <c r="Y239" s="33" t="s">
        <v>70</v>
      </c>
      <c r="Z239" s="36"/>
      <c r="AA239" s="37">
        <v>2.0</v>
      </c>
      <c r="AB239" s="36"/>
      <c r="AC239" s="36"/>
      <c r="AD239" s="36"/>
      <c r="AE239" s="36"/>
      <c r="AF239" s="36"/>
      <c r="AG239" s="36"/>
      <c r="AH239" s="38" t="s">
        <v>72</v>
      </c>
      <c r="AI239" s="37">
        <v>1690.0</v>
      </c>
      <c r="AJ239" s="37">
        <v>1988.0</v>
      </c>
      <c r="AK239" s="6" t="s">
        <v>100</v>
      </c>
      <c r="AL239" s="6" t="s">
        <v>76</v>
      </c>
      <c r="AM239" s="33" t="s">
        <v>238</v>
      </c>
      <c r="AN239" s="6" t="s">
        <v>76</v>
      </c>
      <c r="AO239" s="33"/>
      <c r="AP239" s="6" t="s">
        <v>75</v>
      </c>
      <c r="AQ239" s="33"/>
      <c r="AR239" s="33"/>
      <c r="AS239" s="33"/>
      <c r="AT239" s="6" t="s">
        <v>76</v>
      </c>
      <c r="AU239" s="33"/>
      <c r="AV239" s="33"/>
      <c r="AW239" s="33"/>
      <c r="AX239" s="33"/>
      <c r="AY239" s="33"/>
      <c r="AZ239" s="6" t="s">
        <v>76</v>
      </c>
      <c r="BA239" s="33"/>
      <c r="BB239" s="33">
        <f>VLOOKUP(O239,Eco_DEM_Data!$D$1:$AC$643,20,False)</f>
        <v>1436</v>
      </c>
      <c r="BC239" s="33">
        <f>VLOOKUP($O239,Eco_DEM_Data!$D$1:$AC$643,20,False)</f>
        <v>1436</v>
      </c>
      <c r="BD239" s="33">
        <f>VLOOKUP($O239,Eco_DEM_Data!$D$1:$AC$643,25,False)</f>
        <v>608</v>
      </c>
      <c r="BE239" s="33">
        <f>VLOOKUP($O239,Eco_DEM_Data!$D$1:$AC$643,22,False)</f>
        <v>34</v>
      </c>
      <c r="BF239" s="33">
        <f>VLOOKUP($O239,Eco_DEM_Data!$D$1:$AC$643,23,False)</f>
        <v>112</v>
      </c>
      <c r="BG239" s="33">
        <f>VLOOKUP($O239,Eco_DEM_Data!$D$1:$AC$643,21,False)</f>
        <v>5881</v>
      </c>
      <c r="BH239" s="33">
        <f>VLOOKUP($O239,Eco_DEM_Data!$D$1:$AC$643,26,False)</f>
        <v>298</v>
      </c>
      <c r="BI239" s="33" t="str">
        <f>VLOOKUP($O239,Eco_DEM_Data!$D$1:$AC$643,9,False)</f>
        <v>Petén-Veracruz moist forests</v>
      </c>
      <c r="BJ239" s="33" t="str">
        <f>VLOOKUP($O239,Eco_DEM_Data!$D$1:$AC$643,11,False)</f>
        <v>Tropical &amp; Subtropical Moist Broadleaf Forests</v>
      </c>
    </row>
    <row r="240">
      <c r="A240" s="33" t="s">
        <v>2012</v>
      </c>
      <c r="B240" s="33" t="s">
        <v>2258</v>
      </c>
      <c r="C240" s="34">
        <v>2.0</v>
      </c>
      <c r="D240" s="33" t="s">
        <v>53</v>
      </c>
      <c r="E240" s="34">
        <v>2007.0</v>
      </c>
      <c r="F240" s="33" t="s">
        <v>2013</v>
      </c>
      <c r="G240" s="45" t="s">
        <v>2014</v>
      </c>
      <c r="H240" s="46"/>
      <c r="I240" s="46"/>
      <c r="J240" s="46"/>
      <c r="K240" s="46"/>
      <c r="L240" s="46"/>
      <c r="M240" s="33"/>
      <c r="N240" s="35" t="s">
        <v>60</v>
      </c>
      <c r="O240" s="33" t="s">
        <v>2015</v>
      </c>
      <c r="P240" s="36" t="s">
        <v>62</v>
      </c>
      <c r="Q240" s="36" t="s">
        <v>187</v>
      </c>
      <c r="R240" s="36" t="s">
        <v>1317</v>
      </c>
      <c r="S240" s="37">
        <v>16.883</v>
      </c>
      <c r="T240" s="37">
        <v>-89.108</v>
      </c>
      <c r="U240" s="36" t="s">
        <v>94</v>
      </c>
      <c r="V240" s="6" t="s">
        <v>95</v>
      </c>
      <c r="W240" s="6" t="s">
        <v>96</v>
      </c>
      <c r="X240" s="1" t="s">
        <v>2016</v>
      </c>
      <c r="Y240" s="6" t="s">
        <v>728</v>
      </c>
      <c r="Z240" s="36"/>
      <c r="AA240" s="37">
        <v>8.0</v>
      </c>
      <c r="AB240" s="36"/>
      <c r="AC240" s="37">
        <v>3.0</v>
      </c>
      <c r="AD240" s="36"/>
      <c r="AE240" s="37">
        <v>13.0</v>
      </c>
      <c r="AF240" s="36"/>
      <c r="AG240" s="36"/>
      <c r="AH240" s="38" t="s">
        <v>72</v>
      </c>
      <c r="AI240" s="37">
        <v>-1300.0</v>
      </c>
      <c r="AJ240" s="37">
        <v>2000.0</v>
      </c>
      <c r="AK240" s="6" t="s">
        <v>153</v>
      </c>
      <c r="AL240" s="6" t="s">
        <v>60</v>
      </c>
      <c r="AM240" s="5" t="s">
        <v>72</v>
      </c>
      <c r="AN240" s="6" t="s">
        <v>101</v>
      </c>
      <c r="AO240" s="33"/>
      <c r="AP240" s="6" t="s">
        <v>576</v>
      </c>
      <c r="AQ240" s="33"/>
      <c r="AR240" s="33"/>
      <c r="AS240" s="33"/>
      <c r="AT240" s="6" t="s">
        <v>76</v>
      </c>
      <c r="AU240" s="33"/>
      <c r="AV240" s="33"/>
      <c r="AW240" s="33"/>
      <c r="AX240" s="33"/>
      <c r="AY240" s="33"/>
      <c r="AZ240" s="6" t="s">
        <v>76</v>
      </c>
      <c r="BA240" s="33"/>
      <c r="BB240" s="33">
        <f>VLOOKUP(O240,Eco_DEM_Data!$D$1:$AC$643,20,False)</f>
        <v>2142</v>
      </c>
      <c r="BC240" s="33">
        <f>VLOOKUP($O240,Eco_DEM_Data!$D$1:$AC$643,20,False)</f>
        <v>2142</v>
      </c>
      <c r="BD240" s="33">
        <f>VLOOKUP($O240,Eco_DEM_Data!$D$1:$AC$643,25,False)</f>
        <v>878</v>
      </c>
      <c r="BE240" s="33">
        <f>VLOOKUP($O240,Eco_DEM_Data!$D$1:$AC$643,22,False)</f>
        <v>52</v>
      </c>
      <c r="BF240" s="33">
        <f>VLOOKUP($O240,Eco_DEM_Data!$D$1:$AC$643,23,False)</f>
        <v>184</v>
      </c>
      <c r="BG240" s="33">
        <f>VLOOKUP($O240,Eco_DEM_Data!$D$1:$AC$643,21,False)</f>
        <v>5497</v>
      </c>
      <c r="BH240" s="33">
        <f>VLOOKUP($O240,Eco_DEM_Data!$D$1:$AC$643,26,False)</f>
        <v>500</v>
      </c>
      <c r="BI240" s="33" t="str">
        <f>VLOOKUP($O240,Eco_DEM_Data!$D$1:$AC$643,9,False)</f>
        <v>Petén-Veracruz moist forests</v>
      </c>
      <c r="BJ240" s="33" t="str">
        <f>VLOOKUP($O240,Eco_DEM_Data!$D$1:$AC$643,11,False)</f>
        <v>Tropical &amp; Subtropical Moist Broadleaf Forests</v>
      </c>
    </row>
    <row r="241">
      <c r="A241" s="33" t="s">
        <v>2012</v>
      </c>
      <c r="B241" s="33" t="s">
        <v>2258</v>
      </c>
      <c r="C241" s="34">
        <v>2.0</v>
      </c>
      <c r="D241" s="33" t="s">
        <v>53</v>
      </c>
      <c r="E241" s="34">
        <v>2007.0</v>
      </c>
      <c r="F241" s="33" t="s">
        <v>2013</v>
      </c>
      <c r="G241" s="45" t="s">
        <v>2014</v>
      </c>
      <c r="H241" s="46"/>
      <c r="I241" s="46"/>
      <c r="J241" s="46"/>
      <c r="K241" s="46"/>
      <c r="L241" s="46"/>
      <c r="M241" s="33"/>
      <c r="N241" s="35" t="s">
        <v>60</v>
      </c>
      <c r="O241" s="33" t="s">
        <v>2017</v>
      </c>
      <c r="P241" s="36" t="s">
        <v>62</v>
      </c>
      <c r="Q241" s="36" t="s">
        <v>187</v>
      </c>
      <c r="R241" s="36" t="s">
        <v>1317</v>
      </c>
      <c r="S241" s="37">
        <v>16.883</v>
      </c>
      <c r="T241" s="37">
        <v>-89.108</v>
      </c>
      <c r="U241" s="36" t="s">
        <v>94</v>
      </c>
      <c r="V241" s="6" t="s">
        <v>135</v>
      </c>
      <c r="W241" s="6" t="s">
        <v>96</v>
      </c>
      <c r="X241" s="1" t="s">
        <v>2016</v>
      </c>
      <c r="Y241" s="6" t="s">
        <v>728</v>
      </c>
      <c r="Z241" s="36"/>
      <c r="AA241" s="37">
        <v>8.0</v>
      </c>
      <c r="AB241" s="36"/>
      <c r="AC241" s="37">
        <v>3.0</v>
      </c>
      <c r="AD241" s="36"/>
      <c r="AE241" s="37">
        <v>13.0</v>
      </c>
      <c r="AF241" s="36"/>
      <c r="AG241" s="36"/>
      <c r="AH241" s="38" t="s">
        <v>72</v>
      </c>
      <c r="AI241" s="37">
        <v>-1300.0</v>
      </c>
      <c r="AJ241" s="37">
        <v>2000.0</v>
      </c>
      <c r="AK241" s="6" t="s">
        <v>153</v>
      </c>
      <c r="AL241" s="6" t="s">
        <v>60</v>
      </c>
      <c r="AM241" s="5" t="s">
        <v>72</v>
      </c>
      <c r="AN241" s="6" t="s">
        <v>101</v>
      </c>
      <c r="AO241" s="33"/>
      <c r="AP241" s="6" t="s">
        <v>576</v>
      </c>
      <c r="AQ241" s="33"/>
      <c r="AR241" s="33"/>
      <c r="AS241" s="33"/>
      <c r="AT241" s="6" t="s">
        <v>76</v>
      </c>
      <c r="AU241" s="33"/>
      <c r="AV241" s="33"/>
      <c r="AW241" s="33"/>
      <c r="AX241" s="33"/>
      <c r="AY241" s="33"/>
      <c r="AZ241" s="6" t="s">
        <v>76</v>
      </c>
      <c r="BA241" s="33"/>
      <c r="BB241" s="33">
        <f>VLOOKUP(O241,Eco_DEM_Data!$D$1:$AC$643,20,False)</f>
        <v>2142</v>
      </c>
      <c r="BC241" s="33">
        <f>VLOOKUP($O241,Eco_DEM_Data!$D$1:$AC$643,20,False)</f>
        <v>2142</v>
      </c>
      <c r="BD241" s="33">
        <f>VLOOKUP($O241,Eco_DEM_Data!$D$1:$AC$643,25,False)</f>
        <v>878</v>
      </c>
      <c r="BE241" s="33">
        <f>VLOOKUP($O241,Eco_DEM_Data!$D$1:$AC$643,22,False)</f>
        <v>52</v>
      </c>
      <c r="BF241" s="33">
        <f>VLOOKUP($O241,Eco_DEM_Data!$D$1:$AC$643,23,False)</f>
        <v>184</v>
      </c>
      <c r="BG241" s="33">
        <f>VLOOKUP($O241,Eco_DEM_Data!$D$1:$AC$643,21,False)</f>
        <v>5497</v>
      </c>
      <c r="BH241" s="33">
        <f>VLOOKUP($O241,Eco_DEM_Data!$D$1:$AC$643,26,False)</f>
        <v>500</v>
      </c>
      <c r="BI241" s="33" t="str">
        <f>VLOOKUP($O241,Eco_DEM_Data!$D$1:$AC$643,9,False)</f>
        <v>Petén-Veracruz moist forests</v>
      </c>
      <c r="BJ241" s="33" t="str">
        <f>VLOOKUP($O241,Eco_DEM_Data!$D$1:$AC$643,11,False)</f>
        <v>Tropical &amp; Subtropical Moist Broadleaf Forests</v>
      </c>
    </row>
    <row r="242">
      <c r="A242" s="33" t="s">
        <v>772</v>
      </c>
      <c r="B242" s="33" t="s">
        <v>2258</v>
      </c>
      <c r="C242" s="34">
        <v>1.0</v>
      </c>
      <c r="D242" s="33" t="s">
        <v>53</v>
      </c>
      <c r="E242" s="34">
        <v>2008.0</v>
      </c>
      <c r="F242" s="33" t="s">
        <v>773</v>
      </c>
      <c r="G242" s="33" t="s">
        <v>774</v>
      </c>
      <c r="H242" s="33" t="s">
        <v>775</v>
      </c>
      <c r="I242" s="33" t="s">
        <v>776</v>
      </c>
      <c r="J242" s="33" t="s">
        <v>777</v>
      </c>
      <c r="K242" s="34">
        <v>113.0</v>
      </c>
      <c r="L242" s="34">
        <v>3.0</v>
      </c>
      <c r="M242" s="33"/>
      <c r="N242" s="35" t="s">
        <v>76</v>
      </c>
      <c r="O242" s="33" t="s">
        <v>772</v>
      </c>
      <c r="P242" s="36" t="s">
        <v>62</v>
      </c>
      <c r="Q242" s="36" t="s">
        <v>112</v>
      </c>
      <c r="R242" s="36" t="s">
        <v>778</v>
      </c>
      <c r="S242" s="37">
        <v>10.2</v>
      </c>
      <c r="T242" s="37">
        <v>-85.35</v>
      </c>
      <c r="U242" s="36" t="s">
        <v>225</v>
      </c>
      <c r="V242" s="38" t="s">
        <v>225</v>
      </c>
      <c r="W242" s="6" t="s">
        <v>96</v>
      </c>
      <c r="X242" s="3" t="s">
        <v>72</v>
      </c>
      <c r="Y242" s="33" t="s">
        <v>483</v>
      </c>
      <c r="Z242" s="36"/>
      <c r="AA242" s="37"/>
      <c r="AB242" s="36"/>
      <c r="AC242" s="36"/>
      <c r="AD242" s="36"/>
      <c r="AE242" s="36"/>
      <c r="AF242" s="37">
        <v>1.0</v>
      </c>
      <c r="AG242" s="36"/>
      <c r="AH242" s="38" t="s">
        <v>72</v>
      </c>
      <c r="AI242" s="37">
        <v>1988.0</v>
      </c>
      <c r="AJ242" s="37">
        <v>2004.0</v>
      </c>
      <c r="AK242" s="6" t="s">
        <v>153</v>
      </c>
      <c r="AL242" s="6" t="s">
        <v>72</v>
      </c>
      <c r="AM242" s="5" t="s">
        <v>72</v>
      </c>
      <c r="AN242" s="6" t="s">
        <v>101</v>
      </c>
      <c r="AO242" s="33"/>
      <c r="AP242" s="6" t="s">
        <v>102</v>
      </c>
      <c r="AQ242" s="33"/>
      <c r="AR242" s="33"/>
      <c r="AS242" s="33"/>
      <c r="AT242" s="6" t="s">
        <v>76</v>
      </c>
      <c r="AU242" s="33"/>
      <c r="AV242" s="33"/>
      <c r="AW242" s="33"/>
      <c r="AX242" s="33"/>
      <c r="AY242" s="33"/>
      <c r="AZ242" s="6" t="s">
        <v>76</v>
      </c>
      <c r="BA242" s="33"/>
      <c r="BB242" s="33">
        <f>VLOOKUP(O242,Eco_DEM_Data!$D$1:$AC$643,20,False)</f>
        <v>1892</v>
      </c>
      <c r="BC242" s="33">
        <f>VLOOKUP($O242,Eco_DEM_Data!$D$1:$AC$643,20,False)</f>
        <v>1892</v>
      </c>
      <c r="BD242" s="33">
        <f>VLOOKUP($O242,Eco_DEM_Data!$D$1:$AC$643,25,False)</f>
        <v>928</v>
      </c>
      <c r="BE242" s="33">
        <f>VLOOKUP($O242,Eco_DEM_Data!$D$1:$AC$643,22,False)</f>
        <v>3</v>
      </c>
      <c r="BF242" s="33">
        <f>VLOOKUP($O242,Eco_DEM_Data!$D$1:$AC$643,23,False)</f>
        <v>22</v>
      </c>
      <c r="BG242" s="33">
        <f>VLOOKUP($O242,Eco_DEM_Data!$D$1:$AC$643,21,False)</f>
        <v>8663</v>
      </c>
      <c r="BH242" s="33">
        <f>VLOOKUP($O242,Eco_DEM_Data!$D$1:$AC$643,26,False)</f>
        <v>328</v>
      </c>
      <c r="BI242" s="33" t="str">
        <f>VLOOKUP($O242,Eco_DEM_Data!$D$1:$AC$643,9,False)</f>
        <v>Central American dry forests</v>
      </c>
      <c r="BJ242" s="33" t="str">
        <f>VLOOKUP($O242,Eco_DEM_Data!$D$1:$AC$643,11,False)</f>
        <v>Tropical &amp; Subtropical Dry Broadleaf Forests</v>
      </c>
    </row>
    <row r="243">
      <c r="A243" s="33" t="s">
        <v>1881</v>
      </c>
      <c r="B243" s="33" t="s">
        <v>2258</v>
      </c>
      <c r="C243" s="34">
        <v>1.0</v>
      </c>
      <c r="D243" s="33" t="s">
        <v>53</v>
      </c>
      <c r="E243" s="34">
        <v>2008.0</v>
      </c>
      <c r="F243" s="33" t="s">
        <v>1882</v>
      </c>
      <c r="G243" s="33" t="s">
        <v>1883</v>
      </c>
      <c r="H243" s="33" t="s">
        <v>1884</v>
      </c>
      <c r="I243" s="33" t="s">
        <v>1885</v>
      </c>
      <c r="J243" s="33" t="s">
        <v>1886</v>
      </c>
      <c r="K243" s="34">
        <v>17.0</v>
      </c>
      <c r="L243" s="34">
        <v>3.0</v>
      </c>
      <c r="M243" s="6" t="s">
        <v>1887</v>
      </c>
      <c r="N243" s="35" t="s">
        <v>76</v>
      </c>
      <c r="O243" s="33" t="s">
        <v>1881</v>
      </c>
      <c r="P243" s="36" t="s">
        <v>62</v>
      </c>
      <c r="Q243" s="36" t="s">
        <v>92</v>
      </c>
      <c r="R243" s="36" t="s">
        <v>1888</v>
      </c>
      <c r="S243" s="37">
        <v>16.991</v>
      </c>
      <c r="T243" s="37">
        <v>-91.59156</v>
      </c>
      <c r="U243" s="36" t="s">
        <v>148</v>
      </c>
      <c r="V243" s="38" t="s">
        <v>66</v>
      </c>
      <c r="W243" s="41" t="s">
        <v>1287</v>
      </c>
      <c r="X243" s="7" t="s">
        <v>1889</v>
      </c>
      <c r="Y243" s="41" t="s">
        <v>70</v>
      </c>
      <c r="Z243" s="43"/>
      <c r="AA243" s="42">
        <v>6.0</v>
      </c>
      <c r="AB243" s="43"/>
      <c r="AC243" s="43"/>
      <c r="AD243" s="43"/>
      <c r="AE243" s="43"/>
      <c r="AF243" s="43"/>
      <c r="AG243" s="43"/>
      <c r="AH243" s="38" t="s">
        <v>72</v>
      </c>
      <c r="AI243" s="42">
        <v>-70.0</v>
      </c>
      <c r="AJ243" s="42">
        <v>1950.0</v>
      </c>
      <c r="AK243" s="5" t="s">
        <v>73</v>
      </c>
      <c r="AL243" s="5" t="s">
        <v>60</v>
      </c>
      <c r="AM243" s="41" t="s">
        <v>74</v>
      </c>
      <c r="AN243" s="5" t="s">
        <v>72</v>
      </c>
      <c r="AO243" s="41"/>
      <c r="AP243" s="5" t="s">
        <v>75</v>
      </c>
      <c r="AQ243" s="5" t="s">
        <v>101</v>
      </c>
      <c r="AR243" s="5" t="s">
        <v>101</v>
      </c>
      <c r="AS243" s="5" t="s">
        <v>101</v>
      </c>
      <c r="AT243" s="5" t="s">
        <v>76</v>
      </c>
      <c r="AU243" s="33"/>
      <c r="AV243" s="33"/>
      <c r="AW243" s="33"/>
      <c r="AX243" s="33"/>
      <c r="AY243" s="6" t="s">
        <v>76</v>
      </c>
      <c r="AZ243" s="6" t="s">
        <v>76</v>
      </c>
      <c r="BA243" s="33"/>
      <c r="BB243" s="33">
        <f>VLOOKUP(O243,Eco_DEM_Data!$D$1:$AC$643,20,False)</f>
        <v>2106</v>
      </c>
      <c r="BC243" s="33">
        <f>VLOOKUP($O243,Eco_DEM_Data!$D$1:$AC$643,20,False)</f>
        <v>2106</v>
      </c>
      <c r="BD243" s="33">
        <f>VLOOKUP($O243,Eco_DEM_Data!$D$1:$AC$643,25,False)</f>
        <v>892</v>
      </c>
      <c r="BE243" s="33">
        <f>VLOOKUP($O243,Eco_DEM_Data!$D$1:$AC$643,22,False)</f>
        <v>57</v>
      </c>
      <c r="BF243" s="33">
        <f>VLOOKUP($O243,Eco_DEM_Data!$D$1:$AC$643,23,False)</f>
        <v>187</v>
      </c>
      <c r="BG243" s="33">
        <f>VLOOKUP($O243,Eco_DEM_Data!$D$1:$AC$643,21,False)</f>
        <v>6177</v>
      </c>
      <c r="BH243" s="33">
        <f>VLOOKUP($O243,Eco_DEM_Data!$D$1:$AC$643,26,False)</f>
        <v>835</v>
      </c>
      <c r="BI243" s="33" t="str">
        <f>VLOOKUP($O243,Eco_DEM_Data!$D$1:$AC$643,9,False)</f>
        <v>Petén-Veracruz moist forests</v>
      </c>
      <c r="BJ243" s="33" t="str">
        <f>VLOOKUP($O243,Eco_DEM_Data!$D$1:$AC$643,11,False)</f>
        <v>Tropical &amp; Subtropical Moist Broadleaf Forests</v>
      </c>
    </row>
    <row r="244">
      <c r="A244" s="33" t="s">
        <v>1656</v>
      </c>
      <c r="B244" s="33" t="s">
        <v>2258</v>
      </c>
      <c r="C244" s="34">
        <v>2.0</v>
      </c>
      <c r="D244" s="33" t="s">
        <v>53</v>
      </c>
      <c r="E244" s="34">
        <v>2008.0</v>
      </c>
      <c r="F244" s="33" t="s">
        <v>1657</v>
      </c>
      <c r="G244" s="33" t="s">
        <v>1658</v>
      </c>
      <c r="H244" s="33" t="s">
        <v>1386</v>
      </c>
      <c r="I244" s="33" t="s">
        <v>1659</v>
      </c>
      <c r="J244" s="33" t="s">
        <v>1660</v>
      </c>
      <c r="K244" s="34">
        <v>27.0</v>
      </c>
      <c r="L244" s="56">
        <v>44176.0</v>
      </c>
      <c r="M244" s="6" t="s">
        <v>1661</v>
      </c>
      <c r="N244" s="35" t="s">
        <v>60</v>
      </c>
      <c r="O244" s="33" t="s">
        <v>1662</v>
      </c>
      <c r="P244" s="36" t="s">
        <v>62</v>
      </c>
      <c r="Q244" s="36" t="s">
        <v>167</v>
      </c>
      <c r="R244" s="36" t="s">
        <v>512</v>
      </c>
      <c r="S244" s="37">
        <v>16.916667</v>
      </c>
      <c r="T244" s="37">
        <v>-89.833333</v>
      </c>
      <c r="U244" s="36" t="s">
        <v>148</v>
      </c>
      <c r="V244" s="38" t="s">
        <v>382</v>
      </c>
      <c r="W244" s="6" t="s">
        <v>1266</v>
      </c>
      <c r="X244" s="1" t="s">
        <v>1663</v>
      </c>
      <c r="Y244" s="6" t="s">
        <v>968</v>
      </c>
      <c r="Z244" s="36"/>
      <c r="AA244" s="37">
        <v>23.0</v>
      </c>
      <c r="AB244" s="36"/>
      <c r="AC244" s="36"/>
      <c r="AD244" s="36"/>
      <c r="AE244" s="36"/>
      <c r="AF244" s="36"/>
      <c r="AG244" s="37">
        <v>4.0</v>
      </c>
      <c r="AH244" s="38" t="s">
        <v>72</v>
      </c>
      <c r="AI244" s="37">
        <v>-83000.0</v>
      </c>
      <c r="AJ244" s="37">
        <v>1950.0</v>
      </c>
      <c r="AK244" s="6" t="s">
        <v>100</v>
      </c>
      <c r="AL244" s="6" t="s">
        <v>76</v>
      </c>
      <c r="AM244" s="33" t="s">
        <v>1391</v>
      </c>
      <c r="AN244" s="6" t="s">
        <v>76</v>
      </c>
      <c r="AO244" s="33"/>
      <c r="AP244" s="6" t="s">
        <v>75</v>
      </c>
      <c r="AQ244" s="33"/>
      <c r="AR244" s="33"/>
      <c r="AS244" s="33"/>
      <c r="AT244" s="6" t="s">
        <v>76</v>
      </c>
      <c r="AU244" s="33"/>
      <c r="AV244" s="33"/>
      <c r="AW244" s="33"/>
      <c r="AX244" s="33"/>
      <c r="AY244" s="33"/>
      <c r="AZ244" s="6" t="s">
        <v>76</v>
      </c>
      <c r="BA244" s="33"/>
      <c r="BB244" s="33">
        <f>VLOOKUP(O244,Eco_DEM_Data!$D$1:$AC$643,20,False)</f>
        <v>1738</v>
      </c>
      <c r="BC244" s="33">
        <f>VLOOKUP($O244,Eco_DEM_Data!$D$1:$AC$643,20,False)</f>
        <v>1738</v>
      </c>
      <c r="BD244" s="33">
        <f>VLOOKUP($O244,Eco_DEM_Data!$D$1:$AC$643,25,False)</f>
        <v>690</v>
      </c>
      <c r="BE244" s="33">
        <f>VLOOKUP($O244,Eco_DEM_Data!$D$1:$AC$643,22,False)</f>
        <v>36</v>
      </c>
      <c r="BF244" s="33">
        <f>VLOOKUP($O244,Eco_DEM_Data!$D$1:$AC$643,23,False)</f>
        <v>144</v>
      </c>
      <c r="BG244" s="33">
        <f>VLOOKUP($O244,Eco_DEM_Data!$D$1:$AC$643,21,False)</f>
        <v>5677</v>
      </c>
      <c r="BH244" s="33">
        <f>VLOOKUP($O244,Eco_DEM_Data!$D$1:$AC$643,26,False)</f>
        <v>131</v>
      </c>
      <c r="BI244" s="33" t="str">
        <f>VLOOKUP($O244,Eco_DEM_Data!$D$1:$AC$643,9,False)</f>
        <v>Petén-Veracruz moist forests</v>
      </c>
      <c r="BJ244" s="33" t="str">
        <f>VLOOKUP($O244,Eco_DEM_Data!$D$1:$AC$643,11,False)</f>
        <v>Tropical &amp; Subtropical Moist Broadleaf Forests</v>
      </c>
    </row>
    <row r="245">
      <c r="A245" s="33" t="s">
        <v>1656</v>
      </c>
      <c r="B245" s="33" t="s">
        <v>2258</v>
      </c>
      <c r="C245" s="34">
        <v>2.0</v>
      </c>
      <c r="D245" s="33" t="s">
        <v>53</v>
      </c>
      <c r="E245" s="34">
        <v>2008.0</v>
      </c>
      <c r="F245" s="33" t="s">
        <v>1657</v>
      </c>
      <c r="G245" s="33" t="s">
        <v>1658</v>
      </c>
      <c r="H245" s="33" t="s">
        <v>1386</v>
      </c>
      <c r="I245" s="33" t="s">
        <v>1659</v>
      </c>
      <c r="J245" s="33" t="s">
        <v>1660</v>
      </c>
      <c r="K245" s="34">
        <v>27.0</v>
      </c>
      <c r="L245" s="56">
        <v>44176.0</v>
      </c>
      <c r="M245" s="6" t="s">
        <v>1661</v>
      </c>
      <c r="N245" s="35" t="s">
        <v>60</v>
      </c>
      <c r="O245" s="33" t="s">
        <v>1664</v>
      </c>
      <c r="P245" s="36" t="s">
        <v>62</v>
      </c>
      <c r="Q245" s="36" t="s">
        <v>167</v>
      </c>
      <c r="R245" s="36" t="s">
        <v>512</v>
      </c>
      <c r="S245" s="37">
        <v>16.916667</v>
      </c>
      <c r="T245" s="37">
        <v>-89.833333</v>
      </c>
      <c r="U245" s="36" t="s">
        <v>148</v>
      </c>
      <c r="V245" s="6" t="s">
        <v>275</v>
      </c>
      <c r="W245" s="6" t="s">
        <v>1266</v>
      </c>
      <c r="X245" s="1" t="s">
        <v>278</v>
      </c>
      <c r="Y245" s="33" t="s">
        <v>279</v>
      </c>
      <c r="Z245" s="36"/>
      <c r="AA245" s="37">
        <v>23.0</v>
      </c>
      <c r="AB245" s="36"/>
      <c r="AC245" s="36"/>
      <c r="AD245" s="36"/>
      <c r="AE245" s="36"/>
      <c r="AF245" s="36"/>
      <c r="AG245" s="37">
        <v>4.0</v>
      </c>
      <c r="AH245" s="38" t="s">
        <v>72</v>
      </c>
      <c r="AI245" s="37">
        <v>-83000.0</v>
      </c>
      <c r="AJ245" s="37">
        <v>1950.0</v>
      </c>
      <c r="AK245" s="6" t="s">
        <v>100</v>
      </c>
      <c r="AL245" s="6" t="s">
        <v>76</v>
      </c>
      <c r="AM245" s="33" t="s">
        <v>1391</v>
      </c>
      <c r="AN245" s="6" t="s">
        <v>76</v>
      </c>
      <c r="AO245" s="33"/>
      <c r="AP245" s="6" t="s">
        <v>75</v>
      </c>
      <c r="AQ245" s="33"/>
      <c r="AR245" s="33"/>
      <c r="AS245" s="33"/>
      <c r="AT245" s="6" t="s">
        <v>76</v>
      </c>
      <c r="AU245" s="33"/>
      <c r="AV245" s="33"/>
      <c r="AW245" s="33"/>
      <c r="AX245" s="33"/>
      <c r="AY245" s="33"/>
      <c r="AZ245" s="6" t="s">
        <v>76</v>
      </c>
      <c r="BA245" s="33"/>
      <c r="BB245" s="33">
        <f>VLOOKUP(O245,Eco_DEM_Data!$D$1:$AC$643,20,False)</f>
        <v>1738</v>
      </c>
      <c r="BC245" s="33">
        <f>VLOOKUP($O245,Eco_DEM_Data!$D$1:$AC$643,20,False)</f>
        <v>1738</v>
      </c>
      <c r="BD245" s="33">
        <f>VLOOKUP($O245,Eco_DEM_Data!$D$1:$AC$643,25,False)</f>
        <v>690</v>
      </c>
      <c r="BE245" s="33">
        <f>VLOOKUP($O245,Eco_DEM_Data!$D$1:$AC$643,22,False)</f>
        <v>36</v>
      </c>
      <c r="BF245" s="33">
        <f>VLOOKUP($O245,Eco_DEM_Data!$D$1:$AC$643,23,False)</f>
        <v>144</v>
      </c>
      <c r="BG245" s="33">
        <f>VLOOKUP($O245,Eco_DEM_Data!$D$1:$AC$643,21,False)</f>
        <v>5677</v>
      </c>
      <c r="BH245" s="33">
        <f>VLOOKUP($O245,Eco_DEM_Data!$D$1:$AC$643,26,False)</f>
        <v>131</v>
      </c>
      <c r="BI245" s="33" t="str">
        <f>VLOOKUP($O245,Eco_DEM_Data!$D$1:$AC$643,9,False)</f>
        <v>Petén-Veracruz moist forests</v>
      </c>
      <c r="BJ245" s="33" t="str">
        <f>VLOOKUP($O245,Eco_DEM_Data!$D$1:$AC$643,11,False)</f>
        <v>Tropical &amp; Subtropical Moist Broadleaf Forests</v>
      </c>
    </row>
    <row r="246">
      <c r="A246" s="33" t="s">
        <v>1010</v>
      </c>
      <c r="B246" s="33" t="s">
        <v>2259</v>
      </c>
      <c r="C246" s="34">
        <v>5.0</v>
      </c>
      <c r="D246" s="33" t="s">
        <v>268</v>
      </c>
      <c r="E246" s="34">
        <v>2008.0</v>
      </c>
      <c r="F246" s="33" t="s">
        <v>1011</v>
      </c>
      <c r="G246" s="45" t="s">
        <v>1012</v>
      </c>
      <c r="H246" s="46"/>
      <c r="I246" s="33"/>
      <c r="J246" s="33" t="s">
        <v>1013</v>
      </c>
      <c r="K246" s="34">
        <v>40.0</v>
      </c>
      <c r="L246" s="33"/>
      <c r="M246" s="6" t="s">
        <v>1014</v>
      </c>
      <c r="N246" s="35" t="s">
        <v>60</v>
      </c>
      <c r="O246" s="33" t="s">
        <v>2018</v>
      </c>
      <c r="P246" s="36" t="s">
        <v>62</v>
      </c>
      <c r="Q246" s="36" t="s">
        <v>112</v>
      </c>
      <c r="R246" s="36" t="s">
        <v>1016</v>
      </c>
      <c r="S246" s="37">
        <v>10.43972</v>
      </c>
      <c r="T246" s="37">
        <v>-84.00667</v>
      </c>
      <c r="U246" s="36" t="s">
        <v>114</v>
      </c>
      <c r="V246" s="6" t="s">
        <v>80</v>
      </c>
      <c r="W246" s="33" t="s">
        <v>156</v>
      </c>
      <c r="X246" s="1" t="s">
        <v>1534</v>
      </c>
      <c r="Y246" s="33" t="s">
        <v>1151</v>
      </c>
      <c r="Z246" s="36"/>
      <c r="AA246" s="37">
        <v>5.0</v>
      </c>
      <c r="AB246" s="36"/>
      <c r="AC246" s="36"/>
      <c r="AD246" s="36"/>
      <c r="AE246" s="36"/>
      <c r="AF246" s="36"/>
      <c r="AG246" s="36"/>
      <c r="AH246" s="38" t="s">
        <v>1018</v>
      </c>
      <c r="AI246" s="37">
        <v>-1350.0</v>
      </c>
      <c r="AJ246" s="37">
        <v>1950.0</v>
      </c>
      <c r="AK246" s="6" t="s">
        <v>73</v>
      </c>
      <c r="AL246" s="6" t="s">
        <v>72</v>
      </c>
      <c r="AM246" s="33" t="s">
        <v>74</v>
      </c>
      <c r="AN246" s="6" t="s">
        <v>72</v>
      </c>
      <c r="AO246" s="33"/>
      <c r="AP246" s="6" t="s">
        <v>75</v>
      </c>
      <c r="AQ246" s="33"/>
      <c r="AR246" s="33"/>
      <c r="AS246" s="33"/>
      <c r="AT246" s="6" t="s">
        <v>76</v>
      </c>
      <c r="AU246" s="33"/>
      <c r="AV246" s="33"/>
      <c r="AW246" s="33"/>
      <c r="AX246" s="33"/>
      <c r="AY246" s="33"/>
      <c r="AZ246" s="6" t="s">
        <v>76</v>
      </c>
      <c r="BA246" s="33"/>
      <c r="BB246" s="33">
        <f>VLOOKUP(O246,Eco_DEM_Data!$D$1:$AC$643,20,False)</f>
        <v>3680</v>
      </c>
      <c r="BC246" s="33">
        <f>VLOOKUP($O246,Eco_DEM_Data!$D$1:$AC$643,20,False)</f>
        <v>3680</v>
      </c>
      <c r="BD246" s="33">
        <f>VLOOKUP($O246,Eco_DEM_Data!$D$1:$AC$643,25,False)</f>
        <v>1257</v>
      </c>
      <c r="BE246" s="33">
        <f>VLOOKUP($O246,Eco_DEM_Data!$D$1:$AC$643,22,False)</f>
        <v>131</v>
      </c>
      <c r="BF246" s="33">
        <f>VLOOKUP($O246,Eco_DEM_Data!$D$1:$AC$643,23,False)</f>
        <v>422</v>
      </c>
      <c r="BG246" s="33">
        <f>VLOOKUP($O246,Eco_DEM_Data!$D$1:$AC$643,21,False)</f>
        <v>3892</v>
      </c>
      <c r="BH246" s="33">
        <f>VLOOKUP($O246,Eco_DEM_Data!$D$1:$AC$643,26,False)</f>
        <v>51</v>
      </c>
      <c r="BI246" s="33" t="str">
        <f>VLOOKUP($O246,Eco_DEM_Data!$D$1:$AC$643,9,False)</f>
        <v>Isthmian-Atlantic moist forests</v>
      </c>
      <c r="BJ246" s="33" t="str">
        <f>VLOOKUP($O246,Eco_DEM_Data!$D$1:$AC$643,11,False)</f>
        <v>Tropical &amp; Subtropical Moist Broadleaf Forests</v>
      </c>
    </row>
    <row r="247">
      <c r="A247" s="33" t="s">
        <v>1010</v>
      </c>
      <c r="B247" s="33" t="s">
        <v>2259</v>
      </c>
      <c r="C247" s="34">
        <v>5.0</v>
      </c>
      <c r="D247" s="33" t="s">
        <v>268</v>
      </c>
      <c r="E247" s="34">
        <v>2008.0</v>
      </c>
      <c r="F247" s="33" t="s">
        <v>1011</v>
      </c>
      <c r="G247" s="45" t="s">
        <v>1012</v>
      </c>
      <c r="H247" s="46"/>
      <c r="I247" s="33"/>
      <c r="J247" s="33" t="s">
        <v>1013</v>
      </c>
      <c r="K247" s="34">
        <v>40.0</v>
      </c>
      <c r="L247" s="33"/>
      <c r="M247" s="6" t="s">
        <v>1014</v>
      </c>
      <c r="N247" s="35" t="s">
        <v>60</v>
      </c>
      <c r="O247" s="33" t="s">
        <v>2019</v>
      </c>
      <c r="P247" s="36" t="s">
        <v>62</v>
      </c>
      <c r="Q247" s="36" t="s">
        <v>112</v>
      </c>
      <c r="R247" s="36" t="s">
        <v>1016</v>
      </c>
      <c r="S247" s="37">
        <v>10.43972</v>
      </c>
      <c r="T247" s="37">
        <v>-84.00667</v>
      </c>
      <c r="U247" s="36" t="s">
        <v>114</v>
      </c>
      <c r="V247" s="38" t="s">
        <v>66</v>
      </c>
      <c r="W247" s="5" t="s">
        <v>1455</v>
      </c>
      <c r="X247" s="7" t="s">
        <v>2020</v>
      </c>
      <c r="Y247" s="41" t="s">
        <v>70</v>
      </c>
      <c r="Z247" s="43"/>
      <c r="AA247" s="42">
        <v>5.0</v>
      </c>
      <c r="AB247" s="43"/>
      <c r="AC247" s="43"/>
      <c r="AD247" s="43"/>
      <c r="AE247" s="43"/>
      <c r="AF247" s="43"/>
      <c r="AG247" s="43"/>
      <c r="AH247" s="38" t="s">
        <v>1018</v>
      </c>
      <c r="AI247" s="42">
        <v>-1350.0</v>
      </c>
      <c r="AJ247" s="42">
        <v>1950.0</v>
      </c>
      <c r="AK247" s="5" t="s">
        <v>73</v>
      </c>
      <c r="AL247" s="5" t="s">
        <v>72</v>
      </c>
      <c r="AM247" s="41" t="s">
        <v>74</v>
      </c>
      <c r="AN247" s="5" t="s">
        <v>72</v>
      </c>
      <c r="AO247" s="41"/>
      <c r="AP247" s="5" t="s">
        <v>75</v>
      </c>
      <c r="AQ247" s="41"/>
      <c r="AR247" s="41"/>
      <c r="AS247" s="41"/>
      <c r="AT247" s="5" t="s">
        <v>60</v>
      </c>
      <c r="AU247" s="33"/>
      <c r="AV247" s="33"/>
      <c r="AW247" s="33"/>
      <c r="AX247" s="33"/>
      <c r="AY247" s="33"/>
      <c r="AZ247" s="6" t="s">
        <v>76</v>
      </c>
      <c r="BA247" s="33"/>
      <c r="BB247" s="33">
        <f>VLOOKUP(O247,Eco_DEM_Data!$D$1:$AC$643,20,False)</f>
        <v>3680</v>
      </c>
      <c r="BC247" s="33">
        <f>VLOOKUP($O247,Eco_DEM_Data!$D$1:$AC$643,20,False)</f>
        <v>3680</v>
      </c>
      <c r="BD247" s="33">
        <f>VLOOKUP($O247,Eco_DEM_Data!$D$1:$AC$643,25,False)</f>
        <v>1257</v>
      </c>
      <c r="BE247" s="33">
        <f>VLOOKUP($O247,Eco_DEM_Data!$D$1:$AC$643,22,False)</f>
        <v>131</v>
      </c>
      <c r="BF247" s="33">
        <f>VLOOKUP($O247,Eco_DEM_Data!$D$1:$AC$643,23,False)</f>
        <v>422</v>
      </c>
      <c r="BG247" s="33">
        <f>VLOOKUP($O247,Eco_DEM_Data!$D$1:$AC$643,21,False)</f>
        <v>3892</v>
      </c>
      <c r="BH247" s="33">
        <f>VLOOKUP($O247,Eco_DEM_Data!$D$1:$AC$643,26,False)</f>
        <v>51</v>
      </c>
      <c r="BI247" s="33" t="str">
        <f>VLOOKUP($O247,Eco_DEM_Data!$D$1:$AC$643,9,False)</f>
        <v>Isthmian-Atlantic moist forests</v>
      </c>
      <c r="BJ247" s="33" t="str">
        <f>VLOOKUP($O247,Eco_DEM_Data!$D$1:$AC$643,11,False)</f>
        <v>Tropical &amp; Subtropical Moist Broadleaf Forests</v>
      </c>
    </row>
    <row r="248">
      <c r="A248" s="33" t="s">
        <v>1010</v>
      </c>
      <c r="B248" s="33" t="s">
        <v>2259</v>
      </c>
      <c r="C248" s="34">
        <v>5.0</v>
      </c>
      <c r="D248" s="33" t="s">
        <v>268</v>
      </c>
      <c r="E248" s="34">
        <v>2008.0</v>
      </c>
      <c r="F248" s="33" t="s">
        <v>1011</v>
      </c>
      <c r="G248" s="45" t="s">
        <v>1012</v>
      </c>
      <c r="H248" s="46"/>
      <c r="I248" s="33"/>
      <c r="J248" s="33" t="s">
        <v>1013</v>
      </c>
      <c r="K248" s="34">
        <v>40.0</v>
      </c>
      <c r="L248" s="33"/>
      <c r="M248" s="6" t="s">
        <v>1014</v>
      </c>
      <c r="N248" s="35" t="s">
        <v>60</v>
      </c>
      <c r="O248" s="33" t="s">
        <v>1015</v>
      </c>
      <c r="P248" s="36" t="s">
        <v>62</v>
      </c>
      <c r="Q248" s="36" t="s">
        <v>112</v>
      </c>
      <c r="R248" s="36" t="s">
        <v>1016</v>
      </c>
      <c r="S248" s="37">
        <v>10.43972</v>
      </c>
      <c r="T248" s="37">
        <v>-84.00667</v>
      </c>
      <c r="U248" s="36" t="s">
        <v>114</v>
      </c>
      <c r="V248" s="6" t="s">
        <v>275</v>
      </c>
      <c r="W248" s="33" t="s">
        <v>72</v>
      </c>
      <c r="X248" s="1" t="s">
        <v>1017</v>
      </c>
      <c r="Y248" s="33" t="s">
        <v>279</v>
      </c>
      <c r="Z248" s="36"/>
      <c r="AA248" s="37">
        <v>5.0</v>
      </c>
      <c r="AB248" s="36"/>
      <c r="AC248" s="36"/>
      <c r="AD248" s="36"/>
      <c r="AE248" s="36"/>
      <c r="AF248" s="36"/>
      <c r="AG248" s="36"/>
      <c r="AH248" s="38" t="s">
        <v>1018</v>
      </c>
      <c r="AI248" s="37">
        <v>-1350.0</v>
      </c>
      <c r="AJ248" s="37">
        <v>1950.0</v>
      </c>
      <c r="AK248" s="6" t="s">
        <v>73</v>
      </c>
      <c r="AL248" s="6" t="s">
        <v>72</v>
      </c>
      <c r="AM248" s="33" t="s">
        <v>74</v>
      </c>
      <c r="AN248" s="6" t="s">
        <v>72</v>
      </c>
      <c r="AO248" s="33"/>
      <c r="AP248" s="6" t="s">
        <v>75</v>
      </c>
      <c r="AQ248" s="33"/>
      <c r="AR248" s="33"/>
      <c r="AS248" s="33"/>
      <c r="AT248" s="6" t="s">
        <v>76</v>
      </c>
      <c r="AU248" s="33"/>
      <c r="AV248" s="33"/>
      <c r="AW248" s="33"/>
      <c r="AX248" s="33"/>
      <c r="AY248" s="33"/>
      <c r="AZ248" s="6" t="s">
        <v>76</v>
      </c>
      <c r="BA248" s="33"/>
      <c r="BB248" s="33">
        <f>VLOOKUP(O248,Eco_DEM_Data!$D$1:$AC$643,20,False)</f>
        <v>3680</v>
      </c>
      <c r="BC248" s="33">
        <f>VLOOKUP($O248,Eco_DEM_Data!$D$1:$AC$643,20,False)</f>
        <v>3680</v>
      </c>
      <c r="BD248" s="33">
        <f>VLOOKUP($O248,Eco_DEM_Data!$D$1:$AC$643,25,False)</f>
        <v>1257</v>
      </c>
      <c r="BE248" s="33">
        <f>VLOOKUP($O248,Eco_DEM_Data!$D$1:$AC$643,22,False)</f>
        <v>131</v>
      </c>
      <c r="BF248" s="33">
        <f>VLOOKUP($O248,Eco_DEM_Data!$D$1:$AC$643,23,False)</f>
        <v>422</v>
      </c>
      <c r="BG248" s="33">
        <f>VLOOKUP($O248,Eco_DEM_Data!$D$1:$AC$643,21,False)</f>
        <v>3892</v>
      </c>
      <c r="BH248" s="33">
        <f>VLOOKUP($O248,Eco_DEM_Data!$D$1:$AC$643,26,False)</f>
        <v>51</v>
      </c>
      <c r="BI248" s="33" t="str">
        <f>VLOOKUP($O248,Eco_DEM_Data!$D$1:$AC$643,9,False)</f>
        <v>Isthmian-Atlantic moist forests</v>
      </c>
      <c r="BJ248" s="33" t="str">
        <f>VLOOKUP($O248,Eco_DEM_Data!$D$1:$AC$643,11,False)</f>
        <v>Tropical &amp; Subtropical Moist Broadleaf Forests</v>
      </c>
    </row>
    <row r="249">
      <c r="A249" s="33" t="s">
        <v>1010</v>
      </c>
      <c r="B249" s="33" t="s">
        <v>2259</v>
      </c>
      <c r="C249" s="34">
        <v>5.0</v>
      </c>
      <c r="D249" s="33" t="s">
        <v>268</v>
      </c>
      <c r="E249" s="34">
        <v>2008.0</v>
      </c>
      <c r="F249" s="33" t="s">
        <v>1011</v>
      </c>
      <c r="G249" s="45" t="s">
        <v>1012</v>
      </c>
      <c r="H249" s="46"/>
      <c r="I249" s="33"/>
      <c r="J249" s="33" t="s">
        <v>1013</v>
      </c>
      <c r="K249" s="34">
        <v>40.0</v>
      </c>
      <c r="L249" s="33"/>
      <c r="M249" s="6" t="s">
        <v>1014</v>
      </c>
      <c r="N249" s="35" t="s">
        <v>60</v>
      </c>
      <c r="O249" s="33" t="s">
        <v>2021</v>
      </c>
      <c r="P249" s="36" t="s">
        <v>62</v>
      </c>
      <c r="Q249" s="36" t="s">
        <v>112</v>
      </c>
      <c r="R249" s="36" t="s">
        <v>1016</v>
      </c>
      <c r="S249" s="37">
        <v>10.43972</v>
      </c>
      <c r="T249" s="37">
        <v>-84.00667</v>
      </c>
      <c r="U249" s="36" t="s">
        <v>114</v>
      </c>
      <c r="V249" s="38" t="s">
        <v>194</v>
      </c>
      <c r="W249" s="62" t="s">
        <v>96</v>
      </c>
      <c r="X249" s="3" t="s">
        <v>1814</v>
      </c>
      <c r="Y249" s="33" t="s">
        <v>70</v>
      </c>
      <c r="Z249" s="36"/>
      <c r="AA249" s="37">
        <v>5.0</v>
      </c>
      <c r="AB249" s="36"/>
      <c r="AC249" s="36"/>
      <c r="AD249" s="36"/>
      <c r="AE249" s="36"/>
      <c r="AF249" s="36"/>
      <c r="AG249" s="36"/>
      <c r="AH249" s="38" t="s">
        <v>1018</v>
      </c>
      <c r="AI249" s="37">
        <v>-1350.0</v>
      </c>
      <c r="AJ249" s="37">
        <v>1950.0</v>
      </c>
      <c r="AK249" s="6" t="s">
        <v>73</v>
      </c>
      <c r="AL249" s="6" t="s">
        <v>72</v>
      </c>
      <c r="AM249" s="33" t="s">
        <v>74</v>
      </c>
      <c r="AN249" s="6" t="s">
        <v>72</v>
      </c>
      <c r="AO249" s="33"/>
      <c r="AP249" s="6" t="s">
        <v>75</v>
      </c>
      <c r="AQ249" s="33"/>
      <c r="AR249" s="33"/>
      <c r="AS249" s="33"/>
      <c r="AT249" s="6" t="s">
        <v>76</v>
      </c>
      <c r="AU249" s="33"/>
      <c r="AV249" s="33"/>
      <c r="AW249" s="33"/>
      <c r="AX249" s="33"/>
      <c r="AY249" s="33"/>
      <c r="AZ249" s="6" t="s">
        <v>76</v>
      </c>
      <c r="BA249" s="33"/>
      <c r="BB249" s="33">
        <f>VLOOKUP(O249,Eco_DEM_Data!$D$1:$AC$643,20,False)</f>
        <v>3680</v>
      </c>
      <c r="BC249" s="33">
        <f>VLOOKUP($O249,Eco_DEM_Data!$D$1:$AC$643,20,False)</f>
        <v>3680</v>
      </c>
      <c r="BD249" s="33">
        <f>VLOOKUP($O249,Eco_DEM_Data!$D$1:$AC$643,25,False)</f>
        <v>1257</v>
      </c>
      <c r="BE249" s="33">
        <f>VLOOKUP($O249,Eco_DEM_Data!$D$1:$AC$643,22,False)</f>
        <v>131</v>
      </c>
      <c r="BF249" s="33">
        <f>VLOOKUP($O249,Eco_DEM_Data!$D$1:$AC$643,23,False)</f>
        <v>422</v>
      </c>
      <c r="BG249" s="33">
        <f>VLOOKUP($O249,Eco_DEM_Data!$D$1:$AC$643,21,False)</f>
        <v>3892</v>
      </c>
      <c r="BH249" s="33">
        <f>VLOOKUP($O249,Eco_DEM_Data!$D$1:$AC$643,26,False)</f>
        <v>51</v>
      </c>
      <c r="BI249" s="33" t="str">
        <f>VLOOKUP($O249,Eco_DEM_Data!$D$1:$AC$643,9,False)</f>
        <v>Isthmian-Atlantic moist forests</v>
      </c>
      <c r="BJ249" s="33" t="str">
        <f>VLOOKUP($O249,Eco_DEM_Data!$D$1:$AC$643,11,False)</f>
        <v>Tropical &amp; Subtropical Moist Broadleaf Forests</v>
      </c>
    </row>
    <row r="250">
      <c r="A250" s="33" t="s">
        <v>1010</v>
      </c>
      <c r="B250" s="33" t="s">
        <v>2259</v>
      </c>
      <c r="C250" s="34">
        <v>5.0</v>
      </c>
      <c r="D250" s="33" t="s">
        <v>268</v>
      </c>
      <c r="E250" s="34">
        <v>2008.0</v>
      </c>
      <c r="F250" s="33" t="s">
        <v>1011</v>
      </c>
      <c r="G250" s="45" t="s">
        <v>1012</v>
      </c>
      <c r="H250" s="46"/>
      <c r="I250" s="33"/>
      <c r="J250" s="33" t="s">
        <v>1013</v>
      </c>
      <c r="K250" s="34">
        <v>40.0</v>
      </c>
      <c r="L250" s="33"/>
      <c r="M250" s="6" t="s">
        <v>1014</v>
      </c>
      <c r="N250" s="35" t="s">
        <v>60</v>
      </c>
      <c r="O250" s="33" t="s">
        <v>2022</v>
      </c>
      <c r="P250" s="36" t="s">
        <v>62</v>
      </c>
      <c r="Q250" s="36" t="s">
        <v>112</v>
      </c>
      <c r="R250" s="36" t="s">
        <v>1016</v>
      </c>
      <c r="S250" s="37">
        <v>10.43972</v>
      </c>
      <c r="T250" s="37">
        <v>-84.00667</v>
      </c>
      <c r="U250" s="36" t="s">
        <v>114</v>
      </c>
      <c r="V250" s="6" t="s">
        <v>189</v>
      </c>
      <c r="W250" s="62" t="s">
        <v>96</v>
      </c>
      <c r="X250" s="3" t="s">
        <v>1814</v>
      </c>
      <c r="Y250" s="33" t="s">
        <v>70</v>
      </c>
      <c r="Z250" s="36"/>
      <c r="AA250" s="37">
        <v>5.0</v>
      </c>
      <c r="AB250" s="36"/>
      <c r="AC250" s="36"/>
      <c r="AD250" s="36"/>
      <c r="AE250" s="36"/>
      <c r="AF250" s="36"/>
      <c r="AG250" s="36"/>
      <c r="AH250" s="38" t="s">
        <v>1018</v>
      </c>
      <c r="AI250" s="37">
        <v>-1350.0</v>
      </c>
      <c r="AJ250" s="37">
        <v>1950.0</v>
      </c>
      <c r="AK250" s="6" t="s">
        <v>73</v>
      </c>
      <c r="AL250" s="6" t="s">
        <v>72</v>
      </c>
      <c r="AM250" s="33" t="s">
        <v>74</v>
      </c>
      <c r="AN250" s="6" t="s">
        <v>72</v>
      </c>
      <c r="AO250" s="33"/>
      <c r="AP250" s="6" t="s">
        <v>75</v>
      </c>
      <c r="AQ250" s="33"/>
      <c r="AR250" s="33"/>
      <c r="AS250" s="33"/>
      <c r="AT250" s="6" t="s">
        <v>76</v>
      </c>
      <c r="AU250" s="33"/>
      <c r="AV250" s="33"/>
      <c r="AW250" s="33"/>
      <c r="AX250" s="33"/>
      <c r="AY250" s="33"/>
      <c r="AZ250" s="6" t="s">
        <v>76</v>
      </c>
      <c r="BA250" s="33"/>
      <c r="BB250" s="33">
        <f>VLOOKUP(O250,Eco_DEM_Data!$D$1:$AC$643,20,False)</f>
        <v>3680</v>
      </c>
      <c r="BC250" s="33">
        <f>VLOOKUP($O250,Eco_DEM_Data!$D$1:$AC$643,20,False)</f>
        <v>3680</v>
      </c>
      <c r="BD250" s="33">
        <f>VLOOKUP($O250,Eco_DEM_Data!$D$1:$AC$643,25,False)</f>
        <v>1257</v>
      </c>
      <c r="BE250" s="33">
        <f>VLOOKUP($O250,Eco_DEM_Data!$D$1:$AC$643,22,False)</f>
        <v>131</v>
      </c>
      <c r="BF250" s="33">
        <f>VLOOKUP($O250,Eco_DEM_Data!$D$1:$AC$643,23,False)</f>
        <v>422</v>
      </c>
      <c r="BG250" s="33">
        <f>VLOOKUP($O250,Eco_DEM_Data!$D$1:$AC$643,21,False)</f>
        <v>3892</v>
      </c>
      <c r="BH250" s="33">
        <f>VLOOKUP($O250,Eco_DEM_Data!$D$1:$AC$643,26,False)</f>
        <v>51</v>
      </c>
      <c r="BI250" s="33" t="str">
        <f>VLOOKUP($O250,Eco_DEM_Data!$D$1:$AC$643,9,False)</f>
        <v>Isthmian-Atlantic moist forests</v>
      </c>
      <c r="BJ250" s="33" t="str">
        <f>VLOOKUP($O250,Eco_DEM_Data!$D$1:$AC$643,11,False)</f>
        <v>Tropical &amp; Subtropical Moist Broadleaf Forests</v>
      </c>
    </row>
    <row r="251">
      <c r="A251" s="33" t="s">
        <v>905</v>
      </c>
      <c r="B251" s="33" t="s">
        <v>2258</v>
      </c>
      <c r="C251" s="34">
        <v>9.0</v>
      </c>
      <c r="D251" s="33" t="s">
        <v>53</v>
      </c>
      <c r="E251" s="34">
        <v>2009.0</v>
      </c>
      <c r="F251" s="33" t="s">
        <v>906</v>
      </c>
      <c r="G251" s="33" t="s">
        <v>907</v>
      </c>
      <c r="H251" s="33" t="s">
        <v>732</v>
      </c>
      <c r="I251" s="33" t="s">
        <v>908</v>
      </c>
      <c r="J251" s="33" t="s">
        <v>909</v>
      </c>
      <c r="K251" s="34">
        <v>42.0</v>
      </c>
      <c r="L251" s="34">
        <v>2.0</v>
      </c>
      <c r="M251" s="6" t="s">
        <v>910</v>
      </c>
      <c r="N251" s="35" t="s">
        <v>60</v>
      </c>
      <c r="O251" s="33" t="s">
        <v>911</v>
      </c>
      <c r="P251" s="36" t="s">
        <v>62</v>
      </c>
      <c r="Q251" s="36" t="s">
        <v>92</v>
      </c>
      <c r="R251" s="36" t="s">
        <v>912</v>
      </c>
      <c r="S251" s="37">
        <v>20.274287</v>
      </c>
      <c r="T251" s="37">
        <v>-87.486249</v>
      </c>
      <c r="U251" s="36" t="s">
        <v>148</v>
      </c>
      <c r="V251" s="38" t="s">
        <v>66</v>
      </c>
      <c r="W251" s="5" t="s">
        <v>913</v>
      </c>
      <c r="X251" s="7" t="s">
        <v>914</v>
      </c>
      <c r="Y251" s="41" t="s">
        <v>70</v>
      </c>
      <c r="Z251" s="43"/>
      <c r="AA251" s="42"/>
      <c r="AB251" s="43"/>
      <c r="AC251" s="43"/>
      <c r="AD251" s="43"/>
      <c r="AE251" s="43"/>
      <c r="AF251" s="43"/>
      <c r="AG251" s="43"/>
      <c r="AH251" s="43" t="s">
        <v>915</v>
      </c>
      <c r="AI251" s="43" t="s">
        <v>470</v>
      </c>
      <c r="AJ251" s="43" t="s">
        <v>470</v>
      </c>
      <c r="AK251" s="5" t="s">
        <v>100</v>
      </c>
      <c r="AL251" s="5" t="s">
        <v>76</v>
      </c>
      <c r="AM251" s="41" t="s">
        <v>238</v>
      </c>
      <c r="AN251" s="5" t="s">
        <v>101</v>
      </c>
      <c r="AO251" s="41"/>
      <c r="AP251" s="5" t="s">
        <v>75</v>
      </c>
      <c r="AQ251" s="41"/>
      <c r="AR251" s="41"/>
      <c r="AS251" s="41"/>
      <c r="AT251" s="5" t="s">
        <v>76</v>
      </c>
      <c r="AU251" s="33"/>
      <c r="AV251" s="33"/>
      <c r="AW251" s="33"/>
      <c r="AX251" s="33"/>
      <c r="AY251" s="33"/>
      <c r="AZ251" s="6" t="s">
        <v>76</v>
      </c>
      <c r="BA251" s="33"/>
      <c r="BB251" s="33">
        <f>VLOOKUP(O251,Eco_DEM_Data!$D$1:$AC$643,20,False)</f>
        <v>1209</v>
      </c>
      <c r="BC251" s="33">
        <f>VLOOKUP($O251,Eco_DEM_Data!$D$1:$AC$643,20,False)</f>
        <v>1209</v>
      </c>
      <c r="BD251" s="33">
        <f>VLOOKUP($O251,Eco_DEM_Data!$D$1:$AC$643,25,False)</f>
        <v>495</v>
      </c>
      <c r="BE251" s="33">
        <f>VLOOKUP($O251,Eco_DEM_Data!$D$1:$AC$643,22,False)</f>
        <v>39</v>
      </c>
      <c r="BF251" s="33">
        <f>VLOOKUP($O251,Eco_DEM_Data!$D$1:$AC$643,23,False)</f>
        <v>132</v>
      </c>
      <c r="BG251" s="33">
        <f>VLOOKUP($O251,Eco_DEM_Data!$D$1:$AC$643,21,False)</f>
        <v>5135</v>
      </c>
      <c r="BH251" s="33">
        <f>VLOOKUP($O251,Eco_DEM_Data!$D$1:$AC$643,26,False)</f>
        <v>5</v>
      </c>
      <c r="BI251" s="33" t="str">
        <f>VLOOKUP($O251,Eco_DEM_Data!$D$1:$AC$643,9,False)</f>
        <v>Yucatán moist forests</v>
      </c>
      <c r="BJ251" s="33" t="str">
        <f>VLOOKUP($O251,Eco_DEM_Data!$D$1:$AC$643,11,False)</f>
        <v>Tropical &amp; Subtropical Moist Broadleaf Forests</v>
      </c>
    </row>
    <row r="252">
      <c r="A252" s="33" t="s">
        <v>905</v>
      </c>
      <c r="B252" s="33" t="s">
        <v>2258</v>
      </c>
      <c r="C252" s="34">
        <v>9.0</v>
      </c>
      <c r="D252" s="33" t="s">
        <v>53</v>
      </c>
      <c r="E252" s="34">
        <v>2009.0</v>
      </c>
      <c r="F252" s="33" t="s">
        <v>906</v>
      </c>
      <c r="G252" s="33" t="s">
        <v>907</v>
      </c>
      <c r="H252" s="33" t="s">
        <v>732</v>
      </c>
      <c r="I252" s="33" t="s">
        <v>908</v>
      </c>
      <c r="J252" s="33" t="s">
        <v>909</v>
      </c>
      <c r="K252" s="34">
        <v>42.0</v>
      </c>
      <c r="L252" s="34">
        <v>2.0</v>
      </c>
      <c r="M252" s="6" t="s">
        <v>910</v>
      </c>
      <c r="N252" s="35" t="s">
        <v>60</v>
      </c>
      <c r="O252" s="33" t="s">
        <v>916</v>
      </c>
      <c r="P252" s="36" t="s">
        <v>62</v>
      </c>
      <c r="Q252" s="36" t="s">
        <v>92</v>
      </c>
      <c r="R252" s="36" t="s">
        <v>912</v>
      </c>
      <c r="S252" s="37">
        <v>20.274287</v>
      </c>
      <c r="T252" s="37">
        <v>-87.486249</v>
      </c>
      <c r="U252" s="36" t="s">
        <v>148</v>
      </c>
      <c r="V252" s="6" t="s">
        <v>95</v>
      </c>
      <c r="W252" s="63" t="s">
        <v>917</v>
      </c>
      <c r="X252" s="1" t="s">
        <v>918</v>
      </c>
      <c r="Y252" s="6" t="s">
        <v>99</v>
      </c>
      <c r="Z252" s="36"/>
      <c r="AA252" s="37">
        <v>3.0</v>
      </c>
      <c r="AB252" s="36"/>
      <c r="AC252" s="36"/>
      <c r="AD252" s="36"/>
      <c r="AE252" s="36"/>
      <c r="AF252" s="36"/>
      <c r="AG252" s="36"/>
      <c r="AH252" s="36" t="s">
        <v>915</v>
      </c>
      <c r="AI252" s="37">
        <v>-4890.0</v>
      </c>
      <c r="AJ252" s="37">
        <v>-4630.0</v>
      </c>
      <c r="AK252" s="6" t="s">
        <v>73</v>
      </c>
      <c r="AL252" s="6" t="s">
        <v>76</v>
      </c>
      <c r="AM252" s="33" t="s">
        <v>238</v>
      </c>
      <c r="AN252" s="6" t="s">
        <v>60</v>
      </c>
      <c r="AO252" s="33"/>
      <c r="AP252" s="6" t="s">
        <v>75</v>
      </c>
      <c r="AQ252" s="33"/>
      <c r="AR252" s="33"/>
      <c r="AS252" s="33"/>
      <c r="AT252" s="6" t="s">
        <v>76</v>
      </c>
      <c r="AU252" s="33"/>
      <c r="AV252" s="33"/>
      <c r="AW252" s="33"/>
      <c r="AX252" s="33"/>
      <c r="AY252" s="33"/>
      <c r="AZ252" s="6" t="s">
        <v>76</v>
      </c>
      <c r="BA252" s="33"/>
      <c r="BB252" s="33">
        <f>VLOOKUP(O252,Eco_DEM_Data!$D$1:$AC$643,20,False)</f>
        <v>1209</v>
      </c>
      <c r="BC252" s="33">
        <f>VLOOKUP($O252,Eco_DEM_Data!$D$1:$AC$643,20,False)</f>
        <v>1209</v>
      </c>
      <c r="BD252" s="33">
        <f>VLOOKUP($O252,Eco_DEM_Data!$D$1:$AC$643,25,False)</f>
        <v>495</v>
      </c>
      <c r="BE252" s="33">
        <f>VLOOKUP($O252,Eco_DEM_Data!$D$1:$AC$643,22,False)</f>
        <v>39</v>
      </c>
      <c r="BF252" s="33">
        <f>VLOOKUP($O252,Eco_DEM_Data!$D$1:$AC$643,23,False)</f>
        <v>132</v>
      </c>
      <c r="BG252" s="33">
        <f>VLOOKUP($O252,Eco_DEM_Data!$D$1:$AC$643,21,False)</f>
        <v>5135</v>
      </c>
      <c r="BH252" s="33">
        <f>VLOOKUP($O252,Eco_DEM_Data!$D$1:$AC$643,26,False)</f>
        <v>5</v>
      </c>
      <c r="BI252" s="33" t="str">
        <f>VLOOKUP($O252,Eco_DEM_Data!$D$1:$AC$643,9,False)</f>
        <v>Yucatán moist forests</v>
      </c>
      <c r="BJ252" s="33" t="str">
        <f>VLOOKUP($O252,Eco_DEM_Data!$D$1:$AC$643,11,False)</f>
        <v>Tropical &amp; Subtropical Moist Broadleaf Forests</v>
      </c>
    </row>
    <row r="253">
      <c r="A253" s="33" t="s">
        <v>905</v>
      </c>
      <c r="B253" s="33" t="s">
        <v>2258</v>
      </c>
      <c r="C253" s="34">
        <v>9.0</v>
      </c>
      <c r="D253" s="33" t="s">
        <v>53</v>
      </c>
      <c r="E253" s="34">
        <v>2009.0</v>
      </c>
      <c r="F253" s="33" t="s">
        <v>906</v>
      </c>
      <c r="G253" s="33" t="s">
        <v>907</v>
      </c>
      <c r="H253" s="33" t="s">
        <v>732</v>
      </c>
      <c r="I253" s="33" t="s">
        <v>908</v>
      </c>
      <c r="J253" s="33" t="s">
        <v>909</v>
      </c>
      <c r="K253" s="34">
        <v>42.0</v>
      </c>
      <c r="L253" s="34">
        <v>2.0</v>
      </c>
      <c r="M253" s="6" t="s">
        <v>910</v>
      </c>
      <c r="N253" s="35" t="s">
        <v>60</v>
      </c>
      <c r="O253" s="33" t="s">
        <v>924</v>
      </c>
      <c r="P253" s="36" t="s">
        <v>62</v>
      </c>
      <c r="Q253" s="36" t="s">
        <v>92</v>
      </c>
      <c r="R253" s="36" t="s">
        <v>912</v>
      </c>
      <c r="S253" s="37">
        <v>20.274287</v>
      </c>
      <c r="T253" s="37">
        <v>-87.486249</v>
      </c>
      <c r="U253" s="36" t="s">
        <v>148</v>
      </c>
      <c r="V253" s="6" t="s">
        <v>135</v>
      </c>
      <c r="W253" s="63" t="s">
        <v>917</v>
      </c>
      <c r="X253" s="1" t="s">
        <v>918</v>
      </c>
      <c r="Y253" s="6" t="s">
        <v>99</v>
      </c>
      <c r="Z253" s="36"/>
      <c r="AA253" s="37"/>
      <c r="AB253" s="36"/>
      <c r="AC253" s="36"/>
      <c r="AD253" s="36"/>
      <c r="AE253" s="36"/>
      <c r="AF253" s="36"/>
      <c r="AG253" s="36"/>
      <c r="AH253" s="36" t="s">
        <v>915</v>
      </c>
      <c r="AI253" s="36" t="s">
        <v>470</v>
      </c>
      <c r="AJ253" s="36" t="s">
        <v>470</v>
      </c>
      <c r="AK253" s="6" t="s">
        <v>100</v>
      </c>
      <c r="AL253" s="6" t="s">
        <v>76</v>
      </c>
      <c r="AM253" s="33" t="s">
        <v>238</v>
      </c>
      <c r="AN253" s="6" t="s">
        <v>101</v>
      </c>
      <c r="AO253" s="33"/>
      <c r="AP253" s="6" t="s">
        <v>75</v>
      </c>
      <c r="AQ253" s="33"/>
      <c r="AR253" s="33"/>
      <c r="AS253" s="33"/>
      <c r="AT253" s="6" t="s">
        <v>76</v>
      </c>
      <c r="AU253" s="33"/>
      <c r="AV253" s="33"/>
      <c r="AW253" s="33"/>
      <c r="AX253" s="33"/>
      <c r="AY253" s="33"/>
      <c r="AZ253" s="6" t="s">
        <v>76</v>
      </c>
      <c r="BA253" s="33"/>
      <c r="BB253" s="33">
        <f>VLOOKUP(O253,Eco_DEM_Data!$D$1:$AC$643,20,False)</f>
        <v>1209</v>
      </c>
      <c r="BC253" s="33">
        <f>VLOOKUP($O253,Eco_DEM_Data!$D$1:$AC$643,20,False)</f>
        <v>1209</v>
      </c>
      <c r="BD253" s="33">
        <f>VLOOKUP($O253,Eco_DEM_Data!$D$1:$AC$643,25,False)</f>
        <v>495</v>
      </c>
      <c r="BE253" s="33">
        <f>VLOOKUP($O253,Eco_DEM_Data!$D$1:$AC$643,22,False)</f>
        <v>39</v>
      </c>
      <c r="BF253" s="33">
        <f>VLOOKUP($O253,Eco_DEM_Data!$D$1:$AC$643,23,False)</f>
        <v>132</v>
      </c>
      <c r="BG253" s="33">
        <f>VLOOKUP($O253,Eco_DEM_Data!$D$1:$AC$643,21,False)</f>
        <v>5135</v>
      </c>
      <c r="BH253" s="33">
        <f>VLOOKUP($O253,Eco_DEM_Data!$D$1:$AC$643,26,False)</f>
        <v>5</v>
      </c>
      <c r="BI253" s="33" t="str">
        <f>VLOOKUP($O253,Eco_DEM_Data!$D$1:$AC$643,9,False)</f>
        <v>Yucatán moist forests</v>
      </c>
      <c r="BJ253" s="33" t="str">
        <f>VLOOKUP($O253,Eco_DEM_Data!$D$1:$AC$643,11,False)</f>
        <v>Tropical &amp; Subtropical Moist Broadleaf Forests</v>
      </c>
    </row>
    <row r="254">
      <c r="A254" s="33" t="s">
        <v>905</v>
      </c>
      <c r="B254" s="33" t="s">
        <v>2258</v>
      </c>
      <c r="C254" s="34">
        <v>9.0</v>
      </c>
      <c r="D254" s="33" t="s">
        <v>53</v>
      </c>
      <c r="E254" s="34">
        <v>2009.0</v>
      </c>
      <c r="F254" s="33" t="s">
        <v>906</v>
      </c>
      <c r="G254" s="33" t="s">
        <v>907</v>
      </c>
      <c r="H254" s="33" t="s">
        <v>732</v>
      </c>
      <c r="I254" s="33" t="s">
        <v>908</v>
      </c>
      <c r="J254" s="33" t="s">
        <v>909</v>
      </c>
      <c r="K254" s="34">
        <v>42.0</v>
      </c>
      <c r="L254" s="34">
        <v>2.0</v>
      </c>
      <c r="M254" s="6" t="s">
        <v>910</v>
      </c>
      <c r="N254" s="35" t="s">
        <v>60</v>
      </c>
      <c r="O254" s="33" t="s">
        <v>926</v>
      </c>
      <c r="P254" s="36" t="s">
        <v>62</v>
      </c>
      <c r="Q254" s="36" t="s">
        <v>92</v>
      </c>
      <c r="R254" s="36" t="s">
        <v>912</v>
      </c>
      <c r="S254" s="37">
        <v>20.274287</v>
      </c>
      <c r="T254" s="37">
        <v>-87.486249</v>
      </c>
      <c r="U254" s="36" t="s">
        <v>148</v>
      </c>
      <c r="V254" s="38" t="s">
        <v>927</v>
      </c>
      <c r="W254" s="63" t="s">
        <v>917</v>
      </c>
      <c r="X254" s="3" t="s">
        <v>72</v>
      </c>
      <c r="Y254" s="33" t="s">
        <v>928</v>
      </c>
      <c r="Z254" s="36"/>
      <c r="AA254" s="37"/>
      <c r="AB254" s="36"/>
      <c r="AC254" s="36"/>
      <c r="AD254" s="36"/>
      <c r="AE254" s="36"/>
      <c r="AF254" s="36"/>
      <c r="AG254" s="36"/>
      <c r="AH254" s="36" t="s">
        <v>915</v>
      </c>
      <c r="AI254" s="36" t="s">
        <v>470</v>
      </c>
      <c r="AJ254" s="36" t="s">
        <v>470</v>
      </c>
      <c r="AK254" s="6" t="s">
        <v>100</v>
      </c>
      <c r="AL254" s="6" t="s">
        <v>76</v>
      </c>
      <c r="AM254" s="33" t="s">
        <v>238</v>
      </c>
      <c r="AN254" s="6" t="s">
        <v>101</v>
      </c>
      <c r="AO254" s="33"/>
      <c r="AP254" s="6" t="s">
        <v>75</v>
      </c>
      <c r="AQ254" s="33"/>
      <c r="AR254" s="33"/>
      <c r="AS254" s="33"/>
      <c r="AT254" s="6" t="s">
        <v>76</v>
      </c>
      <c r="AU254" s="33"/>
      <c r="AV254" s="33"/>
      <c r="AW254" s="33"/>
      <c r="AX254" s="33"/>
      <c r="AY254" s="33"/>
      <c r="AZ254" s="6" t="s">
        <v>76</v>
      </c>
      <c r="BA254" s="33"/>
      <c r="BB254" s="33">
        <f>VLOOKUP(O254,Eco_DEM_Data!$D$1:$AC$643,20,False)</f>
        <v>1209</v>
      </c>
      <c r="BC254" s="33">
        <f>VLOOKUP($O254,Eco_DEM_Data!$D$1:$AC$643,20,False)</f>
        <v>1209</v>
      </c>
      <c r="BD254" s="33">
        <f>VLOOKUP($O254,Eco_DEM_Data!$D$1:$AC$643,25,False)</f>
        <v>495</v>
      </c>
      <c r="BE254" s="33">
        <f>VLOOKUP($O254,Eco_DEM_Data!$D$1:$AC$643,22,False)</f>
        <v>39</v>
      </c>
      <c r="BF254" s="33">
        <f>VLOOKUP($O254,Eco_DEM_Data!$D$1:$AC$643,23,False)</f>
        <v>132</v>
      </c>
      <c r="BG254" s="33">
        <f>VLOOKUP($O254,Eco_DEM_Data!$D$1:$AC$643,21,False)</f>
        <v>5135</v>
      </c>
      <c r="BH254" s="33">
        <f>VLOOKUP($O254,Eco_DEM_Data!$D$1:$AC$643,26,False)</f>
        <v>5</v>
      </c>
      <c r="BI254" s="33" t="str">
        <f>VLOOKUP($O254,Eco_DEM_Data!$D$1:$AC$643,9,False)</f>
        <v>Yucatán moist forests</v>
      </c>
      <c r="BJ254" s="33" t="str">
        <f>VLOOKUP($O254,Eco_DEM_Data!$D$1:$AC$643,11,False)</f>
        <v>Tropical &amp; Subtropical Moist Broadleaf Forests</v>
      </c>
    </row>
    <row r="255">
      <c r="A255" s="33" t="s">
        <v>905</v>
      </c>
      <c r="B255" s="33" t="s">
        <v>2258</v>
      </c>
      <c r="C255" s="34">
        <v>9.0</v>
      </c>
      <c r="D255" s="33" t="s">
        <v>53</v>
      </c>
      <c r="E255" s="34">
        <v>2009.0</v>
      </c>
      <c r="F255" s="33" t="s">
        <v>906</v>
      </c>
      <c r="G255" s="33" t="s">
        <v>907</v>
      </c>
      <c r="H255" s="33" t="s">
        <v>732</v>
      </c>
      <c r="I255" s="33" t="s">
        <v>908</v>
      </c>
      <c r="J255" s="33" t="s">
        <v>909</v>
      </c>
      <c r="K255" s="34">
        <v>42.0</v>
      </c>
      <c r="L255" s="34">
        <v>2.0</v>
      </c>
      <c r="M255" s="6" t="s">
        <v>910</v>
      </c>
      <c r="N255" s="35" t="s">
        <v>60</v>
      </c>
      <c r="O255" s="33" t="s">
        <v>929</v>
      </c>
      <c r="P255" s="36" t="s">
        <v>62</v>
      </c>
      <c r="Q255" s="36" t="s">
        <v>92</v>
      </c>
      <c r="R255" s="36" t="s">
        <v>912</v>
      </c>
      <c r="S255" s="37">
        <v>20.274287</v>
      </c>
      <c r="T255" s="37">
        <v>-87.486249</v>
      </c>
      <c r="U255" s="36" t="s">
        <v>148</v>
      </c>
      <c r="V255" s="38" t="s">
        <v>930</v>
      </c>
      <c r="W255" s="63" t="s">
        <v>917</v>
      </c>
      <c r="X255" s="3" t="s">
        <v>72</v>
      </c>
      <c r="Y255" s="33" t="s">
        <v>928</v>
      </c>
      <c r="Z255" s="36"/>
      <c r="AA255" s="37"/>
      <c r="AB255" s="36"/>
      <c r="AC255" s="36"/>
      <c r="AD255" s="36"/>
      <c r="AE255" s="36"/>
      <c r="AF255" s="36"/>
      <c r="AG255" s="36"/>
      <c r="AH255" s="36" t="s">
        <v>915</v>
      </c>
      <c r="AI255" s="36" t="s">
        <v>470</v>
      </c>
      <c r="AJ255" s="36" t="s">
        <v>470</v>
      </c>
      <c r="AK255" s="6" t="s">
        <v>100</v>
      </c>
      <c r="AL255" s="6" t="s">
        <v>76</v>
      </c>
      <c r="AM255" s="33" t="s">
        <v>238</v>
      </c>
      <c r="AN255" s="6" t="s">
        <v>101</v>
      </c>
      <c r="AO255" s="33"/>
      <c r="AP255" s="6" t="s">
        <v>75</v>
      </c>
      <c r="AQ255" s="33"/>
      <c r="AR255" s="33"/>
      <c r="AS255" s="33"/>
      <c r="AT255" s="6" t="s">
        <v>76</v>
      </c>
      <c r="AU255" s="33"/>
      <c r="AV255" s="33"/>
      <c r="AW255" s="33"/>
      <c r="AX255" s="33"/>
      <c r="AY255" s="33"/>
      <c r="AZ255" s="6" t="s">
        <v>76</v>
      </c>
      <c r="BA255" s="33"/>
      <c r="BB255" s="33">
        <f>VLOOKUP(O255,Eco_DEM_Data!$D$1:$AC$643,20,False)</f>
        <v>1209</v>
      </c>
      <c r="BC255" s="33">
        <f>VLOOKUP($O255,Eco_DEM_Data!$D$1:$AC$643,20,False)</f>
        <v>1209</v>
      </c>
      <c r="BD255" s="33">
        <f>VLOOKUP($O255,Eco_DEM_Data!$D$1:$AC$643,25,False)</f>
        <v>495</v>
      </c>
      <c r="BE255" s="33">
        <f>VLOOKUP($O255,Eco_DEM_Data!$D$1:$AC$643,22,False)</f>
        <v>39</v>
      </c>
      <c r="BF255" s="33">
        <f>VLOOKUP($O255,Eco_DEM_Data!$D$1:$AC$643,23,False)</f>
        <v>132</v>
      </c>
      <c r="BG255" s="33">
        <f>VLOOKUP($O255,Eco_DEM_Data!$D$1:$AC$643,21,False)</f>
        <v>5135</v>
      </c>
      <c r="BH255" s="33">
        <f>VLOOKUP($O255,Eco_DEM_Data!$D$1:$AC$643,26,False)</f>
        <v>5</v>
      </c>
      <c r="BI255" s="33" t="str">
        <f>VLOOKUP($O255,Eco_DEM_Data!$D$1:$AC$643,9,False)</f>
        <v>Yucatán moist forests</v>
      </c>
      <c r="BJ255" s="33" t="str">
        <f>VLOOKUP($O255,Eco_DEM_Data!$D$1:$AC$643,11,False)</f>
        <v>Tropical &amp; Subtropical Moist Broadleaf Forests</v>
      </c>
    </row>
    <row r="256">
      <c r="A256" s="33" t="s">
        <v>905</v>
      </c>
      <c r="B256" s="33" t="s">
        <v>2258</v>
      </c>
      <c r="C256" s="34">
        <v>9.0</v>
      </c>
      <c r="D256" s="33" t="s">
        <v>53</v>
      </c>
      <c r="E256" s="34">
        <v>2009.0</v>
      </c>
      <c r="F256" s="33" t="s">
        <v>906</v>
      </c>
      <c r="G256" s="33" t="s">
        <v>907</v>
      </c>
      <c r="H256" s="33" t="s">
        <v>732</v>
      </c>
      <c r="I256" s="33" t="s">
        <v>908</v>
      </c>
      <c r="J256" s="33" t="s">
        <v>909</v>
      </c>
      <c r="K256" s="34">
        <v>42.0</v>
      </c>
      <c r="L256" s="34">
        <v>2.0</v>
      </c>
      <c r="M256" s="6" t="s">
        <v>910</v>
      </c>
      <c r="N256" s="35" t="s">
        <v>60</v>
      </c>
      <c r="O256" s="33" t="s">
        <v>939</v>
      </c>
      <c r="P256" s="36" t="s">
        <v>62</v>
      </c>
      <c r="Q256" s="36" t="s">
        <v>92</v>
      </c>
      <c r="R256" s="36" t="s">
        <v>912</v>
      </c>
      <c r="S256" s="37">
        <v>20.274287</v>
      </c>
      <c r="T256" s="37">
        <v>-87.486249</v>
      </c>
      <c r="U256" s="36" t="s">
        <v>148</v>
      </c>
      <c r="V256" s="38" t="s">
        <v>614</v>
      </c>
      <c r="W256" s="63" t="s">
        <v>917</v>
      </c>
      <c r="X256" s="3" t="s">
        <v>72</v>
      </c>
      <c r="Y256" s="33" t="s">
        <v>928</v>
      </c>
      <c r="Z256" s="36"/>
      <c r="AA256" s="37"/>
      <c r="AB256" s="36"/>
      <c r="AC256" s="36"/>
      <c r="AD256" s="36"/>
      <c r="AE256" s="36"/>
      <c r="AF256" s="36"/>
      <c r="AG256" s="36"/>
      <c r="AH256" s="36" t="s">
        <v>915</v>
      </c>
      <c r="AI256" s="36" t="s">
        <v>470</v>
      </c>
      <c r="AJ256" s="36" t="s">
        <v>470</v>
      </c>
      <c r="AK256" s="6" t="s">
        <v>100</v>
      </c>
      <c r="AL256" s="6" t="s">
        <v>76</v>
      </c>
      <c r="AM256" s="33" t="s">
        <v>238</v>
      </c>
      <c r="AN256" s="6" t="s">
        <v>101</v>
      </c>
      <c r="AO256" s="33"/>
      <c r="AP256" s="6" t="s">
        <v>75</v>
      </c>
      <c r="AQ256" s="33"/>
      <c r="AR256" s="33"/>
      <c r="AS256" s="33"/>
      <c r="AT256" s="6" t="s">
        <v>76</v>
      </c>
      <c r="AU256" s="33"/>
      <c r="AV256" s="33"/>
      <c r="AW256" s="33"/>
      <c r="AX256" s="33"/>
      <c r="AY256" s="33"/>
      <c r="AZ256" s="6" t="s">
        <v>76</v>
      </c>
      <c r="BA256" s="33"/>
      <c r="BB256" s="33">
        <f>VLOOKUP(O256,Eco_DEM_Data!$D$1:$AC$643,20,False)</f>
        <v>1209</v>
      </c>
      <c r="BC256" s="33">
        <f>VLOOKUP($O256,Eco_DEM_Data!$D$1:$AC$643,20,False)</f>
        <v>1209</v>
      </c>
      <c r="BD256" s="33">
        <f>VLOOKUP($O256,Eco_DEM_Data!$D$1:$AC$643,25,False)</f>
        <v>495</v>
      </c>
      <c r="BE256" s="33">
        <f>VLOOKUP($O256,Eco_DEM_Data!$D$1:$AC$643,22,False)</f>
        <v>39</v>
      </c>
      <c r="BF256" s="33">
        <f>VLOOKUP($O256,Eco_DEM_Data!$D$1:$AC$643,23,False)</f>
        <v>132</v>
      </c>
      <c r="BG256" s="33">
        <f>VLOOKUP($O256,Eco_DEM_Data!$D$1:$AC$643,21,False)</f>
        <v>5135</v>
      </c>
      <c r="BH256" s="33">
        <f>VLOOKUP($O256,Eco_DEM_Data!$D$1:$AC$643,26,False)</f>
        <v>5</v>
      </c>
      <c r="BI256" s="33" t="str">
        <f>VLOOKUP($O256,Eco_DEM_Data!$D$1:$AC$643,9,False)</f>
        <v>Yucatán moist forests</v>
      </c>
      <c r="BJ256" s="33" t="str">
        <f>VLOOKUP($O256,Eco_DEM_Data!$D$1:$AC$643,11,False)</f>
        <v>Tropical &amp; Subtropical Moist Broadleaf Forests</v>
      </c>
    </row>
    <row r="257">
      <c r="A257" s="33" t="s">
        <v>905</v>
      </c>
      <c r="B257" s="33" t="s">
        <v>2258</v>
      </c>
      <c r="C257" s="34">
        <v>9.0</v>
      </c>
      <c r="D257" s="33" t="s">
        <v>53</v>
      </c>
      <c r="E257" s="34">
        <v>2009.0</v>
      </c>
      <c r="F257" s="33" t="s">
        <v>906</v>
      </c>
      <c r="G257" s="33" t="s">
        <v>907</v>
      </c>
      <c r="H257" s="33" t="s">
        <v>732</v>
      </c>
      <c r="I257" s="33" t="s">
        <v>908</v>
      </c>
      <c r="J257" s="33" t="s">
        <v>909</v>
      </c>
      <c r="K257" s="34">
        <v>42.0</v>
      </c>
      <c r="L257" s="34">
        <v>2.0</v>
      </c>
      <c r="M257" s="6" t="s">
        <v>910</v>
      </c>
      <c r="N257" s="35" t="s">
        <v>60</v>
      </c>
      <c r="O257" s="33" t="s">
        <v>1060</v>
      </c>
      <c r="P257" s="36" t="s">
        <v>62</v>
      </c>
      <c r="Q257" s="36" t="s">
        <v>92</v>
      </c>
      <c r="R257" s="36" t="s">
        <v>912</v>
      </c>
      <c r="S257" s="37">
        <v>20.274287</v>
      </c>
      <c r="T257" s="37">
        <v>-87.486249</v>
      </c>
      <c r="U257" s="36" t="s">
        <v>148</v>
      </c>
      <c r="V257" s="6" t="s">
        <v>275</v>
      </c>
      <c r="W257" s="33" t="s">
        <v>72</v>
      </c>
      <c r="X257" s="1" t="s">
        <v>278</v>
      </c>
      <c r="Y257" s="33" t="s">
        <v>279</v>
      </c>
      <c r="Z257" s="36"/>
      <c r="AA257" s="37"/>
      <c r="AB257" s="36"/>
      <c r="AC257" s="36"/>
      <c r="AD257" s="36"/>
      <c r="AE257" s="36"/>
      <c r="AF257" s="36"/>
      <c r="AG257" s="36"/>
      <c r="AH257" s="36" t="s">
        <v>915</v>
      </c>
      <c r="AI257" s="36" t="s">
        <v>470</v>
      </c>
      <c r="AJ257" s="36" t="s">
        <v>470</v>
      </c>
      <c r="AK257" s="6" t="s">
        <v>100</v>
      </c>
      <c r="AL257" s="6" t="s">
        <v>76</v>
      </c>
      <c r="AM257" s="33" t="s">
        <v>238</v>
      </c>
      <c r="AN257" s="6" t="s">
        <v>101</v>
      </c>
      <c r="AO257" s="33"/>
      <c r="AP257" s="6" t="s">
        <v>75</v>
      </c>
      <c r="AQ257" s="33"/>
      <c r="AR257" s="33"/>
      <c r="AS257" s="33"/>
      <c r="AT257" s="6" t="s">
        <v>76</v>
      </c>
      <c r="AU257" s="33"/>
      <c r="AV257" s="33"/>
      <c r="AW257" s="33"/>
      <c r="AX257" s="33"/>
      <c r="AY257" s="33"/>
      <c r="AZ257" s="6" t="s">
        <v>76</v>
      </c>
      <c r="BA257" s="33"/>
      <c r="BB257" s="33">
        <f>VLOOKUP(O257,Eco_DEM_Data!$D$1:$AC$643,20,False)</f>
        <v>1209</v>
      </c>
      <c r="BC257" s="33">
        <f>VLOOKUP($O257,Eco_DEM_Data!$D$1:$AC$643,20,False)</f>
        <v>1209</v>
      </c>
      <c r="BD257" s="33">
        <f>VLOOKUP($O257,Eco_DEM_Data!$D$1:$AC$643,25,False)</f>
        <v>495</v>
      </c>
      <c r="BE257" s="33">
        <f>VLOOKUP($O257,Eco_DEM_Data!$D$1:$AC$643,22,False)</f>
        <v>39</v>
      </c>
      <c r="BF257" s="33">
        <f>VLOOKUP($O257,Eco_DEM_Data!$D$1:$AC$643,23,False)</f>
        <v>132</v>
      </c>
      <c r="BG257" s="33">
        <f>VLOOKUP($O257,Eco_DEM_Data!$D$1:$AC$643,21,False)</f>
        <v>5135</v>
      </c>
      <c r="BH257" s="33">
        <f>VLOOKUP($O257,Eco_DEM_Data!$D$1:$AC$643,26,False)</f>
        <v>5</v>
      </c>
      <c r="BI257" s="33" t="str">
        <f>VLOOKUP($O257,Eco_DEM_Data!$D$1:$AC$643,9,False)</f>
        <v>Yucatán moist forests</v>
      </c>
      <c r="BJ257" s="33" t="str">
        <f>VLOOKUP($O257,Eco_DEM_Data!$D$1:$AC$643,11,False)</f>
        <v>Tropical &amp; Subtropical Moist Broadleaf Forests</v>
      </c>
    </row>
    <row r="258">
      <c r="A258" s="33" t="s">
        <v>905</v>
      </c>
      <c r="B258" s="33" t="s">
        <v>2258</v>
      </c>
      <c r="C258" s="34">
        <v>9.0</v>
      </c>
      <c r="D258" s="33" t="s">
        <v>53</v>
      </c>
      <c r="E258" s="34">
        <v>2009.0</v>
      </c>
      <c r="F258" s="33" t="s">
        <v>906</v>
      </c>
      <c r="G258" s="33" t="s">
        <v>907</v>
      </c>
      <c r="H258" s="33" t="s">
        <v>732</v>
      </c>
      <c r="I258" s="33" t="s">
        <v>908</v>
      </c>
      <c r="J258" s="33" t="s">
        <v>909</v>
      </c>
      <c r="K258" s="34">
        <v>42.0</v>
      </c>
      <c r="L258" s="34">
        <v>2.0</v>
      </c>
      <c r="M258" s="6" t="s">
        <v>910</v>
      </c>
      <c r="N258" s="35" t="s">
        <v>60</v>
      </c>
      <c r="O258" s="33" t="s">
        <v>940</v>
      </c>
      <c r="P258" s="36" t="s">
        <v>62</v>
      </c>
      <c r="Q258" s="36" t="s">
        <v>92</v>
      </c>
      <c r="R258" s="36" t="s">
        <v>912</v>
      </c>
      <c r="S258" s="37">
        <v>20.274287</v>
      </c>
      <c r="T258" s="37">
        <v>-87.486249</v>
      </c>
      <c r="U258" s="36" t="s">
        <v>148</v>
      </c>
      <c r="V258" s="38" t="s">
        <v>941</v>
      </c>
      <c r="W258" s="63" t="s">
        <v>917</v>
      </c>
      <c r="X258" s="3" t="s">
        <v>72</v>
      </c>
      <c r="Y258" s="33" t="s">
        <v>928</v>
      </c>
      <c r="Z258" s="36"/>
      <c r="AA258" s="37"/>
      <c r="AB258" s="36"/>
      <c r="AC258" s="36"/>
      <c r="AD258" s="36"/>
      <c r="AE258" s="36"/>
      <c r="AF258" s="36"/>
      <c r="AG258" s="36"/>
      <c r="AH258" s="36" t="s">
        <v>915</v>
      </c>
      <c r="AI258" s="36" t="s">
        <v>470</v>
      </c>
      <c r="AJ258" s="36" t="s">
        <v>470</v>
      </c>
      <c r="AK258" s="6" t="s">
        <v>100</v>
      </c>
      <c r="AL258" s="6" t="s">
        <v>76</v>
      </c>
      <c r="AM258" s="33" t="s">
        <v>238</v>
      </c>
      <c r="AN258" s="6" t="s">
        <v>101</v>
      </c>
      <c r="AO258" s="33"/>
      <c r="AP258" s="6" t="s">
        <v>75</v>
      </c>
      <c r="AQ258" s="33"/>
      <c r="AR258" s="33"/>
      <c r="AS258" s="33"/>
      <c r="AT258" s="6" t="s">
        <v>76</v>
      </c>
      <c r="AU258" s="33"/>
      <c r="AV258" s="33"/>
      <c r="AW258" s="33"/>
      <c r="AX258" s="33"/>
      <c r="AY258" s="33"/>
      <c r="AZ258" s="6" t="s">
        <v>76</v>
      </c>
      <c r="BA258" s="33"/>
      <c r="BB258" s="33">
        <f>VLOOKUP(O258,Eco_DEM_Data!$D$1:$AC$643,20,False)</f>
        <v>1209</v>
      </c>
      <c r="BC258" s="33">
        <f>VLOOKUP($O258,Eco_DEM_Data!$D$1:$AC$643,20,False)</f>
        <v>1209</v>
      </c>
      <c r="BD258" s="33">
        <f>VLOOKUP($O258,Eco_DEM_Data!$D$1:$AC$643,25,False)</f>
        <v>495</v>
      </c>
      <c r="BE258" s="33">
        <f>VLOOKUP($O258,Eco_DEM_Data!$D$1:$AC$643,22,False)</f>
        <v>39</v>
      </c>
      <c r="BF258" s="33">
        <f>VLOOKUP($O258,Eco_DEM_Data!$D$1:$AC$643,23,False)</f>
        <v>132</v>
      </c>
      <c r="BG258" s="33">
        <f>VLOOKUP($O258,Eco_DEM_Data!$D$1:$AC$643,21,False)</f>
        <v>5135</v>
      </c>
      <c r="BH258" s="33">
        <f>VLOOKUP($O258,Eco_DEM_Data!$D$1:$AC$643,26,False)</f>
        <v>5</v>
      </c>
      <c r="BI258" s="33" t="str">
        <f>VLOOKUP($O258,Eco_DEM_Data!$D$1:$AC$643,9,False)</f>
        <v>Yucatán moist forests</v>
      </c>
      <c r="BJ258" s="33" t="str">
        <f>VLOOKUP($O258,Eco_DEM_Data!$D$1:$AC$643,11,False)</f>
        <v>Tropical &amp; Subtropical Moist Broadleaf Forests</v>
      </c>
    </row>
    <row r="259">
      <c r="A259" s="33" t="s">
        <v>905</v>
      </c>
      <c r="B259" s="33" t="s">
        <v>2258</v>
      </c>
      <c r="C259" s="34">
        <v>9.0</v>
      </c>
      <c r="D259" s="33" t="s">
        <v>53</v>
      </c>
      <c r="E259" s="34">
        <v>2009.0</v>
      </c>
      <c r="F259" s="33" t="s">
        <v>906</v>
      </c>
      <c r="G259" s="33" t="s">
        <v>907</v>
      </c>
      <c r="H259" s="33" t="s">
        <v>732</v>
      </c>
      <c r="I259" s="33" t="s">
        <v>908</v>
      </c>
      <c r="J259" s="33" t="s">
        <v>909</v>
      </c>
      <c r="K259" s="34">
        <v>42.0</v>
      </c>
      <c r="L259" s="34">
        <v>2.0</v>
      </c>
      <c r="M259" s="6" t="s">
        <v>910</v>
      </c>
      <c r="N259" s="35" t="s">
        <v>60</v>
      </c>
      <c r="O259" s="33" t="s">
        <v>942</v>
      </c>
      <c r="P259" s="36" t="s">
        <v>62</v>
      </c>
      <c r="Q259" s="36" t="s">
        <v>92</v>
      </c>
      <c r="R259" s="36" t="s">
        <v>912</v>
      </c>
      <c r="S259" s="37">
        <v>20.274287</v>
      </c>
      <c r="T259" s="37">
        <v>-87.486249</v>
      </c>
      <c r="U259" s="36" t="s">
        <v>148</v>
      </c>
      <c r="V259" s="38" t="s">
        <v>194</v>
      </c>
      <c r="W259" s="63" t="s">
        <v>917</v>
      </c>
      <c r="X259" s="1" t="s">
        <v>943</v>
      </c>
      <c r="Y259" s="33" t="s">
        <v>70</v>
      </c>
      <c r="Z259" s="36"/>
      <c r="AA259" s="37"/>
      <c r="AB259" s="36"/>
      <c r="AC259" s="36"/>
      <c r="AD259" s="36"/>
      <c r="AE259" s="36"/>
      <c r="AF259" s="36"/>
      <c r="AG259" s="36"/>
      <c r="AH259" s="36" t="s">
        <v>915</v>
      </c>
      <c r="AI259" s="36" t="s">
        <v>470</v>
      </c>
      <c r="AJ259" s="36" t="s">
        <v>470</v>
      </c>
      <c r="AK259" s="6" t="s">
        <v>100</v>
      </c>
      <c r="AL259" s="6" t="s">
        <v>76</v>
      </c>
      <c r="AM259" s="33" t="s">
        <v>238</v>
      </c>
      <c r="AN259" s="6" t="s">
        <v>101</v>
      </c>
      <c r="AO259" s="33"/>
      <c r="AP259" s="6" t="s">
        <v>75</v>
      </c>
      <c r="AQ259" s="33"/>
      <c r="AR259" s="33"/>
      <c r="AS259" s="33"/>
      <c r="AT259" s="6" t="s">
        <v>76</v>
      </c>
      <c r="AU259" s="33"/>
      <c r="AV259" s="33"/>
      <c r="AW259" s="33"/>
      <c r="AX259" s="33"/>
      <c r="AY259" s="33"/>
      <c r="AZ259" s="6" t="s">
        <v>76</v>
      </c>
      <c r="BA259" s="33"/>
      <c r="BB259" s="33">
        <f>VLOOKUP(O259,Eco_DEM_Data!$D$1:$AC$643,20,False)</f>
        <v>1209</v>
      </c>
      <c r="BC259" s="33">
        <f>VLOOKUP($O259,Eco_DEM_Data!$D$1:$AC$643,20,False)</f>
        <v>1209</v>
      </c>
      <c r="BD259" s="33">
        <f>VLOOKUP($O259,Eco_DEM_Data!$D$1:$AC$643,25,False)</f>
        <v>495</v>
      </c>
      <c r="BE259" s="33">
        <f>VLOOKUP($O259,Eco_DEM_Data!$D$1:$AC$643,22,False)</f>
        <v>39</v>
      </c>
      <c r="BF259" s="33">
        <f>VLOOKUP($O259,Eco_DEM_Data!$D$1:$AC$643,23,False)</f>
        <v>132</v>
      </c>
      <c r="BG259" s="33">
        <f>VLOOKUP($O259,Eco_DEM_Data!$D$1:$AC$643,21,False)</f>
        <v>5135</v>
      </c>
      <c r="BH259" s="33">
        <f>VLOOKUP($O259,Eco_DEM_Data!$D$1:$AC$643,26,False)</f>
        <v>5</v>
      </c>
      <c r="BI259" s="33" t="str">
        <f>VLOOKUP($O259,Eco_DEM_Data!$D$1:$AC$643,9,False)</f>
        <v>Yucatán moist forests</v>
      </c>
      <c r="BJ259" s="33" t="str">
        <f>VLOOKUP($O259,Eco_DEM_Data!$D$1:$AC$643,11,False)</f>
        <v>Tropical &amp; Subtropical Moist Broadleaf Forests</v>
      </c>
    </row>
    <row r="260">
      <c r="A260" s="33" t="s">
        <v>1665</v>
      </c>
      <c r="B260" s="33" t="s">
        <v>2259</v>
      </c>
      <c r="C260" s="34">
        <v>1.0</v>
      </c>
      <c r="D260" s="33" t="s">
        <v>53</v>
      </c>
      <c r="E260" s="34">
        <v>2009.0</v>
      </c>
      <c r="F260" s="33" t="s">
        <v>1666</v>
      </c>
      <c r="G260" s="33" t="s">
        <v>1667</v>
      </c>
      <c r="H260" s="33" t="s">
        <v>1386</v>
      </c>
      <c r="I260" s="33" t="s">
        <v>1668</v>
      </c>
      <c r="J260" s="33" t="s">
        <v>1669</v>
      </c>
      <c r="K260" s="34">
        <v>28.0</v>
      </c>
      <c r="L260" s="33" t="s">
        <v>1670</v>
      </c>
      <c r="M260" s="6" t="s">
        <v>1671</v>
      </c>
      <c r="N260" s="35" t="s">
        <v>76</v>
      </c>
      <c r="O260" s="33" t="s">
        <v>1665</v>
      </c>
      <c r="P260" s="36" t="s">
        <v>62</v>
      </c>
      <c r="Q260" s="36" t="s">
        <v>112</v>
      </c>
      <c r="R260" s="36" t="s">
        <v>1672</v>
      </c>
      <c r="S260" s="37">
        <v>10.166667</v>
      </c>
      <c r="T260" s="37">
        <v>-85.333333</v>
      </c>
      <c r="U260" s="36" t="s">
        <v>94</v>
      </c>
      <c r="V260" s="6" t="s">
        <v>95</v>
      </c>
      <c r="W260" s="6" t="s">
        <v>96</v>
      </c>
      <c r="X260" s="1" t="s">
        <v>1673</v>
      </c>
      <c r="Y260" s="33" t="s">
        <v>456</v>
      </c>
      <c r="Z260" s="36"/>
      <c r="AA260" s="37"/>
      <c r="AB260" s="36"/>
      <c r="AC260" s="36"/>
      <c r="AD260" s="36"/>
      <c r="AE260" s="37">
        <v>35.0</v>
      </c>
      <c r="AF260" s="36"/>
      <c r="AG260" s="36"/>
      <c r="AH260" s="36"/>
      <c r="AI260" s="37">
        <v>-6000.0</v>
      </c>
      <c r="AJ260" s="37">
        <v>-4400.0</v>
      </c>
      <c r="AK260" s="6" t="s">
        <v>153</v>
      </c>
      <c r="AL260" s="6" t="s">
        <v>76</v>
      </c>
      <c r="AM260" s="5" t="s">
        <v>72</v>
      </c>
      <c r="AN260" s="6" t="s">
        <v>101</v>
      </c>
      <c r="AO260" s="33"/>
      <c r="AP260" s="6" t="s">
        <v>102</v>
      </c>
      <c r="AQ260" s="33"/>
      <c r="AR260" s="33"/>
      <c r="AS260" s="33"/>
      <c r="AT260" s="6" t="s">
        <v>76</v>
      </c>
      <c r="AU260" s="33"/>
      <c r="AV260" s="33"/>
      <c r="AW260" s="33"/>
      <c r="AX260" s="33"/>
      <c r="AY260" s="33"/>
      <c r="AZ260" s="6" t="s">
        <v>60</v>
      </c>
      <c r="BA260" s="33"/>
      <c r="BB260" s="33">
        <f>VLOOKUP(O260,Eco_DEM_Data!$D$1:$AC$643,20,False)</f>
        <v>1891</v>
      </c>
      <c r="BC260" s="33">
        <f>VLOOKUP($O260,Eco_DEM_Data!$D$1:$AC$643,20,False)</f>
        <v>1891</v>
      </c>
      <c r="BD260" s="33">
        <f>VLOOKUP($O260,Eco_DEM_Data!$D$1:$AC$643,25,False)</f>
        <v>915</v>
      </c>
      <c r="BE260" s="33">
        <f>VLOOKUP($O260,Eco_DEM_Data!$D$1:$AC$643,22,False)</f>
        <v>2</v>
      </c>
      <c r="BF260" s="33">
        <f>VLOOKUP($O260,Eco_DEM_Data!$D$1:$AC$643,23,False)</f>
        <v>14</v>
      </c>
      <c r="BG260" s="33">
        <f>VLOOKUP($O260,Eco_DEM_Data!$D$1:$AC$643,21,False)</f>
        <v>8437</v>
      </c>
      <c r="BH260" s="33">
        <f>VLOOKUP($O260,Eco_DEM_Data!$D$1:$AC$643,26,False)</f>
        <v>74</v>
      </c>
      <c r="BI260" s="33" t="str">
        <f>VLOOKUP($O260,Eco_DEM_Data!$D$1:$AC$643,9,False)</f>
        <v>Central American dry forests</v>
      </c>
      <c r="BJ260" s="33" t="str">
        <f>VLOOKUP($O260,Eco_DEM_Data!$D$1:$AC$643,11,False)</f>
        <v>Tropical &amp; Subtropical Dry Broadleaf Forests</v>
      </c>
    </row>
    <row r="261">
      <c r="A261" s="33" t="s">
        <v>1101</v>
      </c>
      <c r="B261" s="33" t="s">
        <v>2259</v>
      </c>
      <c r="C261" s="34">
        <v>17.0</v>
      </c>
      <c r="D261" s="33" t="s">
        <v>268</v>
      </c>
      <c r="E261" s="34">
        <v>2009.0</v>
      </c>
      <c r="F261" s="33" t="s">
        <v>1102</v>
      </c>
      <c r="G261" s="45" t="s">
        <v>1103</v>
      </c>
      <c r="H261" s="46"/>
      <c r="I261" s="33"/>
      <c r="J261" s="33" t="s">
        <v>1104</v>
      </c>
      <c r="K261" s="34">
        <v>24.0</v>
      </c>
      <c r="L261" s="33"/>
      <c r="M261" s="6" t="s">
        <v>1105</v>
      </c>
      <c r="N261" s="35" t="s">
        <v>60</v>
      </c>
      <c r="O261" s="33" t="s">
        <v>2023</v>
      </c>
      <c r="P261" s="36" t="s">
        <v>62</v>
      </c>
      <c r="Q261" s="36" t="s">
        <v>187</v>
      </c>
      <c r="R261" s="36" t="s">
        <v>1113</v>
      </c>
      <c r="S261" s="37">
        <v>17.599365</v>
      </c>
      <c r="T261" s="37">
        <v>-88.69915</v>
      </c>
      <c r="U261" s="36" t="s">
        <v>1108</v>
      </c>
      <c r="V261" s="6" t="s">
        <v>95</v>
      </c>
      <c r="W261" s="6" t="s">
        <v>96</v>
      </c>
      <c r="X261" s="1" t="s">
        <v>2024</v>
      </c>
      <c r="Y261" s="55" t="s">
        <v>256</v>
      </c>
      <c r="Z261" s="36"/>
      <c r="AA261" s="37">
        <v>7.0</v>
      </c>
      <c r="AB261" s="36"/>
      <c r="AC261" s="36"/>
      <c r="AD261" s="36"/>
      <c r="AE261" s="36"/>
      <c r="AF261" s="36"/>
      <c r="AG261" s="36"/>
      <c r="AH261" s="36" t="s">
        <v>1114</v>
      </c>
      <c r="AI261" s="37">
        <v>-10050.0</v>
      </c>
      <c r="AJ261" s="37">
        <v>1950.0</v>
      </c>
      <c r="AK261" s="6" t="s">
        <v>100</v>
      </c>
      <c r="AL261" s="6" t="s">
        <v>76</v>
      </c>
      <c r="AM261" s="33" t="s">
        <v>74</v>
      </c>
      <c r="AN261" s="6" t="s">
        <v>60</v>
      </c>
      <c r="AO261" s="33"/>
      <c r="AP261" s="6" t="s">
        <v>75</v>
      </c>
      <c r="AQ261" s="33"/>
      <c r="AR261" s="33"/>
      <c r="AS261" s="33"/>
      <c r="AT261" s="6" t="s">
        <v>76</v>
      </c>
      <c r="AU261" s="33"/>
      <c r="AV261" s="33"/>
      <c r="AW261" s="33"/>
      <c r="AX261" s="33"/>
      <c r="AY261" s="33"/>
      <c r="AZ261" s="6" t="s">
        <v>76</v>
      </c>
      <c r="BA261" s="33"/>
      <c r="BB261" s="33">
        <f>VLOOKUP(O261,Eco_DEM_Data!$D$1:$AC$643,20,False)</f>
        <v>1778</v>
      </c>
      <c r="BC261" s="33">
        <f>VLOOKUP($O261,Eco_DEM_Data!$D$1:$AC$643,20,False)</f>
        <v>1778</v>
      </c>
      <c r="BD261" s="33">
        <f>VLOOKUP($O261,Eco_DEM_Data!$D$1:$AC$643,25,False)</f>
        <v>697</v>
      </c>
      <c r="BE261" s="33">
        <f>VLOOKUP($O261,Eco_DEM_Data!$D$1:$AC$643,22,False)</f>
        <v>45</v>
      </c>
      <c r="BF261" s="33">
        <f>VLOOKUP($O261,Eco_DEM_Data!$D$1:$AC$643,23,False)</f>
        <v>158</v>
      </c>
      <c r="BG261" s="33">
        <f>VLOOKUP($O261,Eco_DEM_Data!$D$1:$AC$643,21,False)</f>
        <v>5215</v>
      </c>
      <c r="BH261" s="33">
        <f>VLOOKUP($O261,Eco_DEM_Data!$D$1:$AC$643,26,False)</f>
        <v>41</v>
      </c>
      <c r="BI261" s="33" t="str">
        <f>VLOOKUP($O261,Eco_DEM_Data!$D$1:$AC$643,9,False)</f>
        <v>Petén-Veracruz moist forests</v>
      </c>
      <c r="BJ261" s="33" t="str">
        <f>VLOOKUP($O261,Eco_DEM_Data!$D$1:$AC$643,11,False)</f>
        <v>Tropical &amp; Subtropical Moist Broadleaf Forests</v>
      </c>
    </row>
    <row r="262">
      <c r="A262" s="33" t="s">
        <v>1101</v>
      </c>
      <c r="B262" s="33" t="s">
        <v>2259</v>
      </c>
      <c r="C262" s="34">
        <v>17.0</v>
      </c>
      <c r="D262" s="33" t="s">
        <v>268</v>
      </c>
      <c r="E262" s="34">
        <v>2009.0</v>
      </c>
      <c r="F262" s="33" t="s">
        <v>1102</v>
      </c>
      <c r="G262" s="45" t="s">
        <v>1103</v>
      </c>
      <c r="H262" s="46"/>
      <c r="I262" s="33"/>
      <c r="J262" s="33" t="s">
        <v>1104</v>
      </c>
      <c r="K262" s="34">
        <v>24.0</v>
      </c>
      <c r="L262" s="33"/>
      <c r="M262" s="6" t="s">
        <v>1105</v>
      </c>
      <c r="N262" s="35" t="s">
        <v>60</v>
      </c>
      <c r="O262" s="33" t="s">
        <v>2025</v>
      </c>
      <c r="P262" s="36" t="s">
        <v>62</v>
      </c>
      <c r="Q262" s="36" t="s">
        <v>187</v>
      </c>
      <c r="R262" s="36" t="s">
        <v>1113</v>
      </c>
      <c r="S262" s="37">
        <v>17.599365</v>
      </c>
      <c r="T262" s="37">
        <v>-88.69915</v>
      </c>
      <c r="U262" s="36" t="s">
        <v>1108</v>
      </c>
      <c r="V262" s="6" t="s">
        <v>95</v>
      </c>
      <c r="W262" s="6" t="s">
        <v>96</v>
      </c>
      <c r="X262" s="1" t="s">
        <v>2026</v>
      </c>
      <c r="Y262" s="55" t="s">
        <v>256</v>
      </c>
      <c r="Z262" s="36"/>
      <c r="AA262" s="37">
        <v>7.0</v>
      </c>
      <c r="AB262" s="36"/>
      <c r="AC262" s="36"/>
      <c r="AD262" s="36"/>
      <c r="AE262" s="36"/>
      <c r="AF262" s="36"/>
      <c r="AG262" s="36"/>
      <c r="AH262" s="36" t="s">
        <v>1114</v>
      </c>
      <c r="AI262" s="37">
        <v>-10050.0</v>
      </c>
      <c r="AJ262" s="37">
        <v>1950.0</v>
      </c>
      <c r="AK262" s="6" t="s">
        <v>100</v>
      </c>
      <c r="AL262" s="6" t="s">
        <v>76</v>
      </c>
      <c r="AM262" s="33" t="s">
        <v>74</v>
      </c>
      <c r="AN262" s="6" t="s">
        <v>60</v>
      </c>
      <c r="AO262" s="33"/>
      <c r="AP262" s="6" t="s">
        <v>75</v>
      </c>
      <c r="AQ262" s="33"/>
      <c r="AR262" s="33"/>
      <c r="AS262" s="33"/>
      <c r="AT262" s="6" t="s">
        <v>76</v>
      </c>
      <c r="AU262" s="33"/>
      <c r="AV262" s="33"/>
      <c r="AW262" s="33"/>
      <c r="AX262" s="33"/>
      <c r="AY262" s="33"/>
      <c r="AZ262" s="6" t="s">
        <v>76</v>
      </c>
      <c r="BA262" s="33"/>
      <c r="BB262" s="33">
        <f>VLOOKUP(O262,Eco_DEM_Data!$D$1:$AC$643,20,False)</f>
        <v>1778</v>
      </c>
      <c r="BC262" s="33">
        <f>VLOOKUP($O262,Eco_DEM_Data!$D$1:$AC$643,20,False)</f>
        <v>1778</v>
      </c>
      <c r="BD262" s="33">
        <f>VLOOKUP($O262,Eco_DEM_Data!$D$1:$AC$643,25,False)</f>
        <v>697</v>
      </c>
      <c r="BE262" s="33">
        <f>VLOOKUP($O262,Eco_DEM_Data!$D$1:$AC$643,22,False)</f>
        <v>45</v>
      </c>
      <c r="BF262" s="33">
        <f>VLOOKUP($O262,Eco_DEM_Data!$D$1:$AC$643,23,False)</f>
        <v>158</v>
      </c>
      <c r="BG262" s="33">
        <f>VLOOKUP($O262,Eco_DEM_Data!$D$1:$AC$643,21,False)</f>
        <v>5215</v>
      </c>
      <c r="BH262" s="33">
        <f>VLOOKUP($O262,Eco_DEM_Data!$D$1:$AC$643,26,False)</f>
        <v>41</v>
      </c>
      <c r="BI262" s="33" t="str">
        <f>VLOOKUP($O262,Eco_DEM_Data!$D$1:$AC$643,9,False)</f>
        <v>Petén-Veracruz moist forests</v>
      </c>
      <c r="BJ262" s="33" t="str">
        <f>VLOOKUP($O262,Eco_DEM_Data!$D$1:$AC$643,11,False)</f>
        <v>Tropical &amp; Subtropical Moist Broadleaf Forests</v>
      </c>
    </row>
    <row r="263">
      <c r="A263" s="33" t="s">
        <v>1101</v>
      </c>
      <c r="B263" s="33" t="s">
        <v>2259</v>
      </c>
      <c r="C263" s="34">
        <v>17.0</v>
      </c>
      <c r="D263" s="33" t="s">
        <v>268</v>
      </c>
      <c r="E263" s="34">
        <v>2009.0</v>
      </c>
      <c r="F263" s="33" t="s">
        <v>1102</v>
      </c>
      <c r="G263" s="45" t="s">
        <v>1103</v>
      </c>
      <c r="H263" s="46"/>
      <c r="I263" s="33"/>
      <c r="J263" s="33" t="s">
        <v>1104</v>
      </c>
      <c r="K263" s="34">
        <v>24.0</v>
      </c>
      <c r="L263" s="33"/>
      <c r="M263" s="6" t="s">
        <v>1105</v>
      </c>
      <c r="N263" s="35" t="s">
        <v>60</v>
      </c>
      <c r="O263" s="33" t="s">
        <v>2028</v>
      </c>
      <c r="P263" s="36" t="s">
        <v>62</v>
      </c>
      <c r="Q263" s="36" t="s">
        <v>187</v>
      </c>
      <c r="R263" s="36" t="s">
        <v>1113</v>
      </c>
      <c r="S263" s="37">
        <v>17.599365</v>
      </c>
      <c r="T263" s="37">
        <v>-88.69915</v>
      </c>
      <c r="U263" s="36" t="s">
        <v>1108</v>
      </c>
      <c r="V263" s="6" t="s">
        <v>95</v>
      </c>
      <c r="W263" s="6" t="s">
        <v>96</v>
      </c>
      <c r="X263" s="1" t="s">
        <v>2029</v>
      </c>
      <c r="Y263" s="55" t="s">
        <v>256</v>
      </c>
      <c r="Z263" s="36"/>
      <c r="AA263" s="37">
        <v>7.0</v>
      </c>
      <c r="AB263" s="36"/>
      <c r="AC263" s="36"/>
      <c r="AD263" s="36"/>
      <c r="AE263" s="36"/>
      <c r="AF263" s="36"/>
      <c r="AG263" s="36"/>
      <c r="AH263" s="36" t="s">
        <v>1114</v>
      </c>
      <c r="AI263" s="37">
        <v>-10050.0</v>
      </c>
      <c r="AJ263" s="37">
        <v>1950.0</v>
      </c>
      <c r="AK263" s="6" t="s">
        <v>100</v>
      </c>
      <c r="AL263" s="6" t="s">
        <v>76</v>
      </c>
      <c r="AM263" s="33" t="s">
        <v>74</v>
      </c>
      <c r="AN263" s="6" t="s">
        <v>60</v>
      </c>
      <c r="AO263" s="33"/>
      <c r="AP263" s="6" t="s">
        <v>75</v>
      </c>
      <c r="AQ263" s="33"/>
      <c r="AR263" s="33"/>
      <c r="AS263" s="33"/>
      <c r="AT263" s="6" t="s">
        <v>76</v>
      </c>
      <c r="AU263" s="33"/>
      <c r="AV263" s="33"/>
      <c r="AW263" s="33"/>
      <c r="AX263" s="33"/>
      <c r="AY263" s="33"/>
      <c r="AZ263" s="6" t="s">
        <v>76</v>
      </c>
      <c r="BA263" s="33"/>
      <c r="BB263" s="33">
        <f>VLOOKUP(O263,Eco_DEM_Data!$D$1:$AC$643,20,False)</f>
        <v>1778</v>
      </c>
      <c r="BC263" s="33">
        <f>VLOOKUP($O263,Eco_DEM_Data!$D$1:$AC$643,20,False)</f>
        <v>1778</v>
      </c>
      <c r="BD263" s="33">
        <f>VLOOKUP($O263,Eco_DEM_Data!$D$1:$AC$643,25,False)</f>
        <v>697</v>
      </c>
      <c r="BE263" s="33">
        <f>VLOOKUP($O263,Eco_DEM_Data!$D$1:$AC$643,22,False)</f>
        <v>45</v>
      </c>
      <c r="BF263" s="33">
        <f>VLOOKUP($O263,Eco_DEM_Data!$D$1:$AC$643,23,False)</f>
        <v>158</v>
      </c>
      <c r="BG263" s="33">
        <f>VLOOKUP($O263,Eco_DEM_Data!$D$1:$AC$643,21,False)</f>
        <v>5215</v>
      </c>
      <c r="BH263" s="33">
        <f>VLOOKUP($O263,Eco_DEM_Data!$D$1:$AC$643,26,False)</f>
        <v>41</v>
      </c>
      <c r="BI263" s="33" t="str">
        <f>VLOOKUP($O263,Eco_DEM_Data!$D$1:$AC$643,9,False)</f>
        <v>Petén-Veracruz moist forests</v>
      </c>
      <c r="BJ263" s="33" t="str">
        <f>VLOOKUP($O263,Eco_DEM_Data!$D$1:$AC$643,11,False)</f>
        <v>Tropical &amp; Subtropical Moist Broadleaf Forests</v>
      </c>
    </row>
    <row r="264">
      <c r="A264" s="33" t="s">
        <v>1101</v>
      </c>
      <c r="B264" s="33" t="s">
        <v>2259</v>
      </c>
      <c r="C264" s="34">
        <v>17.0</v>
      </c>
      <c r="D264" s="33" t="s">
        <v>268</v>
      </c>
      <c r="E264" s="34">
        <v>2009.0</v>
      </c>
      <c r="F264" s="33" t="s">
        <v>1102</v>
      </c>
      <c r="G264" s="45" t="s">
        <v>1103</v>
      </c>
      <c r="H264" s="46"/>
      <c r="I264" s="33"/>
      <c r="J264" s="33" t="s">
        <v>1104</v>
      </c>
      <c r="K264" s="34">
        <v>24.0</v>
      </c>
      <c r="L264" s="33"/>
      <c r="M264" s="6" t="s">
        <v>1105</v>
      </c>
      <c r="N264" s="35" t="s">
        <v>60</v>
      </c>
      <c r="O264" s="33" t="s">
        <v>2030</v>
      </c>
      <c r="P264" s="36" t="s">
        <v>62</v>
      </c>
      <c r="Q264" s="36" t="s">
        <v>187</v>
      </c>
      <c r="R264" s="36" t="s">
        <v>1113</v>
      </c>
      <c r="S264" s="37">
        <v>17.599365</v>
      </c>
      <c r="T264" s="37">
        <v>-88.69915</v>
      </c>
      <c r="U264" s="36" t="s">
        <v>1108</v>
      </c>
      <c r="V264" s="6" t="s">
        <v>95</v>
      </c>
      <c r="W264" s="10" t="s">
        <v>2031</v>
      </c>
      <c r="X264" s="7" t="s">
        <v>2032</v>
      </c>
      <c r="Y264" s="64" t="s">
        <v>256</v>
      </c>
      <c r="Z264" s="43"/>
      <c r="AA264" s="42">
        <v>7.0</v>
      </c>
      <c r="AB264" s="43"/>
      <c r="AC264" s="43"/>
      <c r="AD264" s="43"/>
      <c r="AE264" s="43"/>
      <c r="AF264" s="43"/>
      <c r="AG264" s="43"/>
      <c r="AH264" s="43" t="s">
        <v>1114</v>
      </c>
      <c r="AI264" s="42">
        <v>-10050.0</v>
      </c>
      <c r="AJ264" s="42">
        <v>1950.0</v>
      </c>
      <c r="AK264" s="5" t="s">
        <v>100</v>
      </c>
      <c r="AL264" s="5" t="s">
        <v>76</v>
      </c>
      <c r="AM264" s="41" t="s">
        <v>74</v>
      </c>
      <c r="AN264" s="5" t="s">
        <v>60</v>
      </c>
      <c r="AO264" s="41"/>
      <c r="AP264" s="5" t="s">
        <v>75</v>
      </c>
      <c r="AQ264" s="41"/>
      <c r="AR264" s="41"/>
      <c r="AS264" s="41"/>
      <c r="AT264" s="5" t="s">
        <v>76</v>
      </c>
      <c r="AU264" s="33"/>
      <c r="AV264" s="33"/>
      <c r="AW264" s="33"/>
      <c r="AX264" s="33"/>
      <c r="AY264" s="33"/>
      <c r="AZ264" s="6" t="s">
        <v>76</v>
      </c>
      <c r="BA264" s="33"/>
      <c r="BB264" s="33">
        <f>VLOOKUP(O264,Eco_DEM_Data!$D$1:$AC$643,20,False)</f>
        <v>1778</v>
      </c>
      <c r="BC264" s="33">
        <f>VLOOKUP($O264,Eco_DEM_Data!$D$1:$AC$643,20,False)</f>
        <v>1778</v>
      </c>
      <c r="BD264" s="33">
        <f>VLOOKUP($O264,Eco_DEM_Data!$D$1:$AC$643,25,False)</f>
        <v>697</v>
      </c>
      <c r="BE264" s="33">
        <f>VLOOKUP($O264,Eco_DEM_Data!$D$1:$AC$643,22,False)</f>
        <v>45</v>
      </c>
      <c r="BF264" s="33">
        <f>VLOOKUP($O264,Eco_DEM_Data!$D$1:$AC$643,23,False)</f>
        <v>158</v>
      </c>
      <c r="BG264" s="33">
        <f>VLOOKUP($O264,Eco_DEM_Data!$D$1:$AC$643,21,False)</f>
        <v>5215</v>
      </c>
      <c r="BH264" s="33">
        <f>VLOOKUP($O264,Eco_DEM_Data!$D$1:$AC$643,26,False)</f>
        <v>41</v>
      </c>
      <c r="BI264" s="33" t="str">
        <f>VLOOKUP($O264,Eco_DEM_Data!$D$1:$AC$643,9,False)</f>
        <v>Petén-Veracruz moist forests</v>
      </c>
      <c r="BJ264" s="33" t="str">
        <f>VLOOKUP($O264,Eco_DEM_Data!$D$1:$AC$643,11,False)</f>
        <v>Tropical &amp; Subtropical Moist Broadleaf Forests</v>
      </c>
    </row>
    <row r="265">
      <c r="A265" s="33" t="s">
        <v>1101</v>
      </c>
      <c r="B265" s="33" t="s">
        <v>2259</v>
      </c>
      <c r="C265" s="34">
        <v>17.0</v>
      </c>
      <c r="D265" s="33" t="s">
        <v>268</v>
      </c>
      <c r="E265" s="34">
        <v>2009.0</v>
      </c>
      <c r="F265" s="33" t="s">
        <v>1102</v>
      </c>
      <c r="G265" s="45" t="s">
        <v>1103</v>
      </c>
      <c r="H265" s="46"/>
      <c r="I265" s="33"/>
      <c r="J265" s="33" t="s">
        <v>1104</v>
      </c>
      <c r="K265" s="34">
        <v>24.0</v>
      </c>
      <c r="L265" s="33"/>
      <c r="M265" s="6" t="s">
        <v>1105</v>
      </c>
      <c r="N265" s="35" t="s">
        <v>60</v>
      </c>
      <c r="O265" s="33" t="s">
        <v>2033</v>
      </c>
      <c r="P265" s="36" t="s">
        <v>62</v>
      </c>
      <c r="Q265" s="36" t="s">
        <v>187</v>
      </c>
      <c r="R265" s="36" t="s">
        <v>1111</v>
      </c>
      <c r="S265" s="37">
        <v>17.751954</v>
      </c>
      <c r="T265" s="37">
        <v>-88.653037</v>
      </c>
      <c r="U265" s="36" t="s">
        <v>1108</v>
      </c>
      <c r="V265" s="6" t="s">
        <v>135</v>
      </c>
      <c r="W265" s="6" t="s">
        <v>96</v>
      </c>
      <c r="X265" s="1" t="s">
        <v>2034</v>
      </c>
      <c r="Y265" s="55" t="s">
        <v>256</v>
      </c>
      <c r="Z265" s="36"/>
      <c r="AA265" s="37">
        <v>1.0</v>
      </c>
      <c r="AB265" s="36"/>
      <c r="AC265" s="36"/>
      <c r="AD265" s="36"/>
      <c r="AE265" s="36"/>
      <c r="AF265" s="36"/>
      <c r="AG265" s="36"/>
      <c r="AH265" s="36" t="s">
        <v>675</v>
      </c>
      <c r="AI265" s="52" t="s">
        <v>72</v>
      </c>
      <c r="AJ265" s="37">
        <v>1950.0</v>
      </c>
      <c r="AK265" s="6" t="s">
        <v>100</v>
      </c>
      <c r="AL265" s="6" t="s">
        <v>76</v>
      </c>
      <c r="AM265" s="33" t="s">
        <v>74</v>
      </c>
      <c r="AN265" s="6" t="s">
        <v>60</v>
      </c>
      <c r="AO265" s="33"/>
      <c r="AP265" s="6" t="s">
        <v>75</v>
      </c>
      <c r="AQ265" s="33"/>
      <c r="AR265" s="33"/>
      <c r="AS265" s="33"/>
      <c r="AT265" s="6" t="s">
        <v>76</v>
      </c>
      <c r="AU265" s="33"/>
      <c r="AV265" s="33"/>
      <c r="AW265" s="33"/>
      <c r="AX265" s="33"/>
      <c r="AY265" s="33"/>
      <c r="AZ265" s="6" t="s">
        <v>76</v>
      </c>
      <c r="BA265" s="33"/>
      <c r="BB265" s="33">
        <f>VLOOKUP(O265,Eco_DEM_Data!$D$1:$AC$643,20,False)</f>
        <v>1691</v>
      </c>
      <c r="BC265" s="33">
        <f>VLOOKUP($O265,Eco_DEM_Data!$D$1:$AC$643,20,False)</f>
        <v>1691</v>
      </c>
      <c r="BD265" s="33">
        <f>VLOOKUP($O265,Eco_DEM_Data!$D$1:$AC$643,25,False)</f>
        <v>664</v>
      </c>
      <c r="BE265" s="33">
        <f>VLOOKUP($O265,Eco_DEM_Data!$D$1:$AC$643,22,False)</f>
        <v>45</v>
      </c>
      <c r="BF265" s="33">
        <f>VLOOKUP($O265,Eco_DEM_Data!$D$1:$AC$643,23,False)</f>
        <v>148</v>
      </c>
      <c r="BG265" s="33">
        <f>VLOOKUP($O265,Eco_DEM_Data!$D$1:$AC$643,21,False)</f>
        <v>5316</v>
      </c>
      <c r="BH265" s="33">
        <f>VLOOKUP($O265,Eco_DEM_Data!$D$1:$AC$643,26,False)</f>
        <v>41</v>
      </c>
      <c r="BI265" s="33" t="str">
        <f>VLOOKUP($O265,Eco_DEM_Data!$D$1:$AC$643,9,False)</f>
        <v>Belizian pine savannas</v>
      </c>
      <c r="BJ265" s="33" t="str">
        <f>VLOOKUP($O265,Eco_DEM_Data!$D$1:$AC$643,11,False)</f>
        <v>Tropical &amp; Subtropical Grasslands, Savannas &amp; Shrublands</v>
      </c>
    </row>
    <row r="266">
      <c r="A266" s="33" t="s">
        <v>1101</v>
      </c>
      <c r="B266" s="33" t="s">
        <v>2259</v>
      </c>
      <c r="C266" s="34">
        <v>17.0</v>
      </c>
      <c r="D266" s="33" t="s">
        <v>268</v>
      </c>
      <c r="E266" s="34">
        <v>2009.0</v>
      </c>
      <c r="F266" s="33" t="s">
        <v>1102</v>
      </c>
      <c r="G266" s="45" t="s">
        <v>1103</v>
      </c>
      <c r="H266" s="46"/>
      <c r="I266" s="33"/>
      <c r="J266" s="33" t="s">
        <v>1104</v>
      </c>
      <c r="K266" s="34">
        <v>24.0</v>
      </c>
      <c r="L266" s="33"/>
      <c r="M266" s="6" t="s">
        <v>1105</v>
      </c>
      <c r="N266" s="35" t="s">
        <v>60</v>
      </c>
      <c r="O266" s="33" t="s">
        <v>2035</v>
      </c>
      <c r="P266" s="36" t="s">
        <v>62</v>
      </c>
      <c r="Q266" s="36" t="s">
        <v>187</v>
      </c>
      <c r="R266" s="36" t="s">
        <v>1113</v>
      </c>
      <c r="S266" s="37">
        <v>17.599365</v>
      </c>
      <c r="T266" s="37">
        <v>-88.69915</v>
      </c>
      <c r="U266" s="36" t="s">
        <v>1108</v>
      </c>
      <c r="V266" s="6" t="s">
        <v>135</v>
      </c>
      <c r="W266" s="33" t="s">
        <v>467</v>
      </c>
      <c r="X266" s="1" t="s">
        <v>2036</v>
      </c>
      <c r="Y266" s="55" t="s">
        <v>256</v>
      </c>
      <c r="Z266" s="36"/>
      <c r="AA266" s="37">
        <v>7.0</v>
      </c>
      <c r="AB266" s="36"/>
      <c r="AC266" s="36"/>
      <c r="AD266" s="36"/>
      <c r="AE266" s="36"/>
      <c r="AF266" s="36"/>
      <c r="AG266" s="36"/>
      <c r="AH266" s="36" t="s">
        <v>1114</v>
      </c>
      <c r="AI266" s="37">
        <v>-10050.0</v>
      </c>
      <c r="AJ266" s="37">
        <v>1950.0</v>
      </c>
      <c r="AK266" s="6" t="s">
        <v>100</v>
      </c>
      <c r="AL266" s="6" t="s">
        <v>76</v>
      </c>
      <c r="AM266" s="33" t="s">
        <v>74</v>
      </c>
      <c r="AN266" s="6" t="s">
        <v>60</v>
      </c>
      <c r="AO266" s="33"/>
      <c r="AP266" s="6" t="s">
        <v>75</v>
      </c>
      <c r="AQ266" s="33"/>
      <c r="AR266" s="33"/>
      <c r="AS266" s="33"/>
      <c r="AT266" s="6" t="s">
        <v>76</v>
      </c>
      <c r="AU266" s="33"/>
      <c r="AV266" s="33"/>
      <c r="AW266" s="33"/>
      <c r="AX266" s="33"/>
      <c r="AY266" s="33"/>
      <c r="AZ266" s="6" t="s">
        <v>76</v>
      </c>
      <c r="BA266" s="33"/>
      <c r="BB266" s="33">
        <f>VLOOKUP(O266,Eco_DEM_Data!$D$1:$AC$643,20,False)</f>
        <v>1778</v>
      </c>
      <c r="BC266" s="33">
        <f>VLOOKUP($O266,Eco_DEM_Data!$D$1:$AC$643,20,False)</f>
        <v>1778</v>
      </c>
      <c r="BD266" s="33">
        <f>VLOOKUP($O266,Eco_DEM_Data!$D$1:$AC$643,25,False)</f>
        <v>697</v>
      </c>
      <c r="BE266" s="33">
        <f>VLOOKUP($O266,Eco_DEM_Data!$D$1:$AC$643,22,False)</f>
        <v>45</v>
      </c>
      <c r="BF266" s="33">
        <f>VLOOKUP($O266,Eco_DEM_Data!$D$1:$AC$643,23,False)</f>
        <v>158</v>
      </c>
      <c r="BG266" s="33">
        <f>VLOOKUP($O266,Eco_DEM_Data!$D$1:$AC$643,21,False)</f>
        <v>5215</v>
      </c>
      <c r="BH266" s="33">
        <f>VLOOKUP($O266,Eco_DEM_Data!$D$1:$AC$643,26,False)</f>
        <v>41</v>
      </c>
      <c r="BI266" s="33" t="str">
        <f>VLOOKUP($O266,Eco_DEM_Data!$D$1:$AC$643,9,False)</f>
        <v>Petén-Veracruz moist forests</v>
      </c>
      <c r="BJ266" s="33" t="str">
        <f>VLOOKUP($O266,Eco_DEM_Data!$D$1:$AC$643,11,False)</f>
        <v>Tropical &amp; Subtropical Moist Broadleaf Forests</v>
      </c>
    </row>
    <row r="267">
      <c r="A267" s="33" t="s">
        <v>1101</v>
      </c>
      <c r="B267" s="33" t="s">
        <v>2259</v>
      </c>
      <c r="C267" s="34">
        <v>17.0</v>
      </c>
      <c r="D267" s="33" t="s">
        <v>268</v>
      </c>
      <c r="E267" s="34">
        <v>2009.0</v>
      </c>
      <c r="F267" s="33" t="s">
        <v>1102</v>
      </c>
      <c r="G267" s="45" t="s">
        <v>1103</v>
      </c>
      <c r="H267" s="46"/>
      <c r="I267" s="33"/>
      <c r="J267" s="33" t="s">
        <v>1104</v>
      </c>
      <c r="K267" s="34">
        <v>24.0</v>
      </c>
      <c r="L267" s="33"/>
      <c r="M267" s="6" t="s">
        <v>1105</v>
      </c>
      <c r="N267" s="35" t="s">
        <v>60</v>
      </c>
      <c r="O267" s="33" t="s">
        <v>2037</v>
      </c>
      <c r="P267" s="36" t="s">
        <v>62</v>
      </c>
      <c r="Q267" s="36" t="s">
        <v>187</v>
      </c>
      <c r="R267" s="36" t="s">
        <v>1113</v>
      </c>
      <c r="S267" s="37">
        <v>17.599365</v>
      </c>
      <c r="T267" s="37">
        <v>-88.69915</v>
      </c>
      <c r="U267" s="36" t="s">
        <v>1108</v>
      </c>
      <c r="V267" s="38" t="s">
        <v>149</v>
      </c>
      <c r="W267" s="6" t="s">
        <v>2038</v>
      </c>
      <c r="X267" s="1" t="s">
        <v>2039</v>
      </c>
      <c r="Y267" s="33" t="s">
        <v>70</v>
      </c>
      <c r="Z267" s="36"/>
      <c r="AA267" s="37">
        <v>7.0</v>
      </c>
      <c r="AB267" s="36"/>
      <c r="AC267" s="36"/>
      <c r="AD267" s="36"/>
      <c r="AE267" s="36"/>
      <c r="AF267" s="36"/>
      <c r="AG267" s="36"/>
      <c r="AH267" s="36" t="s">
        <v>1114</v>
      </c>
      <c r="AI267" s="37">
        <v>-10050.0</v>
      </c>
      <c r="AJ267" s="37">
        <v>1950.0</v>
      </c>
      <c r="AK267" s="6" t="s">
        <v>100</v>
      </c>
      <c r="AL267" s="6" t="s">
        <v>76</v>
      </c>
      <c r="AM267" s="33" t="s">
        <v>74</v>
      </c>
      <c r="AN267" s="6" t="s">
        <v>60</v>
      </c>
      <c r="AO267" s="33"/>
      <c r="AP267" s="6" t="s">
        <v>75</v>
      </c>
      <c r="AQ267" s="33"/>
      <c r="AR267" s="33"/>
      <c r="AS267" s="33"/>
      <c r="AT267" s="6" t="s">
        <v>76</v>
      </c>
      <c r="AU267" s="33"/>
      <c r="AV267" s="33"/>
      <c r="AW267" s="33"/>
      <c r="AX267" s="33"/>
      <c r="AY267" s="33"/>
      <c r="AZ267" s="6" t="s">
        <v>76</v>
      </c>
      <c r="BA267" s="33"/>
      <c r="BB267" s="33">
        <f>VLOOKUP(O267,Eco_DEM_Data!$D$1:$AC$643,20,False)</f>
        <v>1778</v>
      </c>
      <c r="BC267" s="33">
        <f>VLOOKUP($O267,Eco_DEM_Data!$D$1:$AC$643,20,False)</f>
        <v>1778</v>
      </c>
      <c r="BD267" s="33">
        <f>VLOOKUP($O267,Eco_DEM_Data!$D$1:$AC$643,25,False)</f>
        <v>697</v>
      </c>
      <c r="BE267" s="33">
        <f>VLOOKUP($O267,Eco_DEM_Data!$D$1:$AC$643,22,False)</f>
        <v>45</v>
      </c>
      <c r="BF267" s="33">
        <f>VLOOKUP($O267,Eco_DEM_Data!$D$1:$AC$643,23,False)</f>
        <v>158</v>
      </c>
      <c r="BG267" s="33">
        <f>VLOOKUP($O267,Eco_DEM_Data!$D$1:$AC$643,21,False)</f>
        <v>5215</v>
      </c>
      <c r="BH267" s="33">
        <f>VLOOKUP($O267,Eco_DEM_Data!$D$1:$AC$643,26,False)</f>
        <v>41</v>
      </c>
      <c r="BI267" s="33" t="str">
        <f>VLOOKUP($O267,Eco_DEM_Data!$D$1:$AC$643,9,False)</f>
        <v>Petén-Veracruz moist forests</v>
      </c>
      <c r="BJ267" s="33" t="str">
        <f>VLOOKUP($O267,Eco_DEM_Data!$D$1:$AC$643,11,False)</f>
        <v>Tropical &amp; Subtropical Moist Broadleaf Forests</v>
      </c>
    </row>
    <row r="268">
      <c r="A268" s="33" t="s">
        <v>1101</v>
      </c>
      <c r="B268" s="33" t="s">
        <v>2259</v>
      </c>
      <c r="C268" s="34">
        <v>17.0</v>
      </c>
      <c r="D268" s="33" t="s">
        <v>268</v>
      </c>
      <c r="E268" s="34">
        <v>2009.0</v>
      </c>
      <c r="F268" s="33" t="s">
        <v>1102</v>
      </c>
      <c r="G268" s="45" t="s">
        <v>1103</v>
      </c>
      <c r="H268" s="46"/>
      <c r="I268" s="33"/>
      <c r="J268" s="33" t="s">
        <v>1104</v>
      </c>
      <c r="K268" s="34">
        <v>24.0</v>
      </c>
      <c r="L268" s="33"/>
      <c r="M268" s="6" t="s">
        <v>1105</v>
      </c>
      <c r="N268" s="35" t="s">
        <v>60</v>
      </c>
      <c r="O268" s="33" t="s">
        <v>2267</v>
      </c>
      <c r="P268" s="36" t="s">
        <v>62</v>
      </c>
      <c r="Q268" s="36" t="s">
        <v>187</v>
      </c>
      <c r="R268" s="36" t="s">
        <v>1107</v>
      </c>
      <c r="S268" s="37">
        <v>17.763331</v>
      </c>
      <c r="T268" s="37">
        <v>-88.651927</v>
      </c>
      <c r="U268" s="36" t="s">
        <v>1108</v>
      </c>
      <c r="V268" s="6" t="s">
        <v>388</v>
      </c>
      <c r="W268" s="33" t="s">
        <v>173</v>
      </c>
      <c r="X268" s="1" t="s">
        <v>2268</v>
      </c>
      <c r="Y268" s="33" t="s">
        <v>2269</v>
      </c>
      <c r="Z268" s="36"/>
      <c r="AA268" s="37">
        <v>6.0</v>
      </c>
      <c r="AB268" s="36"/>
      <c r="AC268" s="36"/>
      <c r="AD268" s="36"/>
      <c r="AE268" s="36"/>
      <c r="AF268" s="36"/>
      <c r="AG268" s="36"/>
      <c r="AH268" s="36" t="s">
        <v>1109</v>
      </c>
      <c r="AI268" s="37">
        <v>-1650.0</v>
      </c>
      <c r="AJ268" s="37">
        <v>1950.0</v>
      </c>
      <c r="AK268" s="6" t="s">
        <v>100</v>
      </c>
      <c r="AL268" s="6" t="s">
        <v>76</v>
      </c>
      <c r="AM268" s="33" t="s">
        <v>74</v>
      </c>
      <c r="AN268" s="6" t="s">
        <v>60</v>
      </c>
      <c r="AO268" s="33"/>
      <c r="AP268" s="6" t="s">
        <v>75</v>
      </c>
      <c r="AQ268" s="33"/>
      <c r="AR268" s="33"/>
      <c r="AS268" s="33"/>
      <c r="AT268" s="6" t="s">
        <v>76</v>
      </c>
      <c r="AU268" s="33"/>
      <c r="AV268" s="33"/>
      <c r="AW268" s="33"/>
      <c r="AX268" s="33"/>
      <c r="AY268" s="33"/>
      <c r="AZ268" s="6" t="s">
        <v>76</v>
      </c>
      <c r="BA268" s="33"/>
      <c r="BB268" s="33">
        <f>VLOOKUP(O268,Eco_DEM_Data!$D$1:$AC$643,20,False)</f>
        <v>1685</v>
      </c>
      <c r="BC268" s="33">
        <f>VLOOKUP($O268,Eco_DEM_Data!$D$1:$AC$643,20,False)</f>
        <v>1685</v>
      </c>
      <c r="BD268" s="33">
        <f>VLOOKUP($O268,Eco_DEM_Data!$D$1:$AC$643,25,False)</f>
        <v>661</v>
      </c>
      <c r="BE268" s="33">
        <f>VLOOKUP($O268,Eco_DEM_Data!$D$1:$AC$643,22,False)</f>
        <v>44</v>
      </c>
      <c r="BF268" s="33">
        <f>VLOOKUP($O268,Eco_DEM_Data!$D$1:$AC$643,23,False)</f>
        <v>146</v>
      </c>
      <c r="BG268" s="33">
        <f>VLOOKUP($O268,Eco_DEM_Data!$D$1:$AC$643,21,False)</f>
        <v>5318</v>
      </c>
      <c r="BH268" s="33">
        <f>VLOOKUP($O268,Eco_DEM_Data!$D$1:$AC$643,26,False)</f>
        <v>42</v>
      </c>
      <c r="BI268" s="33" t="str">
        <f>VLOOKUP($O268,Eco_DEM_Data!$D$1:$AC$643,9,False)</f>
        <v>Belizian pine savannas</v>
      </c>
      <c r="BJ268" s="33" t="str">
        <f>VLOOKUP($O268,Eco_DEM_Data!$D$1:$AC$643,11,False)</f>
        <v>Tropical &amp; Subtropical Grasslands, Savannas &amp; Shrublands</v>
      </c>
    </row>
    <row r="269">
      <c r="A269" s="33" t="s">
        <v>1101</v>
      </c>
      <c r="B269" s="33" t="s">
        <v>2259</v>
      </c>
      <c r="C269" s="34">
        <v>17.0</v>
      </c>
      <c r="D269" s="33" t="s">
        <v>268</v>
      </c>
      <c r="E269" s="34">
        <v>2009.0</v>
      </c>
      <c r="F269" s="33" t="s">
        <v>1102</v>
      </c>
      <c r="G269" s="45" t="s">
        <v>1103</v>
      </c>
      <c r="H269" s="46"/>
      <c r="I269" s="33"/>
      <c r="J269" s="33" t="s">
        <v>1104</v>
      </c>
      <c r="K269" s="34">
        <v>24.0</v>
      </c>
      <c r="L269" s="33"/>
      <c r="M269" s="6" t="s">
        <v>1105</v>
      </c>
      <c r="N269" s="35" t="s">
        <v>60</v>
      </c>
      <c r="O269" s="33" t="s">
        <v>2040</v>
      </c>
      <c r="P269" s="36" t="s">
        <v>62</v>
      </c>
      <c r="Q269" s="36" t="s">
        <v>187</v>
      </c>
      <c r="R269" s="36" t="s">
        <v>1111</v>
      </c>
      <c r="S269" s="37">
        <v>17.751954</v>
      </c>
      <c r="T269" s="37">
        <v>-88.653037</v>
      </c>
      <c r="U269" s="36" t="s">
        <v>1108</v>
      </c>
      <c r="V269" s="38" t="s">
        <v>382</v>
      </c>
      <c r="W269" s="33" t="s">
        <v>173</v>
      </c>
      <c r="X269" s="1" t="s">
        <v>2041</v>
      </c>
      <c r="Y269" s="33" t="s">
        <v>544</v>
      </c>
      <c r="Z269" s="36"/>
      <c r="AA269" s="37">
        <v>1.0</v>
      </c>
      <c r="AB269" s="36"/>
      <c r="AC269" s="36"/>
      <c r="AD269" s="36"/>
      <c r="AE269" s="36"/>
      <c r="AF269" s="36"/>
      <c r="AG269" s="36"/>
      <c r="AH269" s="36" t="s">
        <v>675</v>
      </c>
      <c r="AI269" s="52" t="s">
        <v>72</v>
      </c>
      <c r="AJ269" s="37">
        <v>1950.0</v>
      </c>
      <c r="AK269" s="6" t="s">
        <v>100</v>
      </c>
      <c r="AL269" s="6" t="s">
        <v>76</v>
      </c>
      <c r="AM269" s="33" t="s">
        <v>74</v>
      </c>
      <c r="AN269" s="6" t="s">
        <v>60</v>
      </c>
      <c r="AO269" s="33"/>
      <c r="AP269" s="6" t="s">
        <v>75</v>
      </c>
      <c r="AQ269" s="33"/>
      <c r="AR269" s="33"/>
      <c r="AS269" s="33"/>
      <c r="AT269" s="6" t="s">
        <v>76</v>
      </c>
      <c r="AU269" s="33"/>
      <c r="AV269" s="33"/>
      <c r="AW269" s="33"/>
      <c r="AX269" s="33"/>
      <c r="AY269" s="33"/>
      <c r="AZ269" s="6" t="s">
        <v>76</v>
      </c>
      <c r="BA269" s="33"/>
      <c r="BB269" s="33">
        <f>VLOOKUP(O269,Eco_DEM_Data!$D$1:$AC$643,20,False)</f>
        <v>1691</v>
      </c>
      <c r="BC269" s="33">
        <f>VLOOKUP($O269,Eco_DEM_Data!$D$1:$AC$643,20,False)</f>
        <v>1691</v>
      </c>
      <c r="BD269" s="33">
        <f>VLOOKUP($O269,Eco_DEM_Data!$D$1:$AC$643,25,False)</f>
        <v>664</v>
      </c>
      <c r="BE269" s="33">
        <f>VLOOKUP($O269,Eco_DEM_Data!$D$1:$AC$643,22,False)</f>
        <v>45</v>
      </c>
      <c r="BF269" s="33">
        <f>VLOOKUP($O269,Eco_DEM_Data!$D$1:$AC$643,23,False)</f>
        <v>148</v>
      </c>
      <c r="BG269" s="33">
        <f>VLOOKUP($O269,Eco_DEM_Data!$D$1:$AC$643,21,False)</f>
        <v>5316</v>
      </c>
      <c r="BH269" s="33">
        <f>VLOOKUP($O269,Eco_DEM_Data!$D$1:$AC$643,26,False)</f>
        <v>41</v>
      </c>
      <c r="BI269" s="33" t="str">
        <f>VLOOKUP($O269,Eco_DEM_Data!$D$1:$AC$643,9,False)</f>
        <v>Belizian pine savannas</v>
      </c>
      <c r="BJ269" s="33" t="str">
        <f>VLOOKUP($O269,Eco_DEM_Data!$D$1:$AC$643,11,False)</f>
        <v>Tropical &amp; Subtropical Grasslands, Savannas &amp; Shrublands</v>
      </c>
    </row>
    <row r="270">
      <c r="A270" s="33" t="s">
        <v>1101</v>
      </c>
      <c r="B270" s="33" t="s">
        <v>2259</v>
      </c>
      <c r="C270" s="34">
        <v>17.0</v>
      </c>
      <c r="D270" s="33" t="s">
        <v>268</v>
      </c>
      <c r="E270" s="34">
        <v>2009.0</v>
      </c>
      <c r="F270" s="33" t="s">
        <v>1102</v>
      </c>
      <c r="G270" s="45" t="s">
        <v>1103</v>
      </c>
      <c r="H270" s="46"/>
      <c r="I270" s="33"/>
      <c r="J270" s="33" t="s">
        <v>1104</v>
      </c>
      <c r="K270" s="34">
        <v>24.0</v>
      </c>
      <c r="L270" s="33"/>
      <c r="M270" s="6" t="s">
        <v>1105</v>
      </c>
      <c r="N270" s="35" t="s">
        <v>60</v>
      </c>
      <c r="O270" s="33" t="s">
        <v>2042</v>
      </c>
      <c r="P270" s="36" t="s">
        <v>62</v>
      </c>
      <c r="Q270" s="36" t="s">
        <v>187</v>
      </c>
      <c r="R270" s="36" t="s">
        <v>1107</v>
      </c>
      <c r="S270" s="37">
        <v>17.763331</v>
      </c>
      <c r="T270" s="37">
        <v>-88.651927</v>
      </c>
      <c r="U270" s="36" t="s">
        <v>1108</v>
      </c>
      <c r="V270" s="38" t="s">
        <v>382</v>
      </c>
      <c r="W270" s="33" t="s">
        <v>173</v>
      </c>
      <c r="X270" s="1" t="s">
        <v>2041</v>
      </c>
      <c r="Y270" s="33" t="s">
        <v>544</v>
      </c>
      <c r="Z270" s="36"/>
      <c r="AA270" s="37">
        <v>6.0</v>
      </c>
      <c r="AB270" s="36"/>
      <c r="AC270" s="36"/>
      <c r="AD270" s="36"/>
      <c r="AE270" s="36"/>
      <c r="AF270" s="36"/>
      <c r="AG270" s="36"/>
      <c r="AH270" s="36" t="s">
        <v>1109</v>
      </c>
      <c r="AI270" s="37">
        <v>-1650.0</v>
      </c>
      <c r="AJ270" s="37">
        <v>1950.0</v>
      </c>
      <c r="AK270" s="6" t="s">
        <v>100</v>
      </c>
      <c r="AL270" s="6" t="s">
        <v>76</v>
      </c>
      <c r="AM270" s="33" t="s">
        <v>74</v>
      </c>
      <c r="AN270" s="6" t="s">
        <v>60</v>
      </c>
      <c r="AO270" s="33"/>
      <c r="AP270" s="6" t="s">
        <v>75</v>
      </c>
      <c r="AQ270" s="33"/>
      <c r="AR270" s="33"/>
      <c r="AS270" s="33"/>
      <c r="AT270" s="6" t="s">
        <v>76</v>
      </c>
      <c r="AU270" s="33"/>
      <c r="AV270" s="33"/>
      <c r="AW270" s="33"/>
      <c r="AX270" s="33"/>
      <c r="AY270" s="33"/>
      <c r="AZ270" s="6" t="s">
        <v>76</v>
      </c>
      <c r="BA270" s="33"/>
      <c r="BB270" s="33">
        <f>VLOOKUP(O270,Eco_DEM_Data!$D$1:$AC$643,20,False)</f>
        <v>1685</v>
      </c>
      <c r="BC270" s="33">
        <f>VLOOKUP($O270,Eco_DEM_Data!$D$1:$AC$643,20,False)</f>
        <v>1685</v>
      </c>
      <c r="BD270" s="33">
        <f>VLOOKUP($O270,Eco_DEM_Data!$D$1:$AC$643,25,False)</f>
        <v>661</v>
      </c>
      <c r="BE270" s="33">
        <f>VLOOKUP($O270,Eco_DEM_Data!$D$1:$AC$643,22,False)</f>
        <v>44</v>
      </c>
      <c r="BF270" s="33">
        <f>VLOOKUP($O270,Eco_DEM_Data!$D$1:$AC$643,23,False)</f>
        <v>146</v>
      </c>
      <c r="BG270" s="33">
        <f>VLOOKUP($O270,Eco_DEM_Data!$D$1:$AC$643,21,False)</f>
        <v>5318</v>
      </c>
      <c r="BH270" s="33">
        <f>VLOOKUP($O270,Eco_DEM_Data!$D$1:$AC$643,26,False)</f>
        <v>42</v>
      </c>
      <c r="BI270" s="33" t="str">
        <f>VLOOKUP($O270,Eco_DEM_Data!$D$1:$AC$643,9,False)</f>
        <v>Belizian pine savannas</v>
      </c>
      <c r="BJ270" s="33" t="str">
        <f>VLOOKUP($O270,Eco_DEM_Data!$D$1:$AC$643,11,False)</f>
        <v>Tropical &amp; Subtropical Grasslands, Savannas &amp; Shrublands</v>
      </c>
    </row>
    <row r="271">
      <c r="A271" s="33" t="s">
        <v>1101</v>
      </c>
      <c r="B271" s="33" t="s">
        <v>2259</v>
      </c>
      <c r="C271" s="34">
        <v>17.0</v>
      </c>
      <c r="D271" s="33" t="s">
        <v>268</v>
      </c>
      <c r="E271" s="34">
        <v>2009.0</v>
      </c>
      <c r="F271" s="33" t="s">
        <v>1102</v>
      </c>
      <c r="G271" s="45" t="s">
        <v>1103</v>
      </c>
      <c r="H271" s="46"/>
      <c r="I271" s="33"/>
      <c r="J271" s="33" t="s">
        <v>1104</v>
      </c>
      <c r="K271" s="34">
        <v>24.0</v>
      </c>
      <c r="L271" s="33"/>
      <c r="M271" s="6" t="s">
        <v>1105</v>
      </c>
      <c r="N271" s="35" t="s">
        <v>60</v>
      </c>
      <c r="O271" s="33" t="s">
        <v>1106</v>
      </c>
      <c r="P271" s="36" t="s">
        <v>62</v>
      </c>
      <c r="Q271" s="36" t="s">
        <v>187</v>
      </c>
      <c r="R271" s="36" t="s">
        <v>1107</v>
      </c>
      <c r="S271" s="37">
        <v>17.763331</v>
      </c>
      <c r="T271" s="37">
        <v>-88.651927</v>
      </c>
      <c r="U271" s="36" t="s">
        <v>1108</v>
      </c>
      <c r="V271" s="6" t="s">
        <v>275</v>
      </c>
      <c r="W271" s="33" t="s">
        <v>173</v>
      </c>
      <c r="X271" s="1" t="s">
        <v>278</v>
      </c>
      <c r="Y271" s="33" t="s">
        <v>279</v>
      </c>
      <c r="Z271" s="36"/>
      <c r="AA271" s="37">
        <v>6.0</v>
      </c>
      <c r="AB271" s="36"/>
      <c r="AC271" s="36"/>
      <c r="AD271" s="36"/>
      <c r="AE271" s="36"/>
      <c r="AF271" s="36"/>
      <c r="AG271" s="36"/>
      <c r="AH271" s="36" t="s">
        <v>1109</v>
      </c>
      <c r="AI271" s="37">
        <v>-1650.0</v>
      </c>
      <c r="AJ271" s="37">
        <v>1950.0</v>
      </c>
      <c r="AK271" s="6" t="s">
        <v>100</v>
      </c>
      <c r="AL271" s="6" t="s">
        <v>76</v>
      </c>
      <c r="AM271" s="33" t="s">
        <v>74</v>
      </c>
      <c r="AN271" s="6" t="s">
        <v>60</v>
      </c>
      <c r="AO271" s="33"/>
      <c r="AP271" s="6" t="s">
        <v>75</v>
      </c>
      <c r="AQ271" s="33"/>
      <c r="AR271" s="33"/>
      <c r="AS271" s="33"/>
      <c r="AT271" s="6" t="s">
        <v>76</v>
      </c>
      <c r="AU271" s="33"/>
      <c r="AV271" s="33"/>
      <c r="AW271" s="33"/>
      <c r="AX271" s="33"/>
      <c r="AY271" s="33"/>
      <c r="AZ271" s="6" t="s">
        <v>76</v>
      </c>
      <c r="BA271" s="33"/>
      <c r="BB271" s="33">
        <f>VLOOKUP(O271,Eco_DEM_Data!$D$1:$AC$643,20,False)</f>
        <v>1685</v>
      </c>
      <c r="BC271" s="33">
        <f>VLOOKUP($O271,Eco_DEM_Data!$D$1:$AC$643,20,False)</f>
        <v>1685</v>
      </c>
      <c r="BD271" s="33">
        <f>VLOOKUP($O271,Eco_DEM_Data!$D$1:$AC$643,25,False)</f>
        <v>661</v>
      </c>
      <c r="BE271" s="33">
        <f>VLOOKUP($O271,Eco_DEM_Data!$D$1:$AC$643,22,False)</f>
        <v>44</v>
      </c>
      <c r="BF271" s="33">
        <f>VLOOKUP($O271,Eco_DEM_Data!$D$1:$AC$643,23,False)</f>
        <v>146</v>
      </c>
      <c r="BG271" s="33">
        <f>VLOOKUP($O271,Eco_DEM_Data!$D$1:$AC$643,21,False)</f>
        <v>5318</v>
      </c>
      <c r="BH271" s="33">
        <f>VLOOKUP($O271,Eco_DEM_Data!$D$1:$AC$643,26,False)</f>
        <v>42</v>
      </c>
      <c r="BI271" s="33" t="str">
        <f>VLOOKUP($O271,Eco_DEM_Data!$D$1:$AC$643,9,False)</f>
        <v>Belizian pine savannas</v>
      </c>
      <c r="BJ271" s="33" t="str">
        <f>VLOOKUP($O271,Eco_DEM_Data!$D$1:$AC$643,11,False)</f>
        <v>Tropical &amp; Subtropical Grasslands, Savannas &amp; Shrublands</v>
      </c>
    </row>
    <row r="272">
      <c r="A272" s="33" t="s">
        <v>1101</v>
      </c>
      <c r="B272" s="33" t="s">
        <v>2259</v>
      </c>
      <c r="C272" s="34">
        <v>17.0</v>
      </c>
      <c r="D272" s="33" t="s">
        <v>268</v>
      </c>
      <c r="E272" s="34">
        <v>2009.0</v>
      </c>
      <c r="F272" s="33" t="s">
        <v>1102</v>
      </c>
      <c r="G272" s="45" t="s">
        <v>1103</v>
      </c>
      <c r="H272" s="46"/>
      <c r="I272" s="33"/>
      <c r="J272" s="33" t="s">
        <v>1104</v>
      </c>
      <c r="K272" s="34">
        <v>24.0</v>
      </c>
      <c r="L272" s="33"/>
      <c r="M272" s="6" t="s">
        <v>1105</v>
      </c>
      <c r="N272" s="35" t="s">
        <v>60</v>
      </c>
      <c r="O272" s="33" t="s">
        <v>1110</v>
      </c>
      <c r="P272" s="36" t="s">
        <v>62</v>
      </c>
      <c r="Q272" s="36" t="s">
        <v>187</v>
      </c>
      <c r="R272" s="36" t="s">
        <v>1111</v>
      </c>
      <c r="S272" s="37">
        <v>17.751954</v>
      </c>
      <c r="T272" s="37">
        <v>-88.653037</v>
      </c>
      <c r="U272" s="36" t="s">
        <v>1108</v>
      </c>
      <c r="V272" s="6" t="s">
        <v>275</v>
      </c>
      <c r="W272" s="33" t="s">
        <v>173</v>
      </c>
      <c r="X272" s="1" t="s">
        <v>278</v>
      </c>
      <c r="Y272" s="33" t="s">
        <v>279</v>
      </c>
      <c r="Z272" s="36"/>
      <c r="AA272" s="37">
        <v>1.0</v>
      </c>
      <c r="AB272" s="36"/>
      <c r="AC272" s="36"/>
      <c r="AD272" s="36"/>
      <c r="AE272" s="36"/>
      <c r="AF272" s="36"/>
      <c r="AG272" s="36"/>
      <c r="AH272" s="36" t="s">
        <v>675</v>
      </c>
      <c r="AI272" s="52" t="s">
        <v>72</v>
      </c>
      <c r="AJ272" s="37">
        <v>1950.0</v>
      </c>
      <c r="AK272" s="6" t="s">
        <v>100</v>
      </c>
      <c r="AL272" s="6" t="s">
        <v>76</v>
      </c>
      <c r="AM272" s="33" t="s">
        <v>74</v>
      </c>
      <c r="AN272" s="6" t="s">
        <v>60</v>
      </c>
      <c r="AO272" s="33"/>
      <c r="AP272" s="6" t="s">
        <v>75</v>
      </c>
      <c r="AQ272" s="33"/>
      <c r="AR272" s="33"/>
      <c r="AS272" s="33"/>
      <c r="AT272" s="6" t="s">
        <v>76</v>
      </c>
      <c r="AU272" s="33"/>
      <c r="AV272" s="33"/>
      <c r="AW272" s="33"/>
      <c r="AX272" s="33"/>
      <c r="AY272" s="33"/>
      <c r="AZ272" s="6" t="s">
        <v>76</v>
      </c>
      <c r="BA272" s="33"/>
      <c r="BB272" s="33">
        <f>VLOOKUP(O272,Eco_DEM_Data!$D$1:$AC$643,20,False)</f>
        <v>1691</v>
      </c>
      <c r="BC272" s="33">
        <f>VLOOKUP($O272,Eco_DEM_Data!$D$1:$AC$643,20,False)</f>
        <v>1691</v>
      </c>
      <c r="BD272" s="33">
        <f>VLOOKUP($O272,Eco_DEM_Data!$D$1:$AC$643,25,False)</f>
        <v>664</v>
      </c>
      <c r="BE272" s="33">
        <f>VLOOKUP($O272,Eco_DEM_Data!$D$1:$AC$643,22,False)</f>
        <v>45</v>
      </c>
      <c r="BF272" s="33">
        <f>VLOOKUP($O272,Eco_DEM_Data!$D$1:$AC$643,23,False)</f>
        <v>148</v>
      </c>
      <c r="BG272" s="33">
        <f>VLOOKUP($O272,Eco_DEM_Data!$D$1:$AC$643,21,False)</f>
        <v>5316</v>
      </c>
      <c r="BH272" s="33">
        <f>VLOOKUP($O272,Eco_DEM_Data!$D$1:$AC$643,26,False)</f>
        <v>41</v>
      </c>
      <c r="BI272" s="33" t="str">
        <f>VLOOKUP($O272,Eco_DEM_Data!$D$1:$AC$643,9,False)</f>
        <v>Belizian pine savannas</v>
      </c>
      <c r="BJ272" s="33" t="str">
        <f>VLOOKUP($O272,Eco_DEM_Data!$D$1:$AC$643,11,False)</f>
        <v>Tropical &amp; Subtropical Grasslands, Savannas &amp; Shrublands</v>
      </c>
    </row>
    <row r="273">
      <c r="A273" s="33" t="s">
        <v>1101</v>
      </c>
      <c r="B273" s="33" t="s">
        <v>2259</v>
      </c>
      <c r="C273" s="34">
        <v>17.0</v>
      </c>
      <c r="D273" s="33" t="s">
        <v>268</v>
      </c>
      <c r="E273" s="34">
        <v>2009.0</v>
      </c>
      <c r="F273" s="33" t="s">
        <v>1102</v>
      </c>
      <c r="G273" s="45" t="s">
        <v>1103</v>
      </c>
      <c r="H273" s="46"/>
      <c r="I273" s="33"/>
      <c r="J273" s="33" t="s">
        <v>1104</v>
      </c>
      <c r="K273" s="34">
        <v>24.0</v>
      </c>
      <c r="L273" s="33"/>
      <c r="M273" s="6" t="s">
        <v>1105</v>
      </c>
      <c r="N273" s="35" t="s">
        <v>60</v>
      </c>
      <c r="O273" s="33" t="s">
        <v>1112</v>
      </c>
      <c r="P273" s="36" t="s">
        <v>62</v>
      </c>
      <c r="Q273" s="36" t="s">
        <v>187</v>
      </c>
      <c r="R273" s="36" t="s">
        <v>1113</v>
      </c>
      <c r="S273" s="37">
        <v>17.599365</v>
      </c>
      <c r="T273" s="37">
        <v>-88.69915</v>
      </c>
      <c r="U273" s="36" t="s">
        <v>1108</v>
      </c>
      <c r="V273" s="6" t="s">
        <v>275</v>
      </c>
      <c r="W273" s="33" t="s">
        <v>173</v>
      </c>
      <c r="X273" s="1" t="s">
        <v>278</v>
      </c>
      <c r="Y273" s="33" t="s">
        <v>279</v>
      </c>
      <c r="Z273" s="36"/>
      <c r="AA273" s="37">
        <v>7.0</v>
      </c>
      <c r="AB273" s="36"/>
      <c r="AC273" s="36"/>
      <c r="AD273" s="36"/>
      <c r="AE273" s="36"/>
      <c r="AF273" s="36"/>
      <c r="AG273" s="36"/>
      <c r="AH273" s="36" t="s">
        <v>1114</v>
      </c>
      <c r="AI273" s="37">
        <v>-10050.0</v>
      </c>
      <c r="AJ273" s="37">
        <v>1950.0</v>
      </c>
      <c r="AK273" s="6" t="s">
        <v>100</v>
      </c>
      <c r="AL273" s="6" t="s">
        <v>76</v>
      </c>
      <c r="AM273" s="33" t="s">
        <v>74</v>
      </c>
      <c r="AN273" s="6" t="s">
        <v>60</v>
      </c>
      <c r="AO273" s="33"/>
      <c r="AP273" s="6" t="s">
        <v>75</v>
      </c>
      <c r="AQ273" s="33"/>
      <c r="AR273" s="33"/>
      <c r="AS273" s="33"/>
      <c r="AT273" s="6" t="s">
        <v>76</v>
      </c>
      <c r="AU273" s="33"/>
      <c r="AV273" s="33"/>
      <c r="AW273" s="33"/>
      <c r="AX273" s="33"/>
      <c r="AY273" s="33"/>
      <c r="AZ273" s="6" t="s">
        <v>76</v>
      </c>
      <c r="BA273" s="33"/>
      <c r="BB273" s="33">
        <f>VLOOKUP(O273,Eco_DEM_Data!$D$1:$AC$643,20,False)</f>
        <v>1778</v>
      </c>
      <c r="BC273" s="33">
        <f>VLOOKUP($O273,Eco_DEM_Data!$D$1:$AC$643,20,False)</f>
        <v>1778</v>
      </c>
      <c r="BD273" s="33">
        <f>VLOOKUP($O273,Eco_DEM_Data!$D$1:$AC$643,25,False)</f>
        <v>697</v>
      </c>
      <c r="BE273" s="33">
        <f>VLOOKUP($O273,Eco_DEM_Data!$D$1:$AC$643,22,False)</f>
        <v>45</v>
      </c>
      <c r="BF273" s="33">
        <f>VLOOKUP($O273,Eco_DEM_Data!$D$1:$AC$643,23,False)</f>
        <v>158</v>
      </c>
      <c r="BG273" s="33">
        <f>VLOOKUP($O273,Eco_DEM_Data!$D$1:$AC$643,21,False)</f>
        <v>5215</v>
      </c>
      <c r="BH273" s="33">
        <f>VLOOKUP($O273,Eco_DEM_Data!$D$1:$AC$643,26,False)</f>
        <v>41</v>
      </c>
      <c r="BI273" s="33" t="str">
        <f>VLOOKUP($O273,Eco_DEM_Data!$D$1:$AC$643,9,False)</f>
        <v>Petén-Veracruz moist forests</v>
      </c>
      <c r="BJ273" s="33" t="str">
        <f>VLOOKUP($O273,Eco_DEM_Data!$D$1:$AC$643,11,False)</f>
        <v>Tropical &amp; Subtropical Moist Broadleaf Forests</v>
      </c>
    </row>
    <row r="274">
      <c r="A274" s="33" t="s">
        <v>1101</v>
      </c>
      <c r="B274" s="33" t="s">
        <v>2259</v>
      </c>
      <c r="C274" s="34">
        <v>17.0</v>
      </c>
      <c r="D274" s="33" t="s">
        <v>268</v>
      </c>
      <c r="E274" s="34">
        <v>2009.0</v>
      </c>
      <c r="F274" s="33" t="s">
        <v>1102</v>
      </c>
      <c r="G274" s="45" t="s">
        <v>1103</v>
      </c>
      <c r="H274" s="46"/>
      <c r="I274" s="33"/>
      <c r="J274" s="33" t="s">
        <v>1104</v>
      </c>
      <c r="K274" s="34">
        <v>24.0</v>
      </c>
      <c r="L274" s="33"/>
      <c r="M274" s="6" t="s">
        <v>1105</v>
      </c>
      <c r="N274" s="35" t="s">
        <v>60</v>
      </c>
      <c r="O274" s="33" t="s">
        <v>2043</v>
      </c>
      <c r="P274" s="36" t="s">
        <v>62</v>
      </c>
      <c r="Q274" s="36" t="s">
        <v>187</v>
      </c>
      <c r="R274" s="36" t="s">
        <v>1107</v>
      </c>
      <c r="S274" s="37">
        <v>17.763331</v>
      </c>
      <c r="T274" s="37">
        <v>-88.651927</v>
      </c>
      <c r="U274" s="36" t="s">
        <v>1108</v>
      </c>
      <c r="V274" s="6" t="s">
        <v>95</v>
      </c>
      <c r="W274" s="6" t="s">
        <v>96</v>
      </c>
      <c r="X274" s="1" t="s">
        <v>2036</v>
      </c>
      <c r="Y274" s="55" t="s">
        <v>256</v>
      </c>
      <c r="Z274" s="36"/>
      <c r="AA274" s="37">
        <v>6.0</v>
      </c>
      <c r="AB274" s="36"/>
      <c r="AC274" s="36"/>
      <c r="AD274" s="36"/>
      <c r="AE274" s="36"/>
      <c r="AF274" s="36"/>
      <c r="AG274" s="36"/>
      <c r="AH274" s="36" t="s">
        <v>1109</v>
      </c>
      <c r="AI274" s="37">
        <v>-1650.0</v>
      </c>
      <c r="AJ274" s="37">
        <v>1950.0</v>
      </c>
      <c r="AK274" s="6" t="s">
        <v>100</v>
      </c>
      <c r="AL274" s="6" t="s">
        <v>76</v>
      </c>
      <c r="AM274" s="33" t="s">
        <v>74</v>
      </c>
      <c r="AN274" s="6" t="s">
        <v>60</v>
      </c>
      <c r="AO274" s="33"/>
      <c r="AP274" s="6" t="s">
        <v>75</v>
      </c>
      <c r="AQ274" s="33"/>
      <c r="AR274" s="33"/>
      <c r="AS274" s="33"/>
      <c r="AT274" s="6" t="s">
        <v>76</v>
      </c>
      <c r="AU274" s="33"/>
      <c r="AV274" s="33"/>
      <c r="AW274" s="33"/>
      <c r="AX274" s="33"/>
      <c r="AY274" s="33"/>
      <c r="AZ274" s="6" t="s">
        <v>76</v>
      </c>
      <c r="BA274" s="33"/>
      <c r="BB274" s="33">
        <f>VLOOKUP(O274,Eco_DEM_Data!$D$1:$AC$643,20,False)</f>
        <v>1685</v>
      </c>
      <c r="BC274" s="33">
        <f>VLOOKUP($O274,Eco_DEM_Data!$D$1:$AC$643,20,False)</f>
        <v>1685</v>
      </c>
      <c r="BD274" s="33">
        <f>VLOOKUP($O274,Eco_DEM_Data!$D$1:$AC$643,25,False)</f>
        <v>661</v>
      </c>
      <c r="BE274" s="33">
        <f>VLOOKUP($O274,Eco_DEM_Data!$D$1:$AC$643,22,False)</f>
        <v>44</v>
      </c>
      <c r="BF274" s="33">
        <f>VLOOKUP($O274,Eco_DEM_Data!$D$1:$AC$643,23,False)</f>
        <v>146</v>
      </c>
      <c r="BG274" s="33">
        <f>VLOOKUP($O274,Eco_DEM_Data!$D$1:$AC$643,21,False)</f>
        <v>5318</v>
      </c>
      <c r="BH274" s="33">
        <f>VLOOKUP($O274,Eco_DEM_Data!$D$1:$AC$643,26,False)</f>
        <v>42</v>
      </c>
      <c r="BI274" s="33" t="str">
        <f>VLOOKUP($O274,Eco_DEM_Data!$D$1:$AC$643,9,False)</f>
        <v>Belizian pine savannas</v>
      </c>
      <c r="BJ274" s="33" t="str">
        <f>VLOOKUP($O274,Eco_DEM_Data!$D$1:$AC$643,11,False)</f>
        <v>Tropical &amp; Subtropical Grasslands, Savannas &amp; Shrublands</v>
      </c>
    </row>
    <row r="275">
      <c r="A275" s="33" t="s">
        <v>1101</v>
      </c>
      <c r="B275" s="33" t="s">
        <v>2259</v>
      </c>
      <c r="C275" s="34">
        <v>17.0</v>
      </c>
      <c r="D275" s="33" t="s">
        <v>268</v>
      </c>
      <c r="E275" s="34">
        <v>2009.0</v>
      </c>
      <c r="F275" s="33" t="s">
        <v>1102</v>
      </c>
      <c r="G275" s="45" t="s">
        <v>1103</v>
      </c>
      <c r="H275" s="46"/>
      <c r="I275" s="33"/>
      <c r="J275" s="33" t="s">
        <v>1104</v>
      </c>
      <c r="K275" s="34">
        <v>24.0</v>
      </c>
      <c r="L275" s="33"/>
      <c r="M275" s="6" t="s">
        <v>1105</v>
      </c>
      <c r="N275" s="35" t="s">
        <v>60</v>
      </c>
      <c r="O275" s="33" t="s">
        <v>2046</v>
      </c>
      <c r="P275" s="36" t="s">
        <v>62</v>
      </c>
      <c r="Q275" s="36" t="s">
        <v>187</v>
      </c>
      <c r="R275" s="36" t="s">
        <v>1111</v>
      </c>
      <c r="S275" s="37">
        <v>17.751954</v>
      </c>
      <c r="T275" s="37">
        <v>-88.653037</v>
      </c>
      <c r="U275" s="36" t="s">
        <v>1108</v>
      </c>
      <c r="V275" s="6" t="s">
        <v>95</v>
      </c>
      <c r="W275" s="6" t="s">
        <v>96</v>
      </c>
      <c r="X275" s="1" t="s">
        <v>2036</v>
      </c>
      <c r="Y275" s="55" t="s">
        <v>256</v>
      </c>
      <c r="Z275" s="36"/>
      <c r="AA275" s="37">
        <v>1.0</v>
      </c>
      <c r="AB275" s="36"/>
      <c r="AC275" s="36"/>
      <c r="AD275" s="36"/>
      <c r="AE275" s="36"/>
      <c r="AF275" s="36"/>
      <c r="AG275" s="36"/>
      <c r="AH275" s="36" t="s">
        <v>675</v>
      </c>
      <c r="AI275" s="52" t="s">
        <v>72</v>
      </c>
      <c r="AJ275" s="37">
        <v>1950.0</v>
      </c>
      <c r="AK275" s="6" t="s">
        <v>100</v>
      </c>
      <c r="AL275" s="6" t="s">
        <v>76</v>
      </c>
      <c r="AM275" s="33" t="s">
        <v>74</v>
      </c>
      <c r="AN275" s="6" t="s">
        <v>60</v>
      </c>
      <c r="AO275" s="33"/>
      <c r="AP275" s="6" t="s">
        <v>75</v>
      </c>
      <c r="AQ275" s="33"/>
      <c r="AR275" s="33"/>
      <c r="AS275" s="33"/>
      <c r="AT275" s="6" t="s">
        <v>76</v>
      </c>
      <c r="AU275" s="33"/>
      <c r="AV275" s="33"/>
      <c r="AW275" s="33"/>
      <c r="AX275" s="33"/>
      <c r="AY275" s="33"/>
      <c r="AZ275" s="6" t="s">
        <v>76</v>
      </c>
      <c r="BA275" s="33"/>
      <c r="BB275" s="33">
        <f>VLOOKUP(O275,Eco_DEM_Data!$D$1:$AC$643,20,False)</f>
        <v>1691</v>
      </c>
      <c r="BC275" s="33">
        <f>VLOOKUP($O275,Eco_DEM_Data!$D$1:$AC$643,20,False)</f>
        <v>1691</v>
      </c>
      <c r="BD275" s="33">
        <f>VLOOKUP($O275,Eco_DEM_Data!$D$1:$AC$643,25,False)</f>
        <v>664</v>
      </c>
      <c r="BE275" s="33">
        <f>VLOOKUP($O275,Eco_DEM_Data!$D$1:$AC$643,22,False)</f>
        <v>45</v>
      </c>
      <c r="BF275" s="33">
        <f>VLOOKUP($O275,Eco_DEM_Data!$D$1:$AC$643,23,False)</f>
        <v>148</v>
      </c>
      <c r="BG275" s="33">
        <f>VLOOKUP($O275,Eco_DEM_Data!$D$1:$AC$643,21,False)</f>
        <v>5316</v>
      </c>
      <c r="BH275" s="33">
        <f>VLOOKUP($O275,Eco_DEM_Data!$D$1:$AC$643,26,False)</f>
        <v>41</v>
      </c>
      <c r="BI275" s="33" t="str">
        <f>VLOOKUP($O275,Eco_DEM_Data!$D$1:$AC$643,9,False)</f>
        <v>Belizian pine savannas</v>
      </c>
      <c r="BJ275" s="33" t="str">
        <f>VLOOKUP($O275,Eco_DEM_Data!$D$1:$AC$643,11,False)</f>
        <v>Tropical &amp; Subtropical Grasslands, Savannas &amp; Shrublands</v>
      </c>
    </row>
    <row r="276">
      <c r="A276" s="33" t="s">
        <v>1101</v>
      </c>
      <c r="B276" s="33" t="s">
        <v>2259</v>
      </c>
      <c r="C276" s="34">
        <v>17.0</v>
      </c>
      <c r="D276" s="33" t="s">
        <v>268</v>
      </c>
      <c r="E276" s="34">
        <v>2009.0</v>
      </c>
      <c r="F276" s="33" t="s">
        <v>1102</v>
      </c>
      <c r="G276" s="45" t="s">
        <v>1103</v>
      </c>
      <c r="H276" s="46"/>
      <c r="I276" s="33"/>
      <c r="J276" s="33" t="s">
        <v>1104</v>
      </c>
      <c r="K276" s="34">
        <v>24.0</v>
      </c>
      <c r="L276" s="33"/>
      <c r="M276" s="6" t="s">
        <v>1105</v>
      </c>
      <c r="N276" s="35" t="s">
        <v>60</v>
      </c>
      <c r="O276" s="33" t="s">
        <v>2047</v>
      </c>
      <c r="P276" s="36" t="s">
        <v>62</v>
      </c>
      <c r="Q276" s="36" t="s">
        <v>187</v>
      </c>
      <c r="R276" s="36" t="s">
        <v>1111</v>
      </c>
      <c r="S276" s="37">
        <v>17.751954</v>
      </c>
      <c r="T276" s="37">
        <v>-88.653037</v>
      </c>
      <c r="U276" s="36" t="s">
        <v>1108</v>
      </c>
      <c r="V276" s="6" t="s">
        <v>95</v>
      </c>
      <c r="W276" s="6" t="s">
        <v>96</v>
      </c>
      <c r="X276" s="1" t="s">
        <v>2036</v>
      </c>
      <c r="Y276" s="55" t="s">
        <v>256</v>
      </c>
      <c r="Z276" s="36"/>
      <c r="AA276" s="37">
        <v>1.0</v>
      </c>
      <c r="AB276" s="36"/>
      <c r="AC276" s="36"/>
      <c r="AD276" s="36"/>
      <c r="AE276" s="36"/>
      <c r="AF276" s="36"/>
      <c r="AG276" s="36"/>
      <c r="AH276" s="36" t="s">
        <v>675</v>
      </c>
      <c r="AI276" s="52" t="s">
        <v>72</v>
      </c>
      <c r="AJ276" s="37">
        <v>1950.0</v>
      </c>
      <c r="AK276" s="6" t="s">
        <v>100</v>
      </c>
      <c r="AL276" s="6" t="s">
        <v>76</v>
      </c>
      <c r="AM276" s="33" t="s">
        <v>74</v>
      </c>
      <c r="AN276" s="6" t="s">
        <v>60</v>
      </c>
      <c r="AO276" s="33"/>
      <c r="AP276" s="6" t="s">
        <v>75</v>
      </c>
      <c r="AQ276" s="33"/>
      <c r="AR276" s="33"/>
      <c r="AS276" s="33"/>
      <c r="AT276" s="6" t="s">
        <v>76</v>
      </c>
      <c r="AU276" s="33"/>
      <c r="AV276" s="33"/>
      <c r="AW276" s="33"/>
      <c r="AX276" s="33"/>
      <c r="AY276" s="33"/>
      <c r="AZ276" s="6" t="s">
        <v>76</v>
      </c>
      <c r="BA276" s="33"/>
      <c r="BB276" s="33">
        <f>VLOOKUP(O276,Eco_DEM_Data!$D$1:$AC$643,20,False)</f>
        <v>1691</v>
      </c>
      <c r="BC276" s="33">
        <f>VLOOKUP($O276,Eco_DEM_Data!$D$1:$AC$643,20,False)</f>
        <v>1691</v>
      </c>
      <c r="BD276" s="33">
        <f>VLOOKUP($O276,Eco_DEM_Data!$D$1:$AC$643,25,False)</f>
        <v>664</v>
      </c>
      <c r="BE276" s="33">
        <f>VLOOKUP($O276,Eco_DEM_Data!$D$1:$AC$643,22,False)</f>
        <v>45</v>
      </c>
      <c r="BF276" s="33">
        <f>VLOOKUP($O276,Eco_DEM_Data!$D$1:$AC$643,23,False)</f>
        <v>148</v>
      </c>
      <c r="BG276" s="33">
        <f>VLOOKUP($O276,Eco_DEM_Data!$D$1:$AC$643,21,False)</f>
        <v>5316</v>
      </c>
      <c r="BH276" s="33">
        <f>VLOOKUP($O276,Eco_DEM_Data!$D$1:$AC$643,26,False)</f>
        <v>41</v>
      </c>
      <c r="BI276" s="33" t="str">
        <f>VLOOKUP($O276,Eco_DEM_Data!$D$1:$AC$643,9,False)</f>
        <v>Belizian pine savannas</v>
      </c>
      <c r="BJ276" s="33" t="str">
        <f>VLOOKUP($O276,Eco_DEM_Data!$D$1:$AC$643,11,False)</f>
        <v>Tropical &amp; Subtropical Grasslands, Savannas &amp; Shrublands</v>
      </c>
    </row>
    <row r="277">
      <c r="A277" s="33" t="s">
        <v>1101</v>
      </c>
      <c r="B277" s="33" t="s">
        <v>2259</v>
      </c>
      <c r="C277" s="34">
        <v>17.0</v>
      </c>
      <c r="D277" s="33" t="s">
        <v>268</v>
      </c>
      <c r="E277" s="34">
        <v>2009.0</v>
      </c>
      <c r="F277" s="33" t="s">
        <v>1102</v>
      </c>
      <c r="G277" s="45" t="s">
        <v>1103</v>
      </c>
      <c r="H277" s="46"/>
      <c r="I277" s="33"/>
      <c r="J277" s="33" t="s">
        <v>1104</v>
      </c>
      <c r="K277" s="34">
        <v>24.0</v>
      </c>
      <c r="L277" s="33"/>
      <c r="M277" s="6" t="s">
        <v>1105</v>
      </c>
      <c r="N277" s="35" t="s">
        <v>60</v>
      </c>
      <c r="O277" s="33" t="s">
        <v>2049</v>
      </c>
      <c r="P277" s="36" t="s">
        <v>62</v>
      </c>
      <c r="Q277" s="36" t="s">
        <v>187</v>
      </c>
      <c r="R277" s="36" t="s">
        <v>1111</v>
      </c>
      <c r="S277" s="37">
        <v>17.751954</v>
      </c>
      <c r="T277" s="37">
        <v>-88.653037</v>
      </c>
      <c r="U277" s="36" t="s">
        <v>1108</v>
      </c>
      <c r="V277" s="6" t="s">
        <v>95</v>
      </c>
      <c r="W277" s="6" t="s">
        <v>96</v>
      </c>
      <c r="X277" s="1" t="s">
        <v>2036</v>
      </c>
      <c r="Y277" s="55" t="s">
        <v>256</v>
      </c>
      <c r="Z277" s="36"/>
      <c r="AA277" s="37">
        <v>1.0</v>
      </c>
      <c r="AB277" s="36"/>
      <c r="AC277" s="36"/>
      <c r="AD277" s="36"/>
      <c r="AE277" s="36"/>
      <c r="AF277" s="36"/>
      <c r="AG277" s="36"/>
      <c r="AH277" s="36" t="s">
        <v>675</v>
      </c>
      <c r="AI277" s="52" t="s">
        <v>72</v>
      </c>
      <c r="AJ277" s="37">
        <v>1950.0</v>
      </c>
      <c r="AK277" s="6" t="s">
        <v>100</v>
      </c>
      <c r="AL277" s="6" t="s">
        <v>76</v>
      </c>
      <c r="AM277" s="33" t="s">
        <v>74</v>
      </c>
      <c r="AN277" s="6" t="s">
        <v>60</v>
      </c>
      <c r="AO277" s="33"/>
      <c r="AP277" s="6" t="s">
        <v>75</v>
      </c>
      <c r="AQ277" s="33"/>
      <c r="AR277" s="33"/>
      <c r="AS277" s="33"/>
      <c r="AT277" s="6" t="s">
        <v>76</v>
      </c>
      <c r="AU277" s="33"/>
      <c r="AV277" s="33"/>
      <c r="AW277" s="33"/>
      <c r="AX277" s="33"/>
      <c r="AY277" s="33"/>
      <c r="AZ277" s="6" t="s">
        <v>76</v>
      </c>
      <c r="BA277" s="33"/>
      <c r="BB277" s="33">
        <f>VLOOKUP(O277,Eco_DEM_Data!$D$1:$AC$643,20,False)</f>
        <v>1691</v>
      </c>
      <c r="BC277" s="33">
        <f>VLOOKUP($O277,Eco_DEM_Data!$D$1:$AC$643,20,False)</f>
        <v>1691</v>
      </c>
      <c r="BD277" s="33">
        <f>VLOOKUP($O277,Eco_DEM_Data!$D$1:$AC$643,25,False)</f>
        <v>664</v>
      </c>
      <c r="BE277" s="33">
        <f>VLOOKUP($O277,Eco_DEM_Data!$D$1:$AC$643,22,False)</f>
        <v>45</v>
      </c>
      <c r="BF277" s="33">
        <f>VLOOKUP($O277,Eco_DEM_Data!$D$1:$AC$643,23,False)</f>
        <v>148</v>
      </c>
      <c r="BG277" s="33">
        <f>VLOOKUP($O277,Eco_DEM_Data!$D$1:$AC$643,21,False)</f>
        <v>5316</v>
      </c>
      <c r="BH277" s="33">
        <f>VLOOKUP($O277,Eco_DEM_Data!$D$1:$AC$643,26,False)</f>
        <v>41</v>
      </c>
      <c r="BI277" s="33" t="str">
        <f>VLOOKUP($O277,Eco_DEM_Data!$D$1:$AC$643,9,False)</f>
        <v>Belizian pine savannas</v>
      </c>
      <c r="BJ277" s="33" t="str">
        <f>VLOOKUP($O277,Eco_DEM_Data!$D$1:$AC$643,11,False)</f>
        <v>Tropical &amp; Subtropical Grasslands, Savannas &amp; Shrublands</v>
      </c>
    </row>
    <row r="278">
      <c r="A278" s="33" t="s">
        <v>2050</v>
      </c>
      <c r="B278" s="33" t="s">
        <v>2259</v>
      </c>
      <c r="C278" s="34">
        <v>3.0</v>
      </c>
      <c r="D278" s="33" t="s">
        <v>268</v>
      </c>
      <c r="E278" s="34">
        <v>2009.0</v>
      </c>
      <c r="F278" s="33" t="s">
        <v>2051</v>
      </c>
      <c r="G278" s="45" t="s">
        <v>2052</v>
      </c>
      <c r="H278" s="46"/>
      <c r="I278" s="33"/>
      <c r="J278" s="33" t="s">
        <v>2053</v>
      </c>
      <c r="K278" s="34">
        <v>280.0</v>
      </c>
      <c r="L278" s="33"/>
      <c r="M278" s="6" t="s">
        <v>1767</v>
      </c>
      <c r="N278" s="35" t="s">
        <v>60</v>
      </c>
      <c r="O278" s="33" t="s">
        <v>2054</v>
      </c>
      <c r="P278" s="36" t="s">
        <v>62</v>
      </c>
      <c r="Q278" s="36" t="s">
        <v>187</v>
      </c>
      <c r="R278" s="36" t="s">
        <v>2055</v>
      </c>
      <c r="S278" s="37">
        <v>17.4</v>
      </c>
      <c r="T278" s="37">
        <v>-88.066667</v>
      </c>
      <c r="U278" s="36" t="s">
        <v>65</v>
      </c>
      <c r="V278" s="6" t="s">
        <v>189</v>
      </c>
      <c r="W278" s="63" t="s">
        <v>917</v>
      </c>
      <c r="X278" s="1" t="s">
        <v>2056</v>
      </c>
      <c r="Y278" s="33" t="s">
        <v>70</v>
      </c>
      <c r="Z278" s="36"/>
      <c r="AA278" s="37">
        <v>7.0</v>
      </c>
      <c r="AB278" s="36"/>
      <c r="AC278" s="36"/>
      <c r="AD278" s="36"/>
      <c r="AE278" s="36"/>
      <c r="AF278" s="36"/>
      <c r="AG278" s="36"/>
      <c r="AH278" s="36" t="s">
        <v>2057</v>
      </c>
      <c r="AI278" s="37">
        <v>-6150.0</v>
      </c>
      <c r="AJ278" s="37">
        <v>1950.0</v>
      </c>
      <c r="AK278" s="6" t="s">
        <v>1278</v>
      </c>
      <c r="AL278" s="6" t="s">
        <v>76</v>
      </c>
      <c r="AM278" s="33" t="s">
        <v>238</v>
      </c>
      <c r="AN278" s="6" t="s">
        <v>72</v>
      </c>
      <c r="AO278" s="33"/>
      <c r="AP278" s="6" t="s">
        <v>75</v>
      </c>
      <c r="AQ278" s="33"/>
      <c r="AR278" s="33"/>
      <c r="AS278" s="33"/>
      <c r="AT278" s="6" t="s">
        <v>76</v>
      </c>
      <c r="AU278" s="33"/>
      <c r="AV278" s="33"/>
      <c r="AW278" s="33"/>
      <c r="AX278" s="33"/>
      <c r="AY278" s="33"/>
      <c r="AZ278" s="6" t="s">
        <v>76</v>
      </c>
      <c r="BA278" s="33"/>
      <c r="BB278" s="33">
        <f>VLOOKUP(O278,Eco_DEM_Data!$D$1:$AC$643,20,False)</f>
        <v>1718</v>
      </c>
      <c r="BC278" s="33">
        <f>VLOOKUP($O278,Eco_DEM_Data!$D$1:$AC$643,20,False)</f>
        <v>1718</v>
      </c>
      <c r="BD278" s="33">
        <f>VLOOKUP($O278,Eco_DEM_Data!$D$1:$AC$643,25,False)</f>
        <v>641</v>
      </c>
      <c r="BE278" s="33">
        <f>VLOOKUP($O278,Eco_DEM_Data!$D$1:$AC$643,22,False)</f>
        <v>38</v>
      </c>
      <c r="BF278" s="33">
        <f>VLOOKUP($O278,Eco_DEM_Data!$D$1:$AC$643,23,False)</f>
        <v>152</v>
      </c>
      <c r="BG278" s="33">
        <f>VLOOKUP($O278,Eco_DEM_Data!$D$1:$AC$643,21,False)</f>
        <v>5103</v>
      </c>
      <c r="BH278" s="33">
        <f>VLOOKUP($O278,Eco_DEM_Data!$D$1:$AC$643,26,False)</f>
        <v>1</v>
      </c>
      <c r="BI278" s="33" t="str">
        <f>VLOOKUP($O278,Eco_DEM_Data!$D$1:$AC$643,9,False)</f>
        <v>Mesoamerican Gulf-Caribbean mangroves</v>
      </c>
      <c r="BJ278" s="33" t="str">
        <f>VLOOKUP($O278,Eco_DEM_Data!$D$1:$AC$643,11,False)</f>
        <v>Mangroves</v>
      </c>
    </row>
    <row r="279">
      <c r="A279" s="33" t="s">
        <v>2050</v>
      </c>
      <c r="B279" s="33" t="s">
        <v>2259</v>
      </c>
      <c r="C279" s="34">
        <v>3.0</v>
      </c>
      <c r="D279" s="33" t="s">
        <v>268</v>
      </c>
      <c r="E279" s="34">
        <v>2009.0</v>
      </c>
      <c r="F279" s="33" t="s">
        <v>2051</v>
      </c>
      <c r="G279" s="45" t="s">
        <v>2052</v>
      </c>
      <c r="H279" s="46"/>
      <c r="I279" s="33"/>
      <c r="J279" s="33" t="s">
        <v>2053</v>
      </c>
      <c r="K279" s="34">
        <v>280.0</v>
      </c>
      <c r="L279" s="33"/>
      <c r="M279" s="6" t="s">
        <v>1767</v>
      </c>
      <c r="N279" s="35" t="s">
        <v>60</v>
      </c>
      <c r="O279" s="33" t="s">
        <v>2058</v>
      </c>
      <c r="P279" s="36" t="s">
        <v>62</v>
      </c>
      <c r="Q279" s="36" t="s">
        <v>187</v>
      </c>
      <c r="R279" s="36" t="s">
        <v>2055</v>
      </c>
      <c r="S279" s="37">
        <v>17.4</v>
      </c>
      <c r="T279" s="37">
        <v>-88.066667</v>
      </c>
      <c r="U279" s="36" t="s">
        <v>65</v>
      </c>
      <c r="V279" s="38" t="s">
        <v>382</v>
      </c>
      <c r="W279" s="63" t="s">
        <v>917</v>
      </c>
      <c r="X279" s="3" t="s">
        <v>72</v>
      </c>
      <c r="Y279" s="33" t="s">
        <v>968</v>
      </c>
      <c r="Z279" s="36"/>
      <c r="AA279" s="37">
        <v>7.0</v>
      </c>
      <c r="AB279" s="36"/>
      <c r="AC279" s="36"/>
      <c r="AD279" s="36"/>
      <c r="AE279" s="36"/>
      <c r="AF279" s="36"/>
      <c r="AG279" s="36"/>
      <c r="AH279" s="36" t="s">
        <v>2057</v>
      </c>
      <c r="AI279" s="37">
        <v>-6150.0</v>
      </c>
      <c r="AJ279" s="37">
        <v>1950.0</v>
      </c>
      <c r="AK279" s="6" t="s">
        <v>1278</v>
      </c>
      <c r="AL279" s="6" t="s">
        <v>76</v>
      </c>
      <c r="AM279" s="33" t="s">
        <v>238</v>
      </c>
      <c r="AN279" s="6" t="s">
        <v>72</v>
      </c>
      <c r="AO279" s="33"/>
      <c r="AP279" s="6" t="s">
        <v>75</v>
      </c>
      <c r="AQ279" s="33"/>
      <c r="AR279" s="33"/>
      <c r="AS279" s="33"/>
      <c r="AT279" s="6" t="s">
        <v>76</v>
      </c>
      <c r="AU279" s="33"/>
      <c r="AV279" s="33"/>
      <c r="AW279" s="33"/>
      <c r="AX279" s="33"/>
      <c r="AY279" s="33"/>
      <c r="AZ279" s="6" t="s">
        <v>76</v>
      </c>
      <c r="BA279" s="33"/>
      <c r="BB279" s="33">
        <f>VLOOKUP(O279,Eco_DEM_Data!$D$1:$AC$643,20,False)</f>
        <v>1718</v>
      </c>
      <c r="BC279" s="33">
        <f>VLOOKUP($O279,Eco_DEM_Data!$D$1:$AC$643,20,False)</f>
        <v>1718</v>
      </c>
      <c r="BD279" s="33">
        <f>VLOOKUP($O279,Eco_DEM_Data!$D$1:$AC$643,25,False)</f>
        <v>641</v>
      </c>
      <c r="BE279" s="33">
        <f>VLOOKUP($O279,Eco_DEM_Data!$D$1:$AC$643,22,False)</f>
        <v>38</v>
      </c>
      <c r="BF279" s="33">
        <f>VLOOKUP($O279,Eco_DEM_Data!$D$1:$AC$643,23,False)</f>
        <v>152</v>
      </c>
      <c r="BG279" s="33">
        <f>VLOOKUP($O279,Eco_DEM_Data!$D$1:$AC$643,21,False)</f>
        <v>5103</v>
      </c>
      <c r="BH279" s="33">
        <f>VLOOKUP($O279,Eco_DEM_Data!$D$1:$AC$643,26,False)</f>
        <v>1</v>
      </c>
      <c r="BI279" s="33" t="str">
        <f>VLOOKUP($O279,Eco_DEM_Data!$D$1:$AC$643,9,False)</f>
        <v>Mesoamerican Gulf-Caribbean mangroves</v>
      </c>
      <c r="BJ279" s="33" t="str">
        <f>VLOOKUP($O279,Eco_DEM_Data!$D$1:$AC$643,11,False)</f>
        <v>Mangroves</v>
      </c>
    </row>
    <row r="280">
      <c r="A280" s="33" t="s">
        <v>2050</v>
      </c>
      <c r="B280" s="33" t="s">
        <v>2259</v>
      </c>
      <c r="C280" s="34">
        <v>3.0</v>
      </c>
      <c r="D280" s="33" t="s">
        <v>268</v>
      </c>
      <c r="E280" s="34">
        <v>2009.0</v>
      </c>
      <c r="F280" s="33" t="s">
        <v>2051</v>
      </c>
      <c r="G280" s="45" t="s">
        <v>2052</v>
      </c>
      <c r="H280" s="46"/>
      <c r="I280" s="33"/>
      <c r="J280" s="33" t="s">
        <v>2053</v>
      </c>
      <c r="K280" s="34">
        <v>280.0</v>
      </c>
      <c r="L280" s="33"/>
      <c r="M280" s="6" t="s">
        <v>1767</v>
      </c>
      <c r="N280" s="35" t="s">
        <v>60</v>
      </c>
      <c r="O280" s="33" t="s">
        <v>2059</v>
      </c>
      <c r="P280" s="36" t="s">
        <v>62</v>
      </c>
      <c r="Q280" s="36" t="s">
        <v>187</v>
      </c>
      <c r="R280" s="36" t="s">
        <v>2055</v>
      </c>
      <c r="S280" s="37">
        <v>17.4</v>
      </c>
      <c r="T280" s="37">
        <v>-88.066667</v>
      </c>
      <c r="U280" s="36" t="s">
        <v>65</v>
      </c>
      <c r="V280" s="38" t="s">
        <v>194</v>
      </c>
      <c r="W280" s="63" t="s">
        <v>917</v>
      </c>
      <c r="X280" s="1" t="s">
        <v>2060</v>
      </c>
      <c r="Y280" s="33" t="s">
        <v>70</v>
      </c>
      <c r="Z280" s="36"/>
      <c r="AA280" s="37">
        <v>7.0</v>
      </c>
      <c r="AB280" s="36"/>
      <c r="AC280" s="36"/>
      <c r="AD280" s="36"/>
      <c r="AE280" s="36"/>
      <c r="AF280" s="36"/>
      <c r="AG280" s="36"/>
      <c r="AH280" s="36" t="s">
        <v>2057</v>
      </c>
      <c r="AI280" s="37">
        <v>-6150.0</v>
      </c>
      <c r="AJ280" s="37">
        <v>1950.0</v>
      </c>
      <c r="AK280" s="6" t="s">
        <v>1278</v>
      </c>
      <c r="AL280" s="6" t="s">
        <v>76</v>
      </c>
      <c r="AM280" s="33" t="s">
        <v>238</v>
      </c>
      <c r="AN280" s="6" t="s">
        <v>72</v>
      </c>
      <c r="AO280" s="33"/>
      <c r="AP280" s="6" t="s">
        <v>75</v>
      </c>
      <c r="AQ280" s="33"/>
      <c r="AR280" s="33"/>
      <c r="AS280" s="33"/>
      <c r="AT280" s="6" t="s">
        <v>76</v>
      </c>
      <c r="AU280" s="33"/>
      <c r="AV280" s="33"/>
      <c r="AW280" s="33"/>
      <c r="AX280" s="33"/>
      <c r="AY280" s="33"/>
      <c r="AZ280" s="6" t="s">
        <v>76</v>
      </c>
      <c r="BA280" s="33"/>
      <c r="BB280" s="33">
        <f>VLOOKUP(O280,Eco_DEM_Data!$D$1:$AC$643,20,False)</f>
        <v>1718</v>
      </c>
      <c r="BC280" s="33">
        <f>VLOOKUP($O280,Eco_DEM_Data!$D$1:$AC$643,20,False)</f>
        <v>1718</v>
      </c>
      <c r="BD280" s="33">
        <f>VLOOKUP($O280,Eco_DEM_Data!$D$1:$AC$643,25,False)</f>
        <v>641</v>
      </c>
      <c r="BE280" s="33">
        <f>VLOOKUP($O280,Eco_DEM_Data!$D$1:$AC$643,22,False)</f>
        <v>38</v>
      </c>
      <c r="BF280" s="33">
        <f>VLOOKUP($O280,Eco_DEM_Data!$D$1:$AC$643,23,False)</f>
        <v>152</v>
      </c>
      <c r="BG280" s="33">
        <f>VLOOKUP($O280,Eco_DEM_Data!$D$1:$AC$643,21,False)</f>
        <v>5103</v>
      </c>
      <c r="BH280" s="33">
        <f>VLOOKUP($O280,Eco_DEM_Data!$D$1:$AC$643,26,False)</f>
        <v>1</v>
      </c>
      <c r="BI280" s="33" t="str">
        <f>VLOOKUP($O280,Eco_DEM_Data!$D$1:$AC$643,9,False)</f>
        <v>Mesoamerican Gulf-Caribbean mangroves</v>
      </c>
      <c r="BJ280" s="33" t="str">
        <f>VLOOKUP($O280,Eco_DEM_Data!$D$1:$AC$643,11,False)</f>
        <v>Mangroves</v>
      </c>
    </row>
    <row r="281">
      <c r="A281" s="33" t="s">
        <v>2050</v>
      </c>
      <c r="B281" s="33" t="s">
        <v>2259</v>
      </c>
      <c r="C281" s="34">
        <v>3.0</v>
      </c>
      <c r="D281" s="33" t="s">
        <v>268</v>
      </c>
      <c r="E281" s="34">
        <v>2009.0</v>
      </c>
      <c r="F281" s="33" t="s">
        <v>2051</v>
      </c>
      <c r="G281" s="45" t="s">
        <v>2052</v>
      </c>
      <c r="H281" s="46"/>
      <c r="I281" s="33"/>
      <c r="J281" s="33" t="s">
        <v>2053</v>
      </c>
      <c r="K281" s="34">
        <v>280.0</v>
      </c>
      <c r="L281" s="33"/>
      <c r="M281" s="6" t="s">
        <v>1767</v>
      </c>
      <c r="N281" s="35" t="s">
        <v>60</v>
      </c>
      <c r="O281" s="33" t="s">
        <v>2061</v>
      </c>
      <c r="P281" s="36" t="s">
        <v>62</v>
      </c>
      <c r="Q281" s="36" t="s">
        <v>187</v>
      </c>
      <c r="R281" s="36" t="s">
        <v>2055</v>
      </c>
      <c r="S281" s="37">
        <v>17.4</v>
      </c>
      <c r="T281" s="37">
        <v>-88.066667</v>
      </c>
      <c r="U281" s="36" t="s">
        <v>65</v>
      </c>
      <c r="V281" s="38" t="s">
        <v>66</v>
      </c>
      <c r="W281" s="5" t="s">
        <v>913</v>
      </c>
      <c r="X281" s="7" t="s">
        <v>2062</v>
      </c>
      <c r="Y281" s="41" t="s">
        <v>70</v>
      </c>
      <c r="Z281" s="43"/>
      <c r="AA281" s="42">
        <v>7.0</v>
      </c>
      <c r="AB281" s="43"/>
      <c r="AC281" s="43"/>
      <c r="AD281" s="43"/>
      <c r="AE281" s="43"/>
      <c r="AF281" s="43"/>
      <c r="AG281" s="43"/>
      <c r="AH281" s="43" t="s">
        <v>2057</v>
      </c>
      <c r="AI281" s="42">
        <v>-6150.0</v>
      </c>
      <c r="AJ281" s="42">
        <v>1950.0</v>
      </c>
      <c r="AK281" s="5" t="s">
        <v>1278</v>
      </c>
      <c r="AL281" s="5" t="s">
        <v>76</v>
      </c>
      <c r="AM281" s="41" t="s">
        <v>238</v>
      </c>
      <c r="AN281" s="5" t="s">
        <v>72</v>
      </c>
      <c r="AO281" s="41"/>
      <c r="AP281" s="5" t="s">
        <v>75</v>
      </c>
      <c r="AQ281" s="41"/>
      <c r="AR281" s="41"/>
      <c r="AS281" s="41"/>
      <c r="AT281" s="5" t="s">
        <v>76</v>
      </c>
      <c r="AU281" s="33"/>
      <c r="AV281" s="33"/>
      <c r="AW281" s="33"/>
      <c r="AX281" s="33"/>
      <c r="AY281" s="33"/>
      <c r="AZ281" s="6" t="s">
        <v>76</v>
      </c>
      <c r="BA281" s="33"/>
      <c r="BB281" s="33">
        <f>VLOOKUP(O281,Eco_DEM_Data!$D$1:$AC$643,20,False)</f>
        <v>1718</v>
      </c>
      <c r="BC281" s="33">
        <f>VLOOKUP($O281,Eco_DEM_Data!$D$1:$AC$643,20,False)</f>
        <v>1718</v>
      </c>
      <c r="BD281" s="33">
        <f>VLOOKUP($O281,Eco_DEM_Data!$D$1:$AC$643,25,False)</f>
        <v>641</v>
      </c>
      <c r="BE281" s="33">
        <f>VLOOKUP($O281,Eco_DEM_Data!$D$1:$AC$643,22,False)</f>
        <v>38</v>
      </c>
      <c r="BF281" s="33">
        <f>VLOOKUP($O281,Eco_DEM_Data!$D$1:$AC$643,23,False)</f>
        <v>152</v>
      </c>
      <c r="BG281" s="33">
        <f>VLOOKUP($O281,Eco_DEM_Data!$D$1:$AC$643,21,False)</f>
        <v>5103</v>
      </c>
      <c r="BH281" s="33">
        <f>VLOOKUP($O281,Eco_DEM_Data!$D$1:$AC$643,26,False)</f>
        <v>1</v>
      </c>
      <c r="BI281" s="33" t="str">
        <f>VLOOKUP($O281,Eco_DEM_Data!$D$1:$AC$643,9,False)</f>
        <v>Mesoamerican Gulf-Caribbean mangroves</v>
      </c>
      <c r="BJ281" s="33" t="str">
        <f>VLOOKUP($O281,Eco_DEM_Data!$D$1:$AC$643,11,False)</f>
        <v>Mangroves</v>
      </c>
    </row>
    <row r="282">
      <c r="A282" s="33" t="s">
        <v>2050</v>
      </c>
      <c r="B282" s="33" t="s">
        <v>2259</v>
      </c>
      <c r="C282" s="34">
        <v>3.0</v>
      </c>
      <c r="D282" s="33" t="s">
        <v>268</v>
      </c>
      <c r="E282" s="34">
        <v>2009.0</v>
      </c>
      <c r="F282" s="33" t="s">
        <v>2051</v>
      </c>
      <c r="G282" s="45" t="s">
        <v>2052</v>
      </c>
      <c r="H282" s="46"/>
      <c r="I282" s="33"/>
      <c r="J282" s="33" t="s">
        <v>2053</v>
      </c>
      <c r="K282" s="34">
        <v>280.0</v>
      </c>
      <c r="L282" s="33"/>
      <c r="M282" s="6" t="s">
        <v>1767</v>
      </c>
      <c r="N282" s="35" t="s">
        <v>60</v>
      </c>
      <c r="O282" s="33" t="s">
        <v>2063</v>
      </c>
      <c r="P282" s="36" t="s">
        <v>62</v>
      </c>
      <c r="Q282" s="36" t="s">
        <v>187</v>
      </c>
      <c r="R282" s="36" t="s">
        <v>2055</v>
      </c>
      <c r="S282" s="37">
        <v>17.4</v>
      </c>
      <c r="T282" s="37">
        <v>-88.066667</v>
      </c>
      <c r="U282" s="36" t="s">
        <v>65</v>
      </c>
      <c r="V282" s="6" t="s">
        <v>95</v>
      </c>
      <c r="W282" s="6" t="s">
        <v>1683</v>
      </c>
      <c r="X282" s="1" t="s">
        <v>2064</v>
      </c>
      <c r="Y282" s="33" t="s">
        <v>483</v>
      </c>
      <c r="Z282" s="36"/>
      <c r="AA282" s="37">
        <v>7.0</v>
      </c>
      <c r="AB282" s="36"/>
      <c r="AC282" s="36"/>
      <c r="AD282" s="36"/>
      <c r="AE282" s="36"/>
      <c r="AF282" s="36"/>
      <c r="AG282" s="36"/>
      <c r="AH282" s="36" t="s">
        <v>2057</v>
      </c>
      <c r="AI282" s="37">
        <v>-6150.0</v>
      </c>
      <c r="AJ282" s="37">
        <v>1950.0</v>
      </c>
      <c r="AK282" s="6" t="s">
        <v>1278</v>
      </c>
      <c r="AL282" s="6" t="s">
        <v>76</v>
      </c>
      <c r="AM282" s="33" t="s">
        <v>238</v>
      </c>
      <c r="AN282" s="6" t="s">
        <v>72</v>
      </c>
      <c r="AO282" s="33"/>
      <c r="AP282" s="6" t="s">
        <v>75</v>
      </c>
      <c r="AQ282" s="33"/>
      <c r="AR282" s="33"/>
      <c r="AS282" s="33"/>
      <c r="AT282" s="6" t="s">
        <v>76</v>
      </c>
      <c r="AU282" s="33"/>
      <c r="AV282" s="33"/>
      <c r="AW282" s="33"/>
      <c r="AX282" s="33"/>
      <c r="AY282" s="33"/>
      <c r="AZ282" s="6" t="s">
        <v>76</v>
      </c>
      <c r="BA282" s="33"/>
      <c r="BB282" s="33">
        <f>VLOOKUP(O282,Eco_DEM_Data!$D$1:$AC$643,20,False)</f>
        <v>1718</v>
      </c>
      <c r="BC282" s="33">
        <f>VLOOKUP($O282,Eco_DEM_Data!$D$1:$AC$643,20,False)</f>
        <v>1718</v>
      </c>
      <c r="BD282" s="33">
        <f>VLOOKUP($O282,Eco_DEM_Data!$D$1:$AC$643,25,False)</f>
        <v>641</v>
      </c>
      <c r="BE282" s="33">
        <f>VLOOKUP($O282,Eco_DEM_Data!$D$1:$AC$643,22,False)</f>
        <v>38</v>
      </c>
      <c r="BF282" s="33">
        <f>VLOOKUP($O282,Eco_DEM_Data!$D$1:$AC$643,23,False)</f>
        <v>152</v>
      </c>
      <c r="BG282" s="33">
        <f>VLOOKUP($O282,Eco_DEM_Data!$D$1:$AC$643,21,False)</f>
        <v>5103</v>
      </c>
      <c r="BH282" s="33">
        <f>VLOOKUP($O282,Eco_DEM_Data!$D$1:$AC$643,26,False)</f>
        <v>1</v>
      </c>
      <c r="BI282" s="33" t="str">
        <f>VLOOKUP($O282,Eco_DEM_Data!$D$1:$AC$643,9,False)</f>
        <v>Mesoamerican Gulf-Caribbean mangroves</v>
      </c>
      <c r="BJ282" s="33" t="str">
        <f>VLOOKUP($O282,Eco_DEM_Data!$D$1:$AC$643,11,False)</f>
        <v>Mangroves</v>
      </c>
    </row>
    <row r="283">
      <c r="A283" s="33" t="s">
        <v>2050</v>
      </c>
      <c r="B283" s="33" t="s">
        <v>2259</v>
      </c>
      <c r="C283" s="34">
        <v>3.0</v>
      </c>
      <c r="D283" s="33" t="s">
        <v>268</v>
      </c>
      <c r="E283" s="34">
        <v>2009.0</v>
      </c>
      <c r="F283" s="33" t="s">
        <v>2051</v>
      </c>
      <c r="G283" s="45" t="s">
        <v>2052</v>
      </c>
      <c r="H283" s="46"/>
      <c r="I283" s="33"/>
      <c r="J283" s="33" t="s">
        <v>2053</v>
      </c>
      <c r="K283" s="34">
        <v>280.0</v>
      </c>
      <c r="L283" s="33"/>
      <c r="M283" s="6" t="s">
        <v>1767</v>
      </c>
      <c r="N283" s="35" t="s">
        <v>60</v>
      </c>
      <c r="O283" s="33" t="s">
        <v>2065</v>
      </c>
      <c r="P283" s="36" t="s">
        <v>62</v>
      </c>
      <c r="Q283" s="36" t="s">
        <v>187</v>
      </c>
      <c r="R283" s="36" t="s">
        <v>2055</v>
      </c>
      <c r="S283" s="37">
        <v>17.4</v>
      </c>
      <c r="T283" s="37">
        <v>-88.066667</v>
      </c>
      <c r="U283" s="36" t="s">
        <v>65</v>
      </c>
      <c r="V283" s="6" t="s">
        <v>135</v>
      </c>
      <c r="W283" s="33" t="s">
        <v>2066</v>
      </c>
      <c r="X283" s="1" t="s">
        <v>2067</v>
      </c>
      <c r="Y283" s="33" t="s">
        <v>483</v>
      </c>
      <c r="Z283" s="36"/>
      <c r="AA283" s="37">
        <v>7.0</v>
      </c>
      <c r="AB283" s="36"/>
      <c r="AC283" s="36"/>
      <c r="AD283" s="36"/>
      <c r="AE283" s="36"/>
      <c r="AF283" s="36"/>
      <c r="AG283" s="36"/>
      <c r="AH283" s="36" t="s">
        <v>2057</v>
      </c>
      <c r="AI283" s="37">
        <v>-6150.0</v>
      </c>
      <c r="AJ283" s="37">
        <v>1950.0</v>
      </c>
      <c r="AK283" s="6" t="s">
        <v>1278</v>
      </c>
      <c r="AL283" s="6" t="s">
        <v>76</v>
      </c>
      <c r="AM283" s="33" t="s">
        <v>238</v>
      </c>
      <c r="AN283" s="6" t="s">
        <v>72</v>
      </c>
      <c r="AO283" s="33"/>
      <c r="AP283" s="6" t="s">
        <v>75</v>
      </c>
      <c r="AQ283" s="33"/>
      <c r="AR283" s="33"/>
      <c r="AS283" s="33"/>
      <c r="AT283" s="6" t="s">
        <v>76</v>
      </c>
      <c r="AU283" s="33"/>
      <c r="AV283" s="33"/>
      <c r="AW283" s="33"/>
      <c r="AX283" s="33"/>
      <c r="AY283" s="33"/>
      <c r="AZ283" s="6" t="s">
        <v>76</v>
      </c>
      <c r="BA283" s="33"/>
      <c r="BB283" s="33">
        <f>VLOOKUP(O283,Eco_DEM_Data!$D$1:$AC$643,20,False)</f>
        <v>1718</v>
      </c>
      <c r="BC283" s="33">
        <f>VLOOKUP($O283,Eco_DEM_Data!$D$1:$AC$643,20,False)</f>
        <v>1718</v>
      </c>
      <c r="BD283" s="33">
        <f>VLOOKUP($O283,Eco_DEM_Data!$D$1:$AC$643,25,False)</f>
        <v>641</v>
      </c>
      <c r="BE283" s="33">
        <f>VLOOKUP($O283,Eco_DEM_Data!$D$1:$AC$643,22,False)</f>
        <v>38</v>
      </c>
      <c r="BF283" s="33">
        <f>VLOOKUP($O283,Eco_DEM_Data!$D$1:$AC$643,23,False)</f>
        <v>152</v>
      </c>
      <c r="BG283" s="33">
        <f>VLOOKUP($O283,Eco_DEM_Data!$D$1:$AC$643,21,False)</f>
        <v>5103</v>
      </c>
      <c r="BH283" s="33">
        <f>VLOOKUP($O283,Eco_DEM_Data!$D$1:$AC$643,26,False)</f>
        <v>1</v>
      </c>
      <c r="BI283" s="33" t="str">
        <f>VLOOKUP($O283,Eco_DEM_Data!$D$1:$AC$643,9,False)</f>
        <v>Mesoamerican Gulf-Caribbean mangroves</v>
      </c>
      <c r="BJ283" s="33" t="str">
        <f>VLOOKUP($O283,Eco_DEM_Data!$D$1:$AC$643,11,False)</f>
        <v>Mangroves</v>
      </c>
    </row>
    <row r="284">
      <c r="A284" s="33" t="s">
        <v>2050</v>
      </c>
      <c r="B284" s="33" t="s">
        <v>2259</v>
      </c>
      <c r="C284" s="34">
        <v>3.0</v>
      </c>
      <c r="D284" s="33" t="s">
        <v>268</v>
      </c>
      <c r="E284" s="34">
        <v>2009.0</v>
      </c>
      <c r="F284" s="33" t="s">
        <v>2051</v>
      </c>
      <c r="G284" s="45" t="s">
        <v>2052</v>
      </c>
      <c r="H284" s="46"/>
      <c r="I284" s="33"/>
      <c r="J284" s="33" t="s">
        <v>2053</v>
      </c>
      <c r="K284" s="34">
        <v>280.0</v>
      </c>
      <c r="L284" s="33"/>
      <c r="M284" s="6" t="s">
        <v>1767</v>
      </c>
      <c r="N284" s="35" t="s">
        <v>60</v>
      </c>
      <c r="O284" s="33" t="s">
        <v>2068</v>
      </c>
      <c r="P284" s="36" t="s">
        <v>62</v>
      </c>
      <c r="Q284" s="36" t="s">
        <v>187</v>
      </c>
      <c r="R284" s="36" t="s">
        <v>2055</v>
      </c>
      <c r="S284" s="37">
        <v>17.4</v>
      </c>
      <c r="T284" s="37">
        <v>-88.066667</v>
      </c>
      <c r="U284" s="36" t="s">
        <v>65</v>
      </c>
      <c r="V284" s="6" t="s">
        <v>388</v>
      </c>
      <c r="W284" s="33" t="s">
        <v>2066</v>
      </c>
      <c r="X284" s="1" t="s">
        <v>2069</v>
      </c>
      <c r="Y284" s="33" t="s">
        <v>483</v>
      </c>
      <c r="Z284" s="36"/>
      <c r="AA284" s="37">
        <v>7.0</v>
      </c>
      <c r="AB284" s="36"/>
      <c r="AC284" s="36"/>
      <c r="AD284" s="36"/>
      <c r="AE284" s="36"/>
      <c r="AF284" s="36"/>
      <c r="AG284" s="36"/>
      <c r="AH284" s="36" t="s">
        <v>2057</v>
      </c>
      <c r="AI284" s="37">
        <v>-6150.0</v>
      </c>
      <c r="AJ284" s="37">
        <v>1950.0</v>
      </c>
      <c r="AK284" s="6" t="s">
        <v>1278</v>
      </c>
      <c r="AL284" s="6" t="s">
        <v>76</v>
      </c>
      <c r="AM284" s="33" t="s">
        <v>238</v>
      </c>
      <c r="AN284" s="6" t="s">
        <v>72</v>
      </c>
      <c r="AO284" s="33"/>
      <c r="AP284" s="6" t="s">
        <v>75</v>
      </c>
      <c r="AQ284" s="33"/>
      <c r="AR284" s="33"/>
      <c r="AS284" s="33"/>
      <c r="AT284" s="6" t="s">
        <v>76</v>
      </c>
      <c r="AU284" s="33"/>
      <c r="AV284" s="33"/>
      <c r="AW284" s="33"/>
      <c r="AX284" s="33"/>
      <c r="AY284" s="33"/>
      <c r="AZ284" s="6" t="s">
        <v>76</v>
      </c>
      <c r="BA284" s="33"/>
      <c r="BB284" s="33">
        <f>VLOOKUP(O284,Eco_DEM_Data!$D$1:$AC$643,20,False)</f>
        <v>1718</v>
      </c>
      <c r="BC284" s="33">
        <f>VLOOKUP($O284,Eco_DEM_Data!$D$1:$AC$643,20,False)</f>
        <v>1718</v>
      </c>
      <c r="BD284" s="33">
        <f>VLOOKUP($O284,Eco_DEM_Data!$D$1:$AC$643,25,False)</f>
        <v>641</v>
      </c>
      <c r="BE284" s="33">
        <f>VLOOKUP($O284,Eco_DEM_Data!$D$1:$AC$643,22,False)</f>
        <v>38</v>
      </c>
      <c r="BF284" s="33">
        <f>VLOOKUP($O284,Eco_DEM_Data!$D$1:$AC$643,23,False)</f>
        <v>152</v>
      </c>
      <c r="BG284" s="33">
        <f>VLOOKUP($O284,Eco_DEM_Data!$D$1:$AC$643,21,False)</f>
        <v>5103</v>
      </c>
      <c r="BH284" s="33">
        <f>VLOOKUP($O284,Eco_DEM_Data!$D$1:$AC$643,26,False)</f>
        <v>1</v>
      </c>
      <c r="BI284" s="33" t="str">
        <f>VLOOKUP($O284,Eco_DEM_Data!$D$1:$AC$643,9,False)</f>
        <v>Mesoamerican Gulf-Caribbean mangroves</v>
      </c>
      <c r="BJ284" s="33" t="str">
        <f>VLOOKUP($O284,Eco_DEM_Data!$D$1:$AC$643,11,False)</f>
        <v>Mangroves</v>
      </c>
    </row>
    <row r="285">
      <c r="A285" s="33" t="s">
        <v>1168</v>
      </c>
      <c r="B285" s="33" t="s">
        <v>2259</v>
      </c>
      <c r="C285" s="34">
        <v>10.0</v>
      </c>
      <c r="D285" s="33" t="s">
        <v>268</v>
      </c>
      <c r="E285" s="34">
        <v>2009.0</v>
      </c>
      <c r="F285" s="33" t="s">
        <v>1169</v>
      </c>
      <c r="G285" s="45" t="s">
        <v>1170</v>
      </c>
      <c r="H285" s="46"/>
      <c r="I285" s="33"/>
      <c r="J285" s="33" t="s">
        <v>1171</v>
      </c>
      <c r="K285" s="34">
        <v>71.0</v>
      </c>
      <c r="L285" s="33"/>
      <c r="M285" s="6" t="s">
        <v>1172</v>
      </c>
      <c r="N285" s="35" t="s">
        <v>60</v>
      </c>
      <c r="O285" s="33" t="s">
        <v>2070</v>
      </c>
      <c r="P285" s="36" t="s">
        <v>62</v>
      </c>
      <c r="Q285" s="36" t="s">
        <v>167</v>
      </c>
      <c r="R285" s="36" t="s">
        <v>512</v>
      </c>
      <c r="S285" s="37">
        <v>17.0</v>
      </c>
      <c r="T285" s="37">
        <v>-89.916667</v>
      </c>
      <c r="U285" s="36" t="s">
        <v>148</v>
      </c>
      <c r="V285" s="38" t="s">
        <v>66</v>
      </c>
      <c r="W285" s="5" t="s">
        <v>2071</v>
      </c>
      <c r="X285" s="7" t="s">
        <v>2072</v>
      </c>
      <c r="Y285" s="41" t="s">
        <v>70</v>
      </c>
      <c r="Z285" s="43"/>
      <c r="AA285" s="42">
        <v>6.0</v>
      </c>
      <c r="AB285" s="43"/>
      <c r="AC285" s="43"/>
      <c r="AD285" s="43"/>
      <c r="AE285" s="43"/>
      <c r="AF285" s="43"/>
      <c r="AG285" s="43"/>
      <c r="AH285" s="43" t="s">
        <v>1174</v>
      </c>
      <c r="AI285" s="42">
        <v>-9080.0</v>
      </c>
      <c r="AJ285" s="42">
        <v>1950.0</v>
      </c>
      <c r="AK285" s="5" t="s">
        <v>73</v>
      </c>
      <c r="AL285" s="5" t="s">
        <v>72</v>
      </c>
      <c r="AM285" s="5" t="s">
        <v>72</v>
      </c>
      <c r="AN285" s="5" t="s">
        <v>72</v>
      </c>
      <c r="AO285" s="41"/>
      <c r="AP285" s="5" t="s">
        <v>75</v>
      </c>
      <c r="AQ285" s="41"/>
      <c r="AR285" s="41"/>
      <c r="AS285" s="41"/>
      <c r="AT285" s="5" t="s">
        <v>60</v>
      </c>
      <c r="AU285" s="33"/>
      <c r="AV285" s="33"/>
      <c r="AW285" s="33"/>
      <c r="AX285" s="33"/>
      <c r="AY285" s="33"/>
      <c r="AZ285" s="6" t="s">
        <v>76</v>
      </c>
      <c r="BA285" s="33"/>
      <c r="BB285" s="33">
        <f>VLOOKUP(O285,Eco_DEM_Data!$D$1:$AC$643,20,False)</f>
        <v>1741</v>
      </c>
      <c r="BC285" s="33">
        <f>VLOOKUP($O285,Eco_DEM_Data!$D$1:$AC$643,20,False)</f>
        <v>1741</v>
      </c>
      <c r="BD285" s="33">
        <f>VLOOKUP($O285,Eco_DEM_Data!$D$1:$AC$643,25,False)</f>
        <v>702</v>
      </c>
      <c r="BE285" s="33">
        <f>VLOOKUP($O285,Eco_DEM_Data!$D$1:$AC$643,22,False)</f>
        <v>39</v>
      </c>
      <c r="BF285" s="33">
        <f>VLOOKUP($O285,Eco_DEM_Data!$D$1:$AC$643,23,False)</f>
        <v>141</v>
      </c>
      <c r="BG285" s="33">
        <f>VLOOKUP($O285,Eco_DEM_Data!$D$1:$AC$643,21,False)</f>
        <v>5771</v>
      </c>
      <c r="BH285" s="33">
        <f>VLOOKUP($O285,Eco_DEM_Data!$D$1:$AC$643,26,False)</f>
        <v>197</v>
      </c>
      <c r="BI285" s="33" t="str">
        <f>VLOOKUP($O285,Eco_DEM_Data!$D$1:$AC$643,9,False)</f>
        <v>Petén-Veracruz moist forests</v>
      </c>
      <c r="BJ285" s="33" t="str">
        <f>VLOOKUP($O285,Eco_DEM_Data!$D$1:$AC$643,11,False)</f>
        <v>Tropical &amp; Subtropical Moist Broadleaf Forests</v>
      </c>
    </row>
    <row r="286">
      <c r="A286" s="33" t="s">
        <v>1168</v>
      </c>
      <c r="B286" s="33" t="s">
        <v>2259</v>
      </c>
      <c r="C286" s="34">
        <v>10.0</v>
      </c>
      <c r="D286" s="33" t="s">
        <v>268</v>
      </c>
      <c r="E286" s="34">
        <v>2009.0</v>
      </c>
      <c r="F286" s="33" t="s">
        <v>1169</v>
      </c>
      <c r="G286" s="45" t="s">
        <v>1170</v>
      </c>
      <c r="H286" s="46"/>
      <c r="I286" s="33"/>
      <c r="J286" s="33" t="s">
        <v>1171</v>
      </c>
      <c r="K286" s="34">
        <v>71.0</v>
      </c>
      <c r="L286" s="33"/>
      <c r="M286" s="6" t="s">
        <v>1172</v>
      </c>
      <c r="N286" s="35" t="s">
        <v>60</v>
      </c>
      <c r="O286" s="33" t="s">
        <v>2073</v>
      </c>
      <c r="P286" s="36" t="s">
        <v>62</v>
      </c>
      <c r="Q286" s="36" t="s">
        <v>167</v>
      </c>
      <c r="R286" s="36" t="s">
        <v>512</v>
      </c>
      <c r="S286" s="37">
        <v>17.0</v>
      </c>
      <c r="T286" s="37">
        <v>-89.916667</v>
      </c>
      <c r="U286" s="36" t="s">
        <v>148</v>
      </c>
      <c r="V286" s="6" t="s">
        <v>95</v>
      </c>
      <c r="W286" s="6" t="s">
        <v>96</v>
      </c>
      <c r="X286" s="1" t="s">
        <v>264</v>
      </c>
      <c r="Y286" s="55" t="s">
        <v>256</v>
      </c>
      <c r="Z286" s="36"/>
      <c r="AA286" s="37">
        <v>2.0</v>
      </c>
      <c r="AB286" s="36"/>
      <c r="AC286" s="36"/>
      <c r="AD286" s="36"/>
      <c r="AE286" s="36"/>
      <c r="AF286" s="36"/>
      <c r="AG286" s="36"/>
      <c r="AH286" s="36" t="s">
        <v>1174</v>
      </c>
      <c r="AI286" s="37">
        <v>-8870.0</v>
      </c>
      <c r="AJ286" s="37">
        <v>1950.0</v>
      </c>
      <c r="AK286" s="6" t="s">
        <v>73</v>
      </c>
      <c r="AL286" s="6" t="s">
        <v>72</v>
      </c>
      <c r="AM286" s="6" t="s">
        <v>72</v>
      </c>
      <c r="AN286" s="6" t="s">
        <v>72</v>
      </c>
      <c r="AO286" s="33"/>
      <c r="AP286" s="6" t="s">
        <v>75</v>
      </c>
      <c r="AQ286" s="33"/>
      <c r="AR286" s="33"/>
      <c r="AS286" s="33"/>
      <c r="AT286" s="6" t="s">
        <v>76</v>
      </c>
      <c r="AU286" s="33"/>
      <c r="AV286" s="33"/>
      <c r="AW286" s="33"/>
      <c r="AX286" s="33"/>
      <c r="AY286" s="33"/>
      <c r="AZ286" s="6" t="s">
        <v>76</v>
      </c>
      <c r="BA286" s="33"/>
      <c r="BB286" s="33">
        <f>VLOOKUP(O286,Eco_DEM_Data!$D$1:$AC$643,20,False)</f>
        <v>1741</v>
      </c>
      <c r="BC286" s="33">
        <f>VLOOKUP($O286,Eco_DEM_Data!$D$1:$AC$643,20,False)</f>
        <v>1741</v>
      </c>
      <c r="BD286" s="33">
        <f>VLOOKUP($O286,Eco_DEM_Data!$D$1:$AC$643,25,False)</f>
        <v>702</v>
      </c>
      <c r="BE286" s="33">
        <f>VLOOKUP($O286,Eco_DEM_Data!$D$1:$AC$643,22,False)</f>
        <v>39</v>
      </c>
      <c r="BF286" s="33">
        <f>VLOOKUP($O286,Eco_DEM_Data!$D$1:$AC$643,23,False)</f>
        <v>141</v>
      </c>
      <c r="BG286" s="33">
        <f>VLOOKUP($O286,Eco_DEM_Data!$D$1:$AC$643,21,False)</f>
        <v>5771</v>
      </c>
      <c r="BH286" s="33">
        <f>VLOOKUP($O286,Eco_DEM_Data!$D$1:$AC$643,26,False)</f>
        <v>197</v>
      </c>
      <c r="BI286" s="33" t="str">
        <f>VLOOKUP($O286,Eco_DEM_Data!$D$1:$AC$643,9,False)</f>
        <v>Petén-Veracruz moist forests</v>
      </c>
      <c r="BJ286" s="33" t="str">
        <f>VLOOKUP($O286,Eco_DEM_Data!$D$1:$AC$643,11,False)</f>
        <v>Tropical &amp; Subtropical Moist Broadleaf Forests</v>
      </c>
    </row>
    <row r="287">
      <c r="A287" s="33" t="s">
        <v>1168</v>
      </c>
      <c r="B287" s="33" t="s">
        <v>2259</v>
      </c>
      <c r="C287" s="34">
        <v>10.0</v>
      </c>
      <c r="D287" s="33" t="s">
        <v>268</v>
      </c>
      <c r="E287" s="34">
        <v>2009.0</v>
      </c>
      <c r="F287" s="33" t="s">
        <v>1169</v>
      </c>
      <c r="G287" s="45" t="s">
        <v>1170</v>
      </c>
      <c r="H287" s="46"/>
      <c r="I287" s="33"/>
      <c r="J287" s="33" t="s">
        <v>1171</v>
      </c>
      <c r="K287" s="34">
        <v>71.0</v>
      </c>
      <c r="L287" s="33"/>
      <c r="M287" s="6" t="s">
        <v>1172</v>
      </c>
      <c r="N287" s="35" t="s">
        <v>60</v>
      </c>
      <c r="O287" s="33" t="s">
        <v>2074</v>
      </c>
      <c r="P287" s="36" t="s">
        <v>62</v>
      </c>
      <c r="Q287" s="36" t="s">
        <v>167</v>
      </c>
      <c r="R287" s="36" t="s">
        <v>512</v>
      </c>
      <c r="S287" s="37">
        <v>17.0</v>
      </c>
      <c r="T287" s="37">
        <v>-89.916667</v>
      </c>
      <c r="U287" s="36" t="s">
        <v>148</v>
      </c>
      <c r="V287" s="6" t="s">
        <v>135</v>
      </c>
      <c r="W287" s="41" t="s">
        <v>823</v>
      </c>
      <c r="X287" s="7" t="s">
        <v>264</v>
      </c>
      <c r="Y287" s="64" t="s">
        <v>256</v>
      </c>
      <c r="Z287" s="43"/>
      <c r="AA287" s="42">
        <v>6.0</v>
      </c>
      <c r="AB287" s="43"/>
      <c r="AC287" s="43"/>
      <c r="AD287" s="43"/>
      <c r="AE287" s="43"/>
      <c r="AF287" s="43"/>
      <c r="AG287" s="43"/>
      <c r="AH287" s="43" t="s">
        <v>1174</v>
      </c>
      <c r="AI287" s="42">
        <v>-9080.0</v>
      </c>
      <c r="AJ287" s="42">
        <v>1950.0</v>
      </c>
      <c r="AK287" s="5" t="s">
        <v>73</v>
      </c>
      <c r="AL287" s="5" t="s">
        <v>72</v>
      </c>
      <c r="AM287" s="5" t="s">
        <v>72</v>
      </c>
      <c r="AN287" s="5" t="s">
        <v>72</v>
      </c>
      <c r="AO287" s="41"/>
      <c r="AP287" s="5" t="s">
        <v>75</v>
      </c>
      <c r="AQ287" s="41"/>
      <c r="AR287" s="41"/>
      <c r="AS287" s="41"/>
      <c r="AT287" s="6" t="s">
        <v>76</v>
      </c>
      <c r="AU287" s="33"/>
      <c r="AV287" s="33"/>
      <c r="AW287" s="33"/>
      <c r="AX287" s="33"/>
      <c r="AY287" s="33"/>
      <c r="AZ287" s="6" t="s">
        <v>76</v>
      </c>
      <c r="BA287" s="33"/>
      <c r="BB287" s="33">
        <f>VLOOKUP(O287,Eco_DEM_Data!$D$1:$AC$643,20,False)</f>
        <v>1741</v>
      </c>
      <c r="BC287" s="33">
        <f>VLOOKUP($O287,Eco_DEM_Data!$D$1:$AC$643,20,False)</f>
        <v>1741</v>
      </c>
      <c r="BD287" s="33">
        <f>VLOOKUP($O287,Eco_DEM_Data!$D$1:$AC$643,25,False)</f>
        <v>702</v>
      </c>
      <c r="BE287" s="33">
        <f>VLOOKUP($O287,Eco_DEM_Data!$D$1:$AC$643,22,False)</f>
        <v>39</v>
      </c>
      <c r="BF287" s="33">
        <f>VLOOKUP($O287,Eco_DEM_Data!$D$1:$AC$643,23,False)</f>
        <v>141</v>
      </c>
      <c r="BG287" s="33">
        <f>VLOOKUP($O287,Eco_DEM_Data!$D$1:$AC$643,21,False)</f>
        <v>5771</v>
      </c>
      <c r="BH287" s="33">
        <f>VLOOKUP($O287,Eco_DEM_Data!$D$1:$AC$643,26,False)</f>
        <v>197</v>
      </c>
      <c r="BI287" s="33" t="str">
        <f>VLOOKUP($O287,Eco_DEM_Data!$D$1:$AC$643,9,False)</f>
        <v>Petén-Veracruz moist forests</v>
      </c>
      <c r="BJ287" s="33" t="str">
        <f>VLOOKUP($O287,Eco_DEM_Data!$D$1:$AC$643,11,False)</f>
        <v>Tropical &amp; Subtropical Moist Broadleaf Forests</v>
      </c>
    </row>
    <row r="288">
      <c r="A288" s="33" t="s">
        <v>1168</v>
      </c>
      <c r="B288" s="33" t="s">
        <v>2259</v>
      </c>
      <c r="C288" s="34">
        <v>10.0</v>
      </c>
      <c r="D288" s="33" t="s">
        <v>268</v>
      </c>
      <c r="E288" s="34">
        <v>2009.0</v>
      </c>
      <c r="F288" s="33" t="s">
        <v>1169</v>
      </c>
      <c r="G288" s="45" t="s">
        <v>1170</v>
      </c>
      <c r="H288" s="46"/>
      <c r="I288" s="33"/>
      <c r="J288" s="33" t="s">
        <v>1171</v>
      </c>
      <c r="K288" s="34">
        <v>71.0</v>
      </c>
      <c r="L288" s="33"/>
      <c r="M288" s="6" t="s">
        <v>1172</v>
      </c>
      <c r="N288" s="35" t="s">
        <v>60</v>
      </c>
      <c r="O288" s="33" t="s">
        <v>2075</v>
      </c>
      <c r="P288" s="36" t="s">
        <v>62</v>
      </c>
      <c r="Q288" s="36" t="s">
        <v>167</v>
      </c>
      <c r="R288" s="36" t="s">
        <v>512</v>
      </c>
      <c r="S288" s="37">
        <v>17.0</v>
      </c>
      <c r="T288" s="37">
        <v>-89.916667</v>
      </c>
      <c r="U288" s="36" t="s">
        <v>148</v>
      </c>
      <c r="V288" s="6" t="s">
        <v>189</v>
      </c>
      <c r="W288" s="6" t="s">
        <v>96</v>
      </c>
      <c r="X288" s="1" t="s">
        <v>2076</v>
      </c>
      <c r="Y288" s="33" t="s">
        <v>70</v>
      </c>
      <c r="Z288" s="36"/>
      <c r="AA288" s="37">
        <v>6.0</v>
      </c>
      <c r="AB288" s="36"/>
      <c r="AC288" s="36"/>
      <c r="AD288" s="36"/>
      <c r="AE288" s="36"/>
      <c r="AF288" s="36"/>
      <c r="AG288" s="36"/>
      <c r="AH288" s="36" t="s">
        <v>1174</v>
      </c>
      <c r="AI288" s="37">
        <v>-9080.0</v>
      </c>
      <c r="AJ288" s="37">
        <v>1950.0</v>
      </c>
      <c r="AK288" s="6" t="s">
        <v>73</v>
      </c>
      <c r="AL288" s="6" t="s">
        <v>72</v>
      </c>
      <c r="AM288" s="6" t="s">
        <v>72</v>
      </c>
      <c r="AN288" s="6" t="s">
        <v>72</v>
      </c>
      <c r="AO288" s="33"/>
      <c r="AP288" s="6" t="s">
        <v>75</v>
      </c>
      <c r="AQ288" s="33"/>
      <c r="AR288" s="33"/>
      <c r="AS288" s="33"/>
      <c r="AT288" s="6" t="s">
        <v>76</v>
      </c>
      <c r="AU288" s="33"/>
      <c r="AV288" s="33"/>
      <c r="AW288" s="33"/>
      <c r="AX288" s="33"/>
      <c r="AY288" s="33"/>
      <c r="AZ288" s="6" t="s">
        <v>76</v>
      </c>
      <c r="BA288" s="33"/>
      <c r="BB288" s="33">
        <f>VLOOKUP(O288,Eco_DEM_Data!$D$1:$AC$643,20,False)</f>
        <v>1741</v>
      </c>
      <c r="BC288" s="33">
        <f>VLOOKUP($O288,Eco_DEM_Data!$D$1:$AC$643,20,False)</f>
        <v>1741</v>
      </c>
      <c r="BD288" s="33">
        <f>VLOOKUP($O288,Eco_DEM_Data!$D$1:$AC$643,25,False)</f>
        <v>702</v>
      </c>
      <c r="BE288" s="33">
        <f>VLOOKUP($O288,Eco_DEM_Data!$D$1:$AC$643,22,False)</f>
        <v>39</v>
      </c>
      <c r="BF288" s="33">
        <f>VLOOKUP($O288,Eco_DEM_Data!$D$1:$AC$643,23,False)</f>
        <v>141</v>
      </c>
      <c r="BG288" s="33">
        <f>VLOOKUP($O288,Eco_DEM_Data!$D$1:$AC$643,21,False)</f>
        <v>5771</v>
      </c>
      <c r="BH288" s="33">
        <f>VLOOKUP($O288,Eco_DEM_Data!$D$1:$AC$643,26,False)</f>
        <v>197</v>
      </c>
      <c r="BI288" s="33" t="str">
        <f>VLOOKUP($O288,Eco_DEM_Data!$D$1:$AC$643,9,False)</f>
        <v>Petén-Veracruz moist forests</v>
      </c>
      <c r="BJ288" s="33" t="str">
        <f>VLOOKUP($O288,Eco_DEM_Data!$D$1:$AC$643,11,False)</f>
        <v>Tropical &amp; Subtropical Moist Broadleaf Forests</v>
      </c>
    </row>
    <row r="289">
      <c r="A289" s="33" t="s">
        <v>1168</v>
      </c>
      <c r="B289" s="33" t="s">
        <v>2259</v>
      </c>
      <c r="C289" s="34">
        <v>10.0</v>
      </c>
      <c r="D289" s="33" t="s">
        <v>268</v>
      </c>
      <c r="E289" s="34">
        <v>2009.0</v>
      </c>
      <c r="F289" s="33" t="s">
        <v>1169</v>
      </c>
      <c r="G289" s="45" t="s">
        <v>1170</v>
      </c>
      <c r="H289" s="46"/>
      <c r="I289" s="33"/>
      <c r="J289" s="33" t="s">
        <v>1171</v>
      </c>
      <c r="K289" s="34">
        <v>71.0</v>
      </c>
      <c r="L289" s="33"/>
      <c r="M289" s="6" t="s">
        <v>1172</v>
      </c>
      <c r="N289" s="35" t="s">
        <v>60</v>
      </c>
      <c r="O289" s="33" t="s">
        <v>2077</v>
      </c>
      <c r="P289" s="36" t="s">
        <v>62</v>
      </c>
      <c r="Q289" s="36" t="s">
        <v>167</v>
      </c>
      <c r="R289" s="36" t="s">
        <v>512</v>
      </c>
      <c r="S289" s="37">
        <v>17.0</v>
      </c>
      <c r="T289" s="37">
        <v>-89.916667</v>
      </c>
      <c r="U289" s="36" t="s">
        <v>148</v>
      </c>
      <c r="V289" s="6" t="s">
        <v>189</v>
      </c>
      <c r="W289" s="6" t="s">
        <v>96</v>
      </c>
      <c r="X289" s="1" t="s">
        <v>2076</v>
      </c>
      <c r="Y289" s="33" t="s">
        <v>70</v>
      </c>
      <c r="Z289" s="36"/>
      <c r="AA289" s="37">
        <v>2.0</v>
      </c>
      <c r="AB289" s="36"/>
      <c r="AC289" s="36"/>
      <c r="AD289" s="36"/>
      <c r="AE289" s="36"/>
      <c r="AF289" s="36"/>
      <c r="AG289" s="36"/>
      <c r="AH289" s="36" t="s">
        <v>1174</v>
      </c>
      <c r="AI289" s="37">
        <v>-8870.0</v>
      </c>
      <c r="AJ289" s="37">
        <v>1950.0</v>
      </c>
      <c r="AK289" s="6" t="s">
        <v>73</v>
      </c>
      <c r="AL289" s="6" t="s">
        <v>72</v>
      </c>
      <c r="AM289" s="6" t="s">
        <v>72</v>
      </c>
      <c r="AN289" s="6" t="s">
        <v>72</v>
      </c>
      <c r="AO289" s="33"/>
      <c r="AP289" s="6" t="s">
        <v>75</v>
      </c>
      <c r="AQ289" s="33"/>
      <c r="AR289" s="33"/>
      <c r="AS289" s="33"/>
      <c r="AT289" s="6" t="s">
        <v>76</v>
      </c>
      <c r="AU289" s="33"/>
      <c r="AV289" s="33"/>
      <c r="AW289" s="33"/>
      <c r="AX289" s="33"/>
      <c r="AY289" s="33"/>
      <c r="AZ289" s="6" t="s">
        <v>76</v>
      </c>
      <c r="BA289" s="33"/>
      <c r="BB289" s="33">
        <f>VLOOKUP(O289,Eco_DEM_Data!$D$1:$AC$643,20,False)</f>
        <v>1741</v>
      </c>
      <c r="BC289" s="33">
        <f>VLOOKUP($O289,Eco_DEM_Data!$D$1:$AC$643,20,False)</f>
        <v>1741</v>
      </c>
      <c r="BD289" s="33">
        <f>VLOOKUP($O289,Eco_DEM_Data!$D$1:$AC$643,25,False)</f>
        <v>702</v>
      </c>
      <c r="BE289" s="33">
        <f>VLOOKUP($O289,Eco_DEM_Data!$D$1:$AC$643,22,False)</f>
        <v>39</v>
      </c>
      <c r="BF289" s="33">
        <f>VLOOKUP($O289,Eco_DEM_Data!$D$1:$AC$643,23,False)</f>
        <v>141</v>
      </c>
      <c r="BG289" s="33">
        <f>VLOOKUP($O289,Eco_DEM_Data!$D$1:$AC$643,21,False)</f>
        <v>5771</v>
      </c>
      <c r="BH289" s="33">
        <f>VLOOKUP($O289,Eco_DEM_Data!$D$1:$AC$643,26,False)</f>
        <v>197</v>
      </c>
      <c r="BI289" s="33" t="str">
        <f>VLOOKUP($O289,Eco_DEM_Data!$D$1:$AC$643,9,False)</f>
        <v>Petén-Veracruz moist forests</v>
      </c>
      <c r="BJ289" s="33" t="str">
        <f>VLOOKUP($O289,Eco_DEM_Data!$D$1:$AC$643,11,False)</f>
        <v>Tropical &amp; Subtropical Moist Broadleaf Forests</v>
      </c>
    </row>
    <row r="290">
      <c r="A290" s="33" t="s">
        <v>1168</v>
      </c>
      <c r="B290" s="33" t="s">
        <v>2259</v>
      </c>
      <c r="C290" s="34">
        <v>10.0</v>
      </c>
      <c r="D290" s="33" t="s">
        <v>268</v>
      </c>
      <c r="E290" s="34">
        <v>2009.0</v>
      </c>
      <c r="F290" s="33" t="s">
        <v>1169</v>
      </c>
      <c r="G290" s="45" t="s">
        <v>1170</v>
      </c>
      <c r="H290" s="46"/>
      <c r="I290" s="33"/>
      <c r="J290" s="33" t="s">
        <v>1171</v>
      </c>
      <c r="K290" s="34">
        <v>71.0</v>
      </c>
      <c r="L290" s="33"/>
      <c r="M290" s="6" t="s">
        <v>1172</v>
      </c>
      <c r="N290" s="35" t="s">
        <v>60</v>
      </c>
      <c r="O290" s="33" t="s">
        <v>2078</v>
      </c>
      <c r="P290" s="36" t="s">
        <v>62</v>
      </c>
      <c r="Q290" s="36" t="s">
        <v>167</v>
      </c>
      <c r="R290" s="36" t="s">
        <v>512</v>
      </c>
      <c r="S290" s="37">
        <v>17.0</v>
      </c>
      <c r="T290" s="37">
        <v>-89.916667</v>
      </c>
      <c r="U290" s="36" t="s">
        <v>148</v>
      </c>
      <c r="V290" s="6" t="s">
        <v>189</v>
      </c>
      <c r="W290" s="6" t="s">
        <v>96</v>
      </c>
      <c r="X290" s="1" t="s">
        <v>2076</v>
      </c>
      <c r="Y290" s="33" t="s">
        <v>70</v>
      </c>
      <c r="Z290" s="36"/>
      <c r="AA290" s="37">
        <v>12.0</v>
      </c>
      <c r="AB290" s="36"/>
      <c r="AC290" s="36"/>
      <c r="AD290" s="36"/>
      <c r="AE290" s="36"/>
      <c r="AF290" s="36"/>
      <c r="AG290" s="36"/>
      <c r="AH290" s="36" t="s">
        <v>1177</v>
      </c>
      <c r="AI290" s="37">
        <v>-8965.0</v>
      </c>
      <c r="AJ290" s="37">
        <v>1950.0</v>
      </c>
      <c r="AK290" s="6" t="s">
        <v>73</v>
      </c>
      <c r="AL290" s="6" t="s">
        <v>72</v>
      </c>
      <c r="AM290" s="6" t="s">
        <v>72</v>
      </c>
      <c r="AN290" s="6" t="s">
        <v>72</v>
      </c>
      <c r="AO290" s="33"/>
      <c r="AP290" s="6" t="s">
        <v>75</v>
      </c>
      <c r="AQ290" s="33"/>
      <c r="AR290" s="33"/>
      <c r="AS290" s="33"/>
      <c r="AT290" s="6" t="s">
        <v>76</v>
      </c>
      <c r="AU290" s="33"/>
      <c r="AV290" s="33"/>
      <c r="AW290" s="33"/>
      <c r="AX290" s="33"/>
      <c r="AY290" s="33"/>
      <c r="AZ290" s="6" t="s">
        <v>76</v>
      </c>
      <c r="BA290" s="33"/>
      <c r="BB290" s="33">
        <f>VLOOKUP(O290,Eco_DEM_Data!$D$1:$AC$643,20,False)</f>
        <v>1741</v>
      </c>
      <c r="BC290" s="33">
        <f>VLOOKUP($O290,Eco_DEM_Data!$D$1:$AC$643,20,False)</f>
        <v>1741</v>
      </c>
      <c r="BD290" s="33">
        <f>VLOOKUP($O290,Eco_DEM_Data!$D$1:$AC$643,25,False)</f>
        <v>702</v>
      </c>
      <c r="BE290" s="33">
        <f>VLOOKUP($O290,Eco_DEM_Data!$D$1:$AC$643,22,False)</f>
        <v>39</v>
      </c>
      <c r="BF290" s="33">
        <f>VLOOKUP($O290,Eco_DEM_Data!$D$1:$AC$643,23,False)</f>
        <v>141</v>
      </c>
      <c r="BG290" s="33">
        <f>VLOOKUP($O290,Eco_DEM_Data!$D$1:$AC$643,21,False)</f>
        <v>5771</v>
      </c>
      <c r="BH290" s="33">
        <f>VLOOKUP($O290,Eco_DEM_Data!$D$1:$AC$643,26,False)</f>
        <v>197</v>
      </c>
      <c r="BI290" s="33" t="str">
        <f>VLOOKUP($O290,Eco_DEM_Data!$D$1:$AC$643,9,False)</f>
        <v>Petén-Veracruz moist forests</v>
      </c>
      <c r="BJ290" s="33" t="str">
        <f>VLOOKUP($O290,Eco_DEM_Data!$D$1:$AC$643,11,False)</f>
        <v>Tropical &amp; Subtropical Moist Broadleaf Forests</v>
      </c>
    </row>
    <row r="291">
      <c r="A291" s="33" t="s">
        <v>1168</v>
      </c>
      <c r="B291" s="33" t="s">
        <v>2259</v>
      </c>
      <c r="C291" s="34">
        <v>10.0</v>
      </c>
      <c r="D291" s="33" t="s">
        <v>268</v>
      </c>
      <c r="E291" s="34">
        <v>2009.0</v>
      </c>
      <c r="F291" s="33" t="s">
        <v>1169</v>
      </c>
      <c r="G291" s="45" t="s">
        <v>1170</v>
      </c>
      <c r="H291" s="46"/>
      <c r="I291" s="33"/>
      <c r="J291" s="33" t="s">
        <v>1171</v>
      </c>
      <c r="K291" s="34">
        <v>71.0</v>
      </c>
      <c r="L291" s="33"/>
      <c r="M291" s="6" t="s">
        <v>1172</v>
      </c>
      <c r="N291" s="35" t="s">
        <v>60</v>
      </c>
      <c r="O291" s="33" t="s">
        <v>1173</v>
      </c>
      <c r="P291" s="36" t="s">
        <v>62</v>
      </c>
      <c r="Q291" s="36" t="s">
        <v>167</v>
      </c>
      <c r="R291" s="36" t="s">
        <v>512</v>
      </c>
      <c r="S291" s="37">
        <v>17.0</v>
      </c>
      <c r="T291" s="37">
        <v>-89.916667</v>
      </c>
      <c r="U291" s="36" t="s">
        <v>148</v>
      </c>
      <c r="V291" s="6" t="s">
        <v>275</v>
      </c>
      <c r="W291" s="33" t="s">
        <v>72</v>
      </c>
      <c r="X291" s="1" t="s">
        <v>278</v>
      </c>
      <c r="Y291" s="33" t="s">
        <v>279</v>
      </c>
      <c r="Z291" s="36"/>
      <c r="AA291" s="37">
        <v>6.0</v>
      </c>
      <c r="AB291" s="36"/>
      <c r="AC291" s="36"/>
      <c r="AD291" s="36"/>
      <c r="AE291" s="36"/>
      <c r="AF291" s="36"/>
      <c r="AG291" s="36"/>
      <c r="AH291" s="36" t="s">
        <v>1174</v>
      </c>
      <c r="AI291" s="37">
        <v>-9080.0</v>
      </c>
      <c r="AJ291" s="37">
        <v>1950.0</v>
      </c>
      <c r="AK291" s="6" t="s">
        <v>73</v>
      </c>
      <c r="AL291" s="6" t="s">
        <v>72</v>
      </c>
      <c r="AM291" s="6" t="s">
        <v>72</v>
      </c>
      <c r="AN291" s="6" t="s">
        <v>72</v>
      </c>
      <c r="AO291" s="33"/>
      <c r="AP291" s="6" t="s">
        <v>75</v>
      </c>
      <c r="AQ291" s="33"/>
      <c r="AR291" s="33"/>
      <c r="AS291" s="33"/>
      <c r="AT291" s="6" t="s">
        <v>76</v>
      </c>
      <c r="AU291" s="33"/>
      <c r="AV291" s="33"/>
      <c r="AW291" s="33"/>
      <c r="AX291" s="33"/>
      <c r="AY291" s="33"/>
      <c r="AZ291" s="6" t="s">
        <v>76</v>
      </c>
      <c r="BA291" s="33"/>
      <c r="BB291" s="33">
        <f>VLOOKUP(O291,Eco_DEM_Data!$D$1:$AC$643,20,False)</f>
        <v>1741</v>
      </c>
      <c r="BC291" s="33">
        <f>VLOOKUP($O291,Eco_DEM_Data!$D$1:$AC$643,20,False)</f>
        <v>1741</v>
      </c>
      <c r="BD291" s="33">
        <f>VLOOKUP($O291,Eco_DEM_Data!$D$1:$AC$643,25,False)</f>
        <v>702</v>
      </c>
      <c r="BE291" s="33">
        <f>VLOOKUP($O291,Eco_DEM_Data!$D$1:$AC$643,22,False)</f>
        <v>39</v>
      </c>
      <c r="BF291" s="33">
        <f>VLOOKUP($O291,Eco_DEM_Data!$D$1:$AC$643,23,False)</f>
        <v>141</v>
      </c>
      <c r="BG291" s="33">
        <f>VLOOKUP($O291,Eco_DEM_Data!$D$1:$AC$643,21,False)</f>
        <v>5771</v>
      </c>
      <c r="BH291" s="33">
        <f>VLOOKUP($O291,Eco_DEM_Data!$D$1:$AC$643,26,False)</f>
        <v>197</v>
      </c>
      <c r="BI291" s="33" t="str">
        <f>VLOOKUP($O291,Eco_DEM_Data!$D$1:$AC$643,9,False)</f>
        <v>Petén-Veracruz moist forests</v>
      </c>
      <c r="BJ291" s="33" t="str">
        <f>VLOOKUP($O291,Eco_DEM_Data!$D$1:$AC$643,11,False)</f>
        <v>Tropical &amp; Subtropical Moist Broadleaf Forests</v>
      </c>
    </row>
    <row r="292">
      <c r="A292" s="33" t="s">
        <v>1168</v>
      </c>
      <c r="B292" s="33" t="s">
        <v>2259</v>
      </c>
      <c r="C292" s="34">
        <v>10.0</v>
      </c>
      <c r="D292" s="33" t="s">
        <v>268</v>
      </c>
      <c r="E292" s="34">
        <v>2009.0</v>
      </c>
      <c r="F292" s="33" t="s">
        <v>1169</v>
      </c>
      <c r="G292" s="45" t="s">
        <v>1170</v>
      </c>
      <c r="H292" s="46"/>
      <c r="I292" s="33"/>
      <c r="J292" s="33" t="s">
        <v>1171</v>
      </c>
      <c r="K292" s="34">
        <v>71.0</v>
      </c>
      <c r="L292" s="33"/>
      <c r="M292" s="6" t="s">
        <v>1172</v>
      </c>
      <c r="N292" s="35" t="s">
        <v>60</v>
      </c>
      <c r="O292" s="33" t="s">
        <v>1175</v>
      </c>
      <c r="P292" s="36" t="s">
        <v>62</v>
      </c>
      <c r="Q292" s="36" t="s">
        <v>167</v>
      </c>
      <c r="R292" s="36" t="s">
        <v>512</v>
      </c>
      <c r="S292" s="37">
        <v>17.0</v>
      </c>
      <c r="T292" s="37">
        <v>-89.916667</v>
      </c>
      <c r="U292" s="36" t="s">
        <v>148</v>
      </c>
      <c r="V292" s="6" t="s">
        <v>275</v>
      </c>
      <c r="W292" s="33" t="s">
        <v>72</v>
      </c>
      <c r="X292" s="1" t="s">
        <v>278</v>
      </c>
      <c r="Y292" s="33" t="s">
        <v>279</v>
      </c>
      <c r="Z292" s="36"/>
      <c r="AA292" s="37">
        <v>2.0</v>
      </c>
      <c r="AB292" s="36"/>
      <c r="AC292" s="36"/>
      <c r="AD292" s="36"/>
      <c r="AE292" s="36"/>
      <c r="AF292" s="36"/>
      <c r="AG292" s="36"/>
      <c r="AH292" s="36" t="s">
        <v>1174</v>
      </c>
      <c r="AI292" s="37">
        <v>-8870.0</v>
      </c>
      <c r="AJ292" s="37">
        <v>1950.0</v>
      </c>
      <c r="AK292" s="6" t="s">
        <v>73</v>
      </c>
      <c r="AL292" s="6" t="s">
        <v>72</v>
      </c>
      <c r="AM292" s="6" t="s">
        <v>72</v>
      </c>
      <c r="AN292" s="6" t="s">
        <v>72</v>
      </c>
      <c r="AO292" s="33"/>
      <c r="AP292" s="6" t="s">
        <v>75</v>
      </c>
      <c r="AQ292" s="33"/>
      <c r="AR292" s="33"/>
      <c r="AS292" s="33"/>
      <c r="AT292" s="6" t="s">
        <v>76</v>
      </c>
      <c r="AU292" s="33"/>
      <c r="AV292" s="33"/>
      <c r="AW292" s="33"/>
      <c r="AX292" s="33"/>
      <c r="AY292" s="33"/>
      <c r="AZ292" s="6" t="s">
        <v>76</v>
      </c>
      <c r="BA292" s="33"/>
      <c r="BB292" s="33">
        <f>VLOOKUP(O292,Eco_DEM_Data!$D$1:$AC$643,20,False)</f>
        <v>1741</v>
      </c>
      <c r="BC292" s="33">
        <f>VLOOKUP($O292,Eco_DEM_Data!$D$1:$AC$643,20,False)</f>
        <v>1741</v>
      </c>
      <c r="BD292" s="33">
        <f>VLOOKUP($O292,Eco_DEM_Data!$D$1:$AC$643,25,False)</f>
        <v>702</v>
      </c>
      <c r="BE292" s="33">
        <f>VLOOKUP($O292,Eco_DEM_Data!$D$1:$AC$643,22,False)</f>
        <v>39</v>
      </c>
      <c r="BF292" s="33">
        <f>VLOOKUP($O292,Eco_DEM_Data!$D$1:$AC$643,23,False)</f>
        <v>141</v>
      </c>
      <c r="BG292" s="33">
        <f>VLOOKUP($O292,Eco_DEM_Data!$D$1:$AC$643,21,False)</f>
        <v>5771</v>
      </c>
      <c r="BH292" s="33">
        <f>VLOOKUP($O292,Eco_DEM_Data!$D$1:$AC$643,26,False)</f>
        <v>197</v>
      </c>
      <c r="BI292" s="33" t="str">
        <f>VLOOKUP($O292,Eco_DEM_Data!$D$1:$AC$643,9,False)</f>
        <v>Petén-Veracruz moist forests</v>
      </c>
      <c r="BJ292" s="33" t="str">
        <f>VLOOKUP($O292,Eco_DEM_Data!$D$1:$AC$643,11,False)</f>
        <v>Tropical &amp; Subtropical Moist Broadleaf Forests</v>
      </c>
    </row>
    <row r="293">
      <c r="A293" s="33" t="s">
        <v>1168</v>
      </c>
      <c r="B293" s="33" t="s">
        <v>2259</v>
      </c>
      <c r="C293" s="34">
        <v>10.0</v>
      </c>
      <c r="D293" s="33" t="s">
        <v>268</v>
      </c>
      <c r="E293" s="34">
        <v>2009.0</v>
      </c>
      <c r="F293" s="33" t="s">
        <v>1169</v>
      </c>
      <c r="G293" s="45" t="s">
        <v>1170</v>
      </c>
      <c r="H293" s="46"/>
      <c r="I293" s="33"/>
      <c r="J293" s="33" t="s">
        <v>1171</v>
      </c>
      <c r="K293" s="34">
        <v>71.0</v>
      </c>
      <c r="L293" s="33"/>
      <c r="M293" s="6" t="s">
        <v>1172</v>
      </c>
      <c r="N293" s="35" t="s">
        <v>60</v>
      </c>
      <c r="O293" s="33" t="s">
        <v>1176</v>
      </c>
      <c r="P293" s="36" t="s">
        <v>62</v>
      </c>
      <c r="Q293" s="36" t="s">
        <v>167</v>
      </c>
      <c r="R293" s="36" t="s">
        <v>512</v>
      </c>
      <c r="S293" s="37">
        <v>17.0</v>
      </c>
      <c r="T293" s="37">
        <v>-89.916667</v>
      </c>
      <c r="U293" s="36" t="s">
        <v>148</v>
      </c>
      <c r="V293" s="6" t="s">
        <v>275</v>
      </c>
      <c r="W293" s="33" t="s">
        <v>72</v>
      </c>
      <c r="X293" s="1" t="s">
        <v>278</v>
      </c>
      <c r="Y293" s="33" t="s">
        <v>279</v>
      </c>
      <c r="Z293" s="36"/>
      <c r="AA293" s="37">
        <v>12.0</v>
      </c>
      <c r="AB293" s="36"/>
      <c r="AC293" s="36"/>
      <c r="AD293" s="36"/>
      <c r="AE293" s="36"/>
      <c r="AF293" s="36"/>
      <c r="AG293" s="36"/>
      <c r="AH293" s="36" t="s">
        <v>1177</v>
      </c>
      <c r="AI293" s="37">
        <v>-8965.0</v>
      </c>
      <c r="AJ293" s="37">
        <v>1950.0</v>
      </c>
      <c r="AK293" s="6" t="s">
        <v>73</v>
      </c>
      <c r="AL293" s="6" t="s">
        <v>72</v>
      </c>
      <c r="AM293" s="6" t="s">
        <v>72</v>
      </c>
      <c r="AN293" s="6" t="s">
        <v>72</v>
      </c>
      <c r="AO293" s="33"/>
      <c r="AP293" s="6" t="s">
        <v>75</v>
      </c>
      <c r="AQ293" s="33"/>
      <c r="AR293" s="33"/>
      <c r="AS293" s="33"/>
      <c r="AT293" s="6" t="s">
        <v>76</v>
      </c>
      <c r="AU293" s="33"/>
      <c r="AV293" s="33"/>
      <c r="AW293" s="33"/>
      <c r="AX293" s="33"/>
      <c r="AY293" s="33"/>
      <c r="AZ293" s="6" t="s">
        <v>76</v>
      </c>
      <c r="BA293" s="33"/>
      <c r="BB293" s="33">
        <f>VLOOKUP(O293,Eco_DEM_Data!$D$1:$AC$643,20,False)</f>
        <v>1741</v>
      </c>
      <c r="BC293" s="33">
        <f>VLOOKUP($O293,Eco_DEM_Data!$D$1:$AC$643,20,False)</f>
        <v>1741</v>
      </c>
      <c r="BD293" s="33">
        <f>VLOOKUP($O293,Eco_DEM_Data!$D$1:$AC$643,25,False)</f>
        <v>702</v>
      </c>
      <c r="BE293" s="33">
        <f>VLOOKUP($O293,Eco_DEM_Data!$D$1:$AC$643,22,False)</f>
        <v>39</v>
      </c>
      <c r="BF293" s="33">
        <f>VLOOKUP($O293,Eco_DEM_Data!$D$1:$AC$643,23,False)</f>
        <v>141</v>
      </c>
      <c r="BG293" s="33">
        <f>VLOOKUP($O293,Eco_DEM_Data!$D$1:$AC$643,21,False)</f>
        <v>5771</v>
      </c>
      <c r="BH293" s="33">
        <f>VLOOKUP($O293,Eco_DEM_Data!$D$1:$AC$643,26,False)</f>
        <v>197</v>
      </c>
      <c r="BI293" s="33" t="str">
        <f>VLOOKUP($O293,Eco_DEM_Data!$D$1:$AC$643,9,False)</f>
        <v>Petén-Veracruz moist forests</v>
      </c>
      <c r="BJ293" s="33" t="str">
        <f>VLOOKUP($O293,Eco_DEM_Data!$D$1:$AC$643,11,False)</f>
        <v>Tropical &amp; Subtropical Moist Broadleaf Forests</v>
      </c>
    </row>
    <row r="294">
      <c r="A294" s="33" t="s">
        <v>1168</v>
      </c>
      <c r="B294" s="33" t="s">
        <v>2259</v>
      </c>
      <c r="C294" s="34">
        <v>10.0</v>
      </c>
      <c r="D294" s="33" t="s">
        <v>268</v>
      </c>
      <c r="E294" s="34">
        <v>2009.0</v>
      </c>
      <c r="F294" s="33" t="s">
        <v>1169</v>
      </c>
      <c r="G294" s="45" t="s">
        <v>1170</v>
      </c>
      <c r="H294" s="46"/>
      <c r="I294" s="33"/>
      <c r="J294" s="33" t="s">
        <v>1171</v>
      </c>
      <c r="K294" s="34">
        <v>71.0</v>
      </c>
      <c r="L294" s="33"/>
      <c r="M294" s="6" t="s">
        <v>1172</v>
      </c>
      <c r="N294" s="35" t="s">
        <v>60</v>
      </c>
      <c r="O294" s="33" t="s">
        <v>2079</v>
      </c>
      <c r="P294" s="36" t="s">
        <v>62</v>
      </c>
      <c r="Q294" s="36" t="s">
        <v>167</v>
      </c>
      <c r="R294" s="36" t="s">
        <v>512</v>
      </c>
      <c r="S294" s="37">
        <v>17.0</v>
      </c>
      <c r="T294" s="37">
        <v>-89.916667</v>
      </c>
      <c r="U294" s="36" t="s">
        <v>148</v>
      </c>
      <c r="V294" s="6" t="s">
        <v>169</v>
      </c>
      <c r="W294" s="6" t="s">
        <v>96</v>
      </c>
      <c r="X294" s="3" t="s">
        <v>2080</v>
      </c>
      <c r="Y294" s="6" t="s">
        <v>2081</v>
      </c>
      <c r="Z294" s="36"/>
      <c r="AA294" s="37">
        <v>2.0</v>
      </c>
      <c r="AB294" s="36"/>
      <c r="AC294" s="36"/>
      <c r="AD294" s="36"/>
      <c r="AE294" s="36"/>
      <c r="AF294" s="36"/>
      <c r="AG294" s="36"/>
      <c r="AH294" s="36" t="s">
        <v>1174</v>
      </c>
      <c r="AI294" s="37">
        <v>-8870.0</v>
      </c>
      <c r="AJ294" s="37">
        <v>1950.0</v>
      </c>
      <c r="AK294" s="6" t="s">
        <v>73</v>
      </c>
      <c r="AL294" s="6" t="s">
        <v>72</v>
      </c>
      <c r="AM294" s="6" t="s">
        <v>72</v>
      </c>
      <c r="AN294" s="6" t="s">
        <v>72</v>
      </c>
      <c r="AO294" s="33"/>
      <c r="AP294" s="6" t="s">
        <v>75</v>
      </c>
      <c r="AQ294" s="33"/>
      <c r="AR294" s="33"/>
      <c r="AS294" s="33"/>
      <c r="AT294" s="6" t="s">
        <v>76</v>
      </c>
      <c r="AU294" s="33"/>
      <c r="AV294" s="33"/>
      <c r="AW294" s="33"/>
      <c r="AX294" s="33"/>
      <c r="AY294" s="33"/>
      <c r="AZ294" s="6" t="s">
        <v>76</v>
      </c>
      <c r="BA294" s="33"/>
      <c r="BB294" s="33">
        <f>VLOOKUP(O294,Eco_DEM_Data!$D$1:$AC$643,20,False)</f>
        <v>1741</v>
      </c>
      <c r="BC294" s="33">
        <f>VLOOKUP($O294,Eco_DEM_Data!$D$1:$AC$643,20,False)</f>
        <v>1741</v>
      </c>
      <c r="BD294" s="33">
        <f>VLOOKUP($O294,Eco_DEM_Data!$D$1:$AC$643,25,False)</f>
        <v>702</v>
      </c>
      <c r="BE294" s="33">
        <f>VLOOKUP($O294,Eco_DEM_Data!$D$1:$AC$643,22,False)</f>
        <v>39</v>
      </c>
      <c r="BF294" s="33">
        <f>VLOOKUP($O294,Eco_DEM_Data!$D$1:$AC$643,23,False)</f>
        <v>141</v>
      </c>
      <c r="BG294" s="33">
        <f>VLOOKUP($O294,Eco_DEM_Data!$D$1:$AC$643,21,False)</f>
        <v>5771</v>
      </c>
      <c r="BH294" s="33">
        <f>VLOOKUP($O294,Eco_DEM_Data!$D$1:$AC$643,26,False)</f>
        <v>197</v>
      </c>
      <c r="BI294" s="33" t="str">
        <f>VLOOKUP($O294,Eco_DEM_Data!$D$1:$AC$643,9,False)</f>
        <v>Petén-Veracruz moist forests</v>
      </c>
      <c r="BJ294" s="33" t="str">
        <f>VLOOKUP($O294,Eco_DEM_Data!$D$1:$AC$643,11,False)</f>
        <v>Tropical &amp; Subtropical Moist Broadleaf Forests</v>
      </c>
    </row>
    <row r="295">
      <c r="A295" s="33" t="s">
        <v>1183</v>
      </c>
      <c r="B295" s="33" t="s">
        <v>2259</v>
      </c>
      <c r="C295" s="34">
        <v>4.0</v>
      </c>
      <c r="D295" s="33" t="s">
        <v>53</v>
      </c>
      <c r="E295" s="34">
        <v>2009.0</v>
      </c>
      <c r="F295" s="33" t="s">
        <v>1184</v>
      </c>
      <c r="G295" s="33" t="s">
        <v>1185</v>
      </c>
      <c r="H295" s="33" t="s">
        <v>1186</v>
      </c>
      <c r="I295" s="33" t="s">
        <v>1187</v>
      </c>
      <c r="J295" s="33" t="s">
        <v>1188</v>
      </c>
      <c r="K295" s="34">
        <v>195.0</v>
      </c>
      <c r="L295" s="56">
        <v>43862.0</v>
      </c>
      <c r="M295" s="6" t="s">
        <v>1189</v>
      </c>
      <c r="N295" s="35" t="s">
        <v>60</v>
      </c>
      <c r="O295" s="33" t="s">
        <v>1439</v>
      </c>
      <c r="P295" s="36" t="s">
        <v>62</v>
      </c>
      <c r="Q295" s="36" t="s">
        <v>521</v>
      </c>
      <c r="R295" s="36" t="s">
        <v>1440</v>
      </c>
      <c r="S295" s="37">
        <v>12.045139</v>
      </c>
      <c r="T295" s="37">
        <v>-83.927561</v>
      </c>
      <c r="U295" s="36" t="s">
        <v>148</v>
      </c>
      <c r="V295" s="38" t="s">
        <v>66</v>
      </c>
      <c r="W295" s="41" t="s">
        <v>823</v>
      </c>
      <c r="X295" s="7" t="s">
        <v>1442</v>
      </c>
      <c r="Y295" s="41" t="s">
        <v>70</v>
      </c>
      <c r="Z295" s="43"/>
      <c r="AA295" s="42">
        <v>5.0</v>
      </c>
      <c r="AB295" s="43"/>
      <c r="AC295" s="43"/>
      <c r="AD295" s="43"/>
      <c r="AE295" s="43"/>
      <c r="AF295" s="43"/>
      <c r="AG295" s="43"/>
      <c r="AH295" s="43" t="s">
        <v>1192</v>
      </c>
      <c r="AI295" s="42">
        <v>-6070.0</v>
      </c>
      <c r="AJ295" s="42">
        <v>-870.0</v>
      </c>
      <c r="AK295" s="5" t="s">
        <v>153</v>
      </c>
      <c r="AL295" s="5" t="s">
        <v>72</v>
      </c>
      <c r="AM295" s="6" t="s">
        <v>400</v>
      </c>
      <c r="AN295" s="5" t="s">
        <v>72</v>
      </c>
      <c r="AO295" s="41"/>
      <c r="AP295" s="5" t="s">
        <v>75</v>
      </c>
      <c r="AQ295" s="41"/>
      <c r="AR295" s="41"/>
      <c r="AS295" s="41"/>
      <c r="AT295" s="5" t="s">
        <v>76</v>
      </c>
      <c r="AU295" s="33"/>
      <c r="AV295" s="33"/>
      <c r="AW295" s="33"/>
      <c r="AX295" s="33"/>
      <c r="AY295" s="33"/>
      <c r="AZ295" s="6" t="s">
        <v>76</v>
      </c>
      <c r="BA295" s="33"/>
      <c r="BB295" s="33">
        <f>VLOOKUP(O295,Eco_DEM_Data!$D$1:$AC$643,20,False)</f>
        <v>3416</v>
      </c>
      <c r="BC295" s="33">
        <f>VLOOKUP($O295,Eco_DEM_Data!$D$1:$AC$643,20,False)</f>
        <v>3416</v>
      </c>
      <c r="BD295" s="33">
        <f>VLOOKUP($O295,Eco_DEM_Data!$D$1:$AC$643,25,False)</f>
        <v>1440</v>
      </c>
      <c r="BE295" s="33">
        <f>VLOOKUP($O295,Eco_DEM_Data!$D$1:$AC$643,22,False)</f>
        <v>70</v>
      </c>
      <c r="BF295" s="33">
        <f>VLOOKUP($O295,Eco_DEM_Data!$D$1:$AC$643,23,False)</f>
        <v>259</v>
      </c>
      <c r="BG295" s="33">
        <f>VLOOKUP($O295,Eco_DEM_Data!$D$1:$AC$643,21,False)</f>
        <v>5332</v>
      </c>
      <c r="BH295" s="33">
        <f>VLOOKUP($O295,Eco_DEM_Data!$D$1:$AC$643,26,False)</f>
        <v>8</v>
      </c>
      <c r="BI295" s="33" t="str">
        <f>VLOOKUP($O295,Eco_DEM_Data!$D$1:$AC$643,9,False)</f>
        <v>Isthmian-Atlantic moist forests</v>
      </c>
      <c r="BJ295" s="33" t="str">
        <f>VLOOKUP($O295,Eco_DEM_Data!$D$1:$AC$643,11,False)</f>
        <v>Tropical &amp; Subtropical Moist Broadleaf Forests</v>
      </c>
    </row>
    <row r="296">
      <c r="A296" s="33" t="s">
        <v>1183</v>
      </c>
      <c r="B296" s="33" t="s">
        <v>2259</v>
      </c>
      <c r="C296" s="34">
        <v>4.0</v>
      </c>
      <c r="D296" s="33" t="s">
        <v>53</v>
      </c>
      <c r="E296" s="34">
        <v>2009.0</v>
      </c>
      <c r="F296" s="33" t="s">
        <v>1184</v>
      </c>
      <c r="G296" s="33" t="s">
        <v>1185</v>
      </c>
      <c r="H296" s="33" t="s">
        <v>1186</v>
      </c>
      <c r="I296" s="33" t="s">
        <v>1187</v>
      </c>
      <c r="J296" s="33" t="s">
        <v>1188</v>
      </c>
      <c r="K296" s="34">
        <v>195.0</v>
      </c>
      <c r="L296" s="56">
        <v>43862.0</v>
      </c>
      <c r="M296" s="6" t="s">
        <v>1189</v>
      </c>
      <c r="N296" s="35" t="s">
        <v>60</v>
      </c>
      <c r="O296" s="33" t="s">
        <v>1443</v>
      </c>
      <c r="P296" s="36" t="s">
        <v>62</v>
      </c>
      <c r="Q296" s="36" t="s">
        <v>521</v>
      </c>
      <c r="R296" s="36" t="s">
        <v>1191</v>
      </c>
      <c r="S296" s="37">
        <v>12.045139</v>
      </c>
      <c r="T296" s="37">
        <v>-83.927561</v>
      </c>
      <c r="U296" s="36" t="s">
        <v>148</v>
      </c>
      <c r="V296" s="6" t="s">
        <v>189</v>
      </c>
      <c r="W296" s="6" t="s">
        <v>1266</v>
      </c>
      <c r="X296" s="1" t="s">
        <v>1444</v>
      </c>
      <c r="Y296" s="33" t="s">
        <v>70</v>
      </c>
      <c r="Z296" s="36"/>
      <c r="AA296" s="37">
        <v>5.0</v>
      </c>
      <c r="AB296" s="36"/>
      <c r="AC296" s="36"/>
      <c r="AD296" s="36"/>
      <c r="AE296" s="36"/>
      <c r="AF296" s="36"/>
      <c r="AG296" s="36"/>
      <c r="AH296" s="36" t="s">
        <v>1192</v>
      </c>
      <c r="AI296" s="37">
        <v>-6070.0</v>
      </c>
      <c r="AJ296" s="37">
        <v>-870.0</v>
      </c>
      <c r="AK296" s="6" t="s">
        <v>153</v>
      </c>
      <c r="AL296" s="6" t="s">
        <v>72</v>
      </c>
      <c r="AM296" s="6" t="s">
        <v>400</v>
      </c>
      <c r="AN296" s="6" t="s">
        <v>72</v>
      </c>
      <c r="AO296" s="33"/>
      <c r="AP296" s="6" t="s">
        <v>75</v>
      </c>
      <c r="AQ296" s="33"/>
      <c r="AR296" s="33"/>
      <c r="AS296" s="33"/>
      <c r="AT296" s="6" t="s">
        <v>76</v>
      </c>
      <c r="AU296" s="33"/>
      <c r="AV296" s="33"/>
      <c r="AW296" s="33"/>
      <c r="AX296" s="33"/>
      <c r="AY296" s="33"/>
      <c r="AZ296" s="6" t="s">
        <v>76</v>
      </c>
      <c r="BA296" s="33"/>
      <c r="BB296" s="33">
        <f>VLOOKUP(O296,Eco_DEM_Data!$D$1:$AC$643,20,False)</f>
        <v>3416</v>
      </c>
      <c r="BC296" s="33">
        <f>VLOOKUP($O296,Eco_DEM_Data!$D$1:$AC$643,20,False)</f>
        <v>3416</v>
      </c>
      <c r="BD296" s="33">
        <f>VLOOKUP($O296,Eco_DEM_Data!$D$1:$AC$643,25,False)</f>
        <v>1440</v>
      </c>
      <c r="BE296" s="33">
        <f>VLOOKUP($O296,Eco_DEM_Data!$D$1:$AC$643,22,False)</f>
        <v>70</v>
      </c>
      <c r="BF296" s="33">
        <f>VLOOKUP($O296,Eco_DEM_Data!$D$1:$AC$643,23,False)</f>
        <v>259</v>
      </c>
      <c r="BG296" s="33">
        <f>VLOOKUP($O296,Eco_DEM_Data!$D$1:$AC$643,21,False)</f>
        <v>5332</v>
      </c>
      <c r="BH296" s="33">
        <f>VLOOKUP($O296,Eco_DEM_Data!$D$1:$AC$643,26,False)</f>
        <v>8</v>
      </c>
      <c r="BI296" s="33" t="str">
        <f>VLOOKUP($O296,Eco_DEM_Data!$D$1:$AC$643,9,False)</f>
        <v>Isthmian-Atlantic moist forests</v>
      </c>
      <c r="BJ296" s="33" t="str">
        <f>VLOOKUP($O296,Eco_DEM_Data!$D$1:$AC$643,11,False)</f>
        <v>Tropical &amp; Subtropical Moist Broadleaf Forests</v>
      </c>
    </row>
    <row r="297">
      <c r="A297" s="33" t="s">
        <v>1183</v>
      </c>
      <c r="B297" s="33" t="s">
        <v>2259</v>
      </c>
      <c r="C297" s="34">
        <v>4.0</v>
      </c>
      <c r="D297" s="33" t="s">
        <v>53</v>
      </c>
      <c r="E297" s="34">
        <v>2009.0</v>
      </c>
      <c r="F297" s="33" t="s">
        <v>1184</v>
      </c>
      <c r="G297" s="33" t="s">
        <v>1185</v>
      </c>
      <c r="H297" s="33" t="s">
        <v>1186</v>
      </c>
      <c r="I297" s="33" t="s">
        <v>1187</v>
      </c>
      <c r="J297" s="33" t="s">
        <v>1188</v>
      </c>
      <c r="K297" s="34">
        <v>195.0</v>
      </c>
      <c r="L297" s="56">
        <v>43862.0</v>
      </c>
      <c r="M297" s="6" t="s">
        <v>1189</v>
      </c>
      <c r="N297" s="35" t="s">
        <v>60</v>
      </c>
      <c r="O297" s="33" t="s">
        <v>1445</v>
      </c>
      <c r="P297" s="36" t="s">
        <v>62</v>
      </c>
      <c r="Q297" s="36" t="s">
        <v>521</v>
      </c>
      <c r="R297" s="36" t="s">
        <v>1440</v>
      </c>
      <c r="S297" s="37">
        <v>12.045139</v>
      </c>
      <c r="T297" s="37">
        <v>-83.927561</v>
      </c>
      <c r="U297" s="36" t="s">
        <v>148</v>
      </c>
      <c r="V297" s="38" t="s">
        <v>599</v>
      </c>
      <c r="W297" s="33" t="s">
        <v>156</v>
      </c>
      <c r="X297" s="3" t="s">
        <v>72</v>
      </c>
      <c r="Y297" s="6" t="s">
        <v>72</v>
      </c>
      <c r="Z297" s="36"/>
      <c r="AA297" s="37">
        <v>5.0</v>
      </c>
      <c r="AB297" s="36"/>
      <c r="AC297" s="36"/>
      <c r="AD297" s="36"/>
      <c r="AE297" s="36"/>
      <c r="AF297" s="36"/>
      <c r="AG297" s="36"/>
      <c r="AH297" s="36" t="s">
        <v>1192</v>
      </c>
      <c r="AI297" s="37">
        <v>-1880.0</v>
      </c>
      <c r="AJ297" s="37">
        <v>-870.0</v>
      </c>
      <c r="AK297" s="6" t="s">
        <v>153</v>
      </c>
      <c r="AL297" s="6" t="s">
        <v>72</v>
      </c>
      <c r="AM297" s="6" t="s">
        <v>400</v>
      </c>
      <c r="AN297" s="6" t="s">
        <v>72</v>
      </c>
      <c r="AO297" s="33"/>
      <c r="AP297" s="6" t="s">
        <v>75</v>
      </c>
      <c r="AQ297" s="33"/>
      <c r="AR297" s="33"/>
      <c r="AS297" s="33"/>
      <c r="AT297" s="6" t="s">
        <v>76</v>
      </c>
      <c r="AU297" s="33"/>
      <c r="AV297" s="33"/>
      <c r="AW297" s="33"/>
      <c r="AX297" s="33"/>
      <c r="AY297" s="33"/>
      <c r="AZ297" s="6" t="s">
        <v>76</v>
      </c>
      <c r="BA297" s="33"/>
      <c r="BB297" s="33">
        <f>VLOOKUP(O297,Eco_DEM_Data!$D$1:$AC$643,20,False)</f>
        <v>3416</v>
      </c>
      <c r="BC297" s="33">
        <f>VLOOKUP($O297,Eco_DEM_Data!$D$1:$AC$643,20,False)</f>
        <v>3416</v>
      </c>
      <c r="BD297" s="33">
        <f>VLOOKUP($O297,Eco_DEM_Data!$D$1:$AC$643,25,False)</f>
        <v>1440</v>
      </c>
      <c r="BE297" s="33">
        <f>VLOOKUP($O297,Eco_DEM_Data!$D$1:$AC$643,22,False)</f>
        <v>70</v>
      </c>
      <c r="BF297" s="33">
        <f>VLOOKUP($O297,Eco_DEM_Data!$D$1:$AC$643,23,False)</f>
        <v>259</v>
      </c>
      <c r="BG297" s="33">
        <f>VLOOKUP($O297,Eco_DEM_Data!$D$1:$AC$643,21,False)</f>
        <v>5332</v>
      </c>
      <c r="BH297" s="33">
        <f>VLOOKUP($O297,Eco_DEM_Data!$D$1:$AC$643,26,False)</f>
        <v>8</v>
      </c>
      <c r="BI297" s="33" t="str">
        <f>VLOOKUP($O297,Eco_DEM_Data!$D$1:$AC$643,9,False)</f>
        <v>Isthmian-Atlantic moist forests</v>
      </c>
      <c r="BJ297" s="33" t="str">
        <f>VLOOKUP($O297,Eco_DEM_Data!$D$1:$AC$643,11,False)</f>
        <v>Tropical &amp; Subtropical Moist Broadleaf Forests</v>
      </c>
    </row>
    <row r="298">
      <c r="A298" s="33" t="s">
        <v>1183</v>
      </c>
      <c r="B298" s="33" t="s">
        <v>2259</v>
      </c>
      <c r="C298" s="34">
        <v>4.0</v>
      </c>
      <c r="D298" s="33" t="s">
        <v>53</v>
      </c>
      <c r="E298" s="34">
        <v>2009.0</v>
      </c>
      <c r="F298" s="33" t="s">
        <v>1184</v>
      </c>
      <c r="G298" s="33" t="s">
        <v>1185</v>
      </c>
      <c r="H298" s="33" t="s">
        <v>1186</v>
      </c>
      <c r="I298" s="33" t="s">
        <v>1187</v>
      </c>
      <c r="J298" s="33" t="s">
        <v>1188</v>
      </c>
      <c r="K298" s="34">
        <v>195.0</v>
      </c>
      <c r="L298" s="56">
        <v>43862.0</v>
      </c>
      <c r="M298" s="6" t="s">
        <v>1189</v>
      </c>
      <c r="N298" s="35" t="s">
        <v>60</v>
      </c>
      <c r="O298" s="33" t="s">
        <v>1190</v>
      </c>
      <c r="P298" s="36" t="s">
        <v>62</v>
      </c>
      <c r="Q298" s="36" t="s">
        <v>521</v>
      </c>
      <c r="R298" s="36" t="s">
        <v>1191</v>
      </c>
      <c r="S298" s="37">
        <v>12.045139</v>
      </c>
      <c r="T298" s="37">
        <v>-83.927561</v>
      </c>
      <c r="U298" s="36" t="s">
        <v>148</v>
      </c>
      <c r="V298" s="38" t="s">
        <v>194</v>
      </c>
      <c r="W298" s="33" t="s">
        <v>72</v>
      </c>
      <c r="X298" s="1" t="s">
        <v>286</v>
      </c>
      <c r="Y298" s="33" t="s">
        <v>70</v>
      </c>
      <c r="Z298" s="36"/>
      <c r="AA298" s="37">
        <v>5.0</v>
      </c>
      <c r="AB298" s="36"/>
      <c r="AC298" s="36"/>
      <c r="AD298" s="36"/>
      <c r="AE298" s="36"/>
      <c r="AF298" s="36"/>
      <c r="AG298" s="36"/>
      <c r="AH298" s="36" t="s">
        <v>1192</v>
      </c>
      <c r="AI298" s="37">
        <v>-6070.0</v>
      </c>
      <c r="AJ298" s="37">
        <v>-870.0</v>
      </c>
      <c r="AK298" s="6" t="s">
        <v>153</v>
      </c>
      <c r="AL298" s="6" t="s">
        <v>72</v>
      </c>
      <c r="AM298" s="6" t="s">
        <v>400</v>
      </c>
      <c r="AN298" s="6" t="s">
        <v>72</v>
      </c>
      <c r="AO298" s="33"/>
      <c r="AP298" s="6" t="s">
        <v>75</v>
      </c>
      <c r="AQ298" s="33"/>
      <c r="AR298" s="33"/>
      <c r="AS298" s="33"/>
      <c r="AT298" s="6" t="s">
        <v>76</v>
      </c>
      <c r="AU298" s="33"/>
      <c r="AV298" s="33"/>
      <c r="AW298" s="33"/>
      <c r="AX298" s="33"/>
      <c r="AY298" s="33"/>
      <c r="AZ298" s="6" t="s">
        <v>76</v>
      </c>
      <c r="BA298" s="33"/>
      <c r="BB298" s="33">
        <f>VLOOKUP(O298,Eco_DEM_Data!$D$1:$AC$643,20,False)</f>
        <v>3416</v>
      </c>
      <c r="BC298" s="33">
        <f>VLOOKUP($O298,Eco_DEM_Data!$D$1:$AC$643,20,False)</f>
        <v>3416</v>
      </c>
      <c r="BD298" s="33">
        <f>VLOOKUP($O298,Eco_DEM_Data!$D$1:$AC$643,25,False)</f>
        <v>1440</v>
      </c>
      <c r="BE298" s="33">
        <f>VLOOKUP($O298,Eco_DEM_Data!$D$1:$AC$643,22,False)</f>
        <v>70</v>
      </c>
      <c r="BF298" s="33">
        <f>VLOOKUP($O298,Eco_DEM_Data!$D$1:$AC$643,23,False)</f>
        <v>259</v>
      </c>
      <c r="BG298" s="33">
        <f>VLOOKUP($O298,Eco_DEM_Data!$D$1:$AC$643,21,False)</f>
        <v>5332</v>
      </c>
      <c r="BH298" s="33">
        <f>VLOOKUP($O298,Eco_DEM_Data!$D$1:$AC$643,26,False)</f>
        <v>8</v>
      </c>
      <c r="BI298" s="33" t="str">
        <f>VLOOKUP($O298,Eco_DEM_Data!$D$1:$AC$643,9,False)</f>
        <v>Isthmian-Atlantic moist forests</v>
      </c>
      <c r="BJ298" s="33" t="str">
        <f>VLOOKUP($O298,Eco_DEM_Data!$D$1:$AC$643,11,False)</f>
        <v>Tropical &amp; Subtropical Moist Broadleaf Forests</v>
      </c>
    </row>
    <row r="299">
      <c r="A299" s="33" t="s">
        <v>2082</v>
      </c>
      <c r="B299" s="33" t="s">
        <v>2258</v>
      </c>
      <c r="C299" s="34">
        <v>3.0</v>
      </c>
      <c r="D299" s="33" t="s">
        <v>268</v>
      </c>
      <c r="E299" s="34">
        <v>2010.0</v>
      </c>
      <c r="F299" s="33" t="s">
        <v>2083</v>
      </c>
      <c r="G299" s="65" t="s">
        <v>2084</v>
      </c>
      <c r="H299" s="46"/>
      <c r="I299" s="33"/>
      <c r="J299" s="33" t="s">
        <v>2085</v>
      </c>
      <c r="K299" s="34">
        <v>160.0</v>
      </c>
      <c r="L299" s="33"/>
      <c r="M299" s="6" t="s">
        <v>2086</v>
      </c>
      <c r="N299" s="35" t="s">
        <v>60</v>
      </c>
      <c r="O299" s="33" t="s">
        <v>2087</v>
      </c>
      <c r="P299" s="36" t="s">
        <v>62</v>
      </c>
      <c r="Q299" s="36" t="s">
        <v>92</v>
      </c>
      <c r="R299" s="36" t="s">
        <v>2088</v>
      </c>
      <c r="S299" s="37">
        <v>19.296933</v>
      </c>
      <c r="T299" s="37">
        <v>-88.070139</v>
      </c>
      <c r="U299" s="36" t="s">
        <v>148</v>
      </c>
      <c r="V299" s="38" t="s">
        <v>66</v>
      </c>
      <c r="W299" s="6" t="s">
        <v>2270</v>
      </c>
      <c r="X299" s="1" t="s">
        <v>2090</v>
      </c>
      <c r="Y299" s="33" t="s">
        <v>70</v>
      </c>
      <c r="Z299" s="36"/>
      <c r="AA299" s="37">
        <v>2.0</v>
      </c>
      <c r="AB299" s="36"/>
      <c r="AC299" s="36"/>
      <c r="AD299" s="36"/>
      <c r="AE299" s="36"/>
      <c r="AF299" s="36"/>
      <c r="AG299" s="36"/>
      <c r="AH299" s="36" t="s">
        <v>1684</v>
      </c>
      <c r="AI299" s="37">
        <v>-5950.0</v>
      </c>
      <c r="AJ299" s="37">
        <v>1950.0</v>
      </c>
      <c r="AK299" s="6" t="s">
        <v>100</v>
      </c>
      <c r="AL299" s="6" t="s">
        <v>72</v>
      </c>
      <c r="AM299" s="33" t="s">
        <v>2091</v>
      </c>
      <c r="AN299" s="6" t="s">
        <v>72</v>
      </c>
      <c r="AO299" s="33"/>
      <c r="AP299" s="6" t="s">
        <v>576</v>
      </c>
      <c r="AQ299" s="33"/>
      <c r="AR299" s="33"/>
      <c r="AS299" s="33"/>
      <c r="AT299" s="6" t="s">
        <v>60</v>
      </c>
      <c r="AU299" s="33"/>
      <c r="AV299" s="33"/>
      <c r="AW299" s="33"/>
      <c r="AX299" s="33"/>
      <c r="AY299" s="33"/>
      <c r="AZ299" s="6" t="s">
        <v>76</v>
      </c>
      <c r="BA299" s="33"/>
      <c r="BB299" s="33">
        <f>VLOOKUP(O299,Eco_DEM_Data!$D$1:$AC$643,20,False)</f>
        <v>1305</v>
      </c>
      <c r="BC299" s="33">
        <f>VLOOKUP($O299,Eco_DEM_Data!$D$1:$AC$643,20,False)</f>
        <v>1305</v>
      </c>
      <c r="BD299" s="33">
        <f>VLOOKUP($O299,Eco_DEM_Data!$D$1:$AC$643,25,False)</f>
        <v>517</v>
      </c>
      <c r="BE299" s="33">
        <f>VLOOKUP($O299,Eco_DEM_Data!$D$1:$AC$643,22,False)</f>
        <v>37</v>
      </c>
      <c r="BF299" s="33">
        <f>VLOOKUP($O299,Eco_DEM_Data!$D$1:$AC$643,23,False)</f>
        <v>131</v>
      </c>
      <c r="BG299" s="33">
        <f>VLOOKUP($O299,Eco_DEM_Data!$D$1:$AC$643,21,False)</f>
        <v>5226</v>
      </c>
      <c r="BH299" s="33">
        <f>VLOOKUP($O299,Eco_DEM_Data!$D$1:$AC$643,26,False)</f>
        <v>14</v>
      </c>
      <c r="BI299" s="33" t="str">
        <f>VLOOKUP($O299,Eco_DEM_Data!$D$1:$AC$643,9,False)</f>
        <v>Yucatán moist forests</v>
      </c>
      <c r="BJ299" s="33" t="str">
        <f>VLOOKUP($O299,Eco_DEM_Data!$D$1:$AC$643,11,False)</f>
        <v>Tropical &amp; Subtropical Moist Broadleaf Forests</v>
      </c>
    </row>
    <row r="300">
      <c r="A300" s="33" t="s">
        <v>2082</v>
      </c>
      <c r="B300" s="33" t="s">
        <v>2258</v>
      </c>
      <c r="C300" s="34">
        <v>3.0</v>
      </c>
      <c r="D300" s="33" t="s">
        <v>268</v>
      </c>
      <c r="E300" s="34">
        <v>2010.0</v>
      </c>
      <c r="F300" s="33" t="s">
        <v>2083</v>
      </c>
      <c r="G300" s="45" t="s">
        <v>2084</v>
      </c>
      <c r="H300" s="46"/>
      <c r="I300" s="33"/>
      <c r="J300" s="33" t="s">
        <v>2085</v>
      </c>
      <c r="K300" s="34">
        <v>160.0</v>
      </c>
      <c r="L300" s="33"/>
      <c r="M300" s="6" t="s">
        <v>2086</v>
      </c>
      <c r="N300" s="35" t="s">
        <v>60</v>
      </c>
      <c r="O300" s="33" t="s">
        <v>2092</v>
      </c>
      <c r="P300" s="36" t="s">
        <v>62</v>
      </c>
      <c r="Q300" s="36" t="s">
        <v>92</v>
      </c>
      <c r="R300" s="36" t="s">
        <v>2088</v>
      </c>
      <c r="S300" s="37">
        <v>19.296933</v>
      </c>
      <c r="T300" s="37">
        <v>-88.070139</v>
      </c>
      <c r="U300" s="36" t="s">
        <v>148</v>
      </c>
      <c r="V300" s="6" t="s">
        <v>95</v>
      </c>
      <c r="W300" s="6" t="s">
        <v>96</v>
      </c>
      <c r="X300" s="1" t="s">
        <v>2093</v>
      </c>
      <c r="Y300" s="6" t="s">
        <v>70</v>
      </c>
      <c r="Z300" s="36"/>
      <c r="AA300" s="37">
        <v>2.0</v>
      </c>
      <c r="AB300" s="36"/>
      <c r="AC300" s="36"/>
      <c r="AD300" s="36"/>
      <c r="AE300" s="36"/>
      <c r="AF300" s="36"/>
      <c r="AG300" s="36"/>
      <c r="AH300" s="36" t="s">
        <v>1684</v>
      </c>
      <c r="AI300" s="37">
        <v>-2500.0</v>
      </c>
      <c r="AJ300" s="37">
        <v>1500.0</v>
      </c>
      <c r="AK300" s="6" t="s">
        <v>100</v>
      </c>
      <c r="AL300" s="6" t="s">
        <v>72</v>
      </c>
      <c r="AM300" s="33" t="s">
        <v>2091</v>
      </c>
      <c r="AN300" s="6" t="s">
        <v>72</v>
      </c>
      <c r="AO300" s="33"/>
      <c r="AP300" s="6" t="s">
        <v>102</v>
      </c>
      <c r="AQ300" s="33"/>
      <c r="AR300" s="33"/>
      <c r="AS300" s="33"/>
      <c r="AT300" s="6" t="s">
        <v>76</v>
      </c>
      <c r="AU300" s="33"/>
      <c r="AV300" s="33"/>
      <c r="AW300" s="33"/>
      <c r="AX300" s="33"/>
      <c r="AY300" s="33"/>
      <c r="AZ300" s="6" t="s">
        <v>76</v>
      </c>
      <c r="BA300" s="33"/>
      <c r="BB300" s="33">
        <f>VLOOKUP(O300,Eco_DEM_Data!$D$1:$AC$643,20,False)</f>
        <v>1305</v>
      </c>
      <c r="BC300" s="33">
        <f>VLOOKUP($O300,Eco_DEM_Data!$D$1:$AC$643,20,False)</f>
        <v>1305</v>
      </c>
      <c r="BD300" s="33">
        <f>VLOOKUP($O300,Eco_DEM_Data!$D$1:$AC$643,25,False)</f>
        <v>517</v>
      </c>
      <c r="BE300" s="33">
        <f>VLOOKUP($O300,Eco_DEM_Data!$D$1:$AC$643,22,False)</f>
        <v>37</v>
      </c>
      <c r="BF300" s="33">
        <f>VLOOKUP($O300,Eco_DEM_Data!$D$1:$AC$643,23,False)</f>
        <v>131</v>
      </c>
      <c r="BG300" s="33">
        <f>VLOOKUP($O300,Eco_DEM_Data!$D$1:$AC$643,21,False)</f>
        <v>5226</v>
      </c>
      <c r="BH300" s="33">
        <f>VLOOKUP($O300,Eco_DEM_Data!$D$1:$AC$643,26,False)</f>
        <v>14</v>
      </c>
      <c r="BI300" s="33" t="str">
        <f>VLOOKUP($O300,Eco_DEM_Data!$D$1:$AC$643,9,False)</f>
        <v>Yucatán moist forests</v>
      </c>
      <c r="BJ300" s="33" t="str">
        <f>VLOOKUP($O300,Eco_DEM_Data!$D$1:$AC$643,11,False)</f>
        <v>Tropical &amp; Subtropical Moist Broadleaf Forests</v>
      </c>
    </row>
    <row r="301">
      <c r="A301" s="33" t="s">
        <v>2082</v>
      </c>
      <c r="B301" s="33" t="s">
        <v>2258</v>
      </c>
      <c r="C301" s="34">
        <v>3.0</v>
      </c>
      <c r="D301" s="33" t="s">
        <v>268</v>
      </c>
      <c r="E301" s="34">
        <v>2010.0</v>
      </c>
      <c r="F301" s="33" t="s">
        <v>2083</v>
      </c>
      <c r="G301" s="45" t="s">
        <v>2084</v>
      </c>
      <c r="H301" s="46"/>
      <c r="I301" s="33"/>
      <c r="J301" s="33" t="s">
        <v>2085</v>
      </c>
      <c r="K301" s="34">
        <v>160.0</v>
      </c>
      <c r="L301" s="33"/>
      <c r="M301" s="6" t="s">
        <v>2086</v>
      </c>
      <c r="N301" s="35" t="s">
        <v>60</v>
      </c>
      <c r="O301" s="33" t="s">
        <v>2094</v>
      </c>
      <c r="P301" s="36" t="s">
        <v>62</v>
      </c>
      <c r="Q301" s="36" t="s">
        <v>92</v>
      </c>
      <c r="R301" s="36" t="s">
        <v>2088</v>
      </c>
      <c r="S301" s="37">
        <v>19.296933</v>
      </c>
      <c r="T301" s="37">
        <v>-88.070139</v>
      </c>
      <c r="U301" s="36" t="s">
        <v>148</v>
      </c>
      <c r="V301" s="6" t="s">
        <v>95</v>
      </c>
      <c r="W301" s="6" t="s">
        <v>96</v>
      </c>
      <c r="X301" s="1" t="s">
        <v>2093</v>
      </c>
      <c r="Y301" s="6" t="s">
        <v>70</v>
      </c>
      <c r="Z301" s="36"/>
      <c r="AA301" s="37">
        <v>2.0</v>
      </c>
      <c r="AB301" s="36"/>
      <c r="AC301" s="36"/>
      <c r="AD301" s="36"/>
      <c r="AE301" s="36"/>
      <c r="AF301" s="36"/>
      <c r="AG301" s="36"/>
      <c r="AH301" s="36" t="s">
        <v>1684</v>
      </c>
      <c r="AI301" s="37">
        <v>-1300.0</v>
      </c>
      <c r="AJ301" s="37">
        <v>1100.0</v>
      </c>
      <c r="AK301" s="6" t="s">
        <v>100</v>
      </c>
      <c r="AL301" s="6" t="s">
        <v>72</v>
      </c>
      <c r="AM301" s="33" t="s">
        <v>2091</v>
      </c>
      <c r="AN301" s="6" t="s">
        <v>72</v>
      </c>
      <c r="AO301" s="33"/>
      <c r="AP301" s="6" t="s">
        <v>102</v>
      </c>
      <c r="AQ301" s="33"/>
      <c r="AR301" s="33"/>
      <c r="AS301" s="33"/>
      <c r="AT301" s="6" t="s">
        <v>76</v>
      </c>
      <c r="AU301" s="33"/>
      <c r="AV301" s="33"/>
      <c r="AW301" s="33"/>
      <c r="AX301" s="33"/>
      <c r="AY301" s="33"/>
      <c r="AZ301" s="6" t="s">
        <v>76</v>
      </c>
      <c r="BA301" s="33"/>
      <c r="BB301" s="33">
        <f>VLOOKUP(O301,Eco_DEM_Data!$D$1:$AC$643,20,False)</f>
        <v>1305</v>
      </c>
      <c r="BC301" s="33">
        <f>VLOOKUP($O301,Eco_DEM_Data!$D$1:$AC$643,20,False)</f>
        <v>1305</v>
      </c>
      <c r="BD301" s="33">
        <f>VLOOKUP($O301,Eco_DEM_Data!$D$1:$AC$643,25,False)</f>
        <v>517</v>
      </c>
      <c r="BE301" s="33">
        <f>VLOOKUP($O301,Eco_DEM_Data!$D$1:$AC$643,22,False)</f>
        <v>37</v>
      </c>
      <c r="BF301" s="33">
        <f>VLOOKUP($O301,Eco_DEM_Data!$D$1:$AC$643,23,False)</f>
        <v>131</v>
      </c>
      <c r="BG301" s="33">
        <f>VLOOKUP($O301,Eco_DEM_Data!$D$1:$AC$643,21,False)</f>
        <v>5226</v>
      </c>
      <c r="BH301" s="33">
        <f>VLOOKUP($O301,Eco_DEM_Data!$D$1:$AC$643,26,False)</f>
        <v>14</v>
      </c>
      <c r="BI301" s="33" t="str">
        <f>VLOOKUP($O301,Eco_DEM_Data!$D$1:$AC$643,9,False)</f>
        <v>Yucatán moist forests</v>
      </c>
      <c r="BJ301" s="33" t="str">
        <f>VLOOKUP($O301,Eco_DEM_Data!$D$1:$AC$643,11,False)</f>
        <v>Tropical &amp; Subtropical Moist Broadleaf Forests</v>
      </c>
    </row>
    <row r="302">
      <c r="A302" s="33" t="s">
        <v>1402</v>
      </c>
      <c r="B302" s="33" t="s">
        <v>2259</v>
      </c>
      <c r="C302" s="34">
        <v>1.0</v>
      </c>
      <c r="D302" s="33" t="s">
        <v>53</v>
      </c>
      <c r="E302" s="34">
        <v>2010.0</v>
      </c>
      <c r="F302" s="33" t="s">
        <v>1403</v>
      </c>
      <c r="G302" s="33" t="s">
        <v>1404</v>
      </c>
      <c r="H302" s="33" t="s">
        <v>1395</v>
      </c>
      <c r="I302" s="50" t="s">
        <v>1405</v>
      </c>
      <c r="J302" s="33" t="s">
        <v>1406</v>
      </c>
      <c r="K302" s="34">
        <v>107.0</v>
      </c>
      <c r="L302" s="34">
        <v>3.0</v>
      </c>
      <c r="M302" s="6" t="s">
        <v>1407</v>
      </c>
      <c r="N302" s="35" t="s">
        <v>76</v>
      </c>
      <c r="O302" s="33" t="s">
        <v>1402</v>
      </c>
      <c r="P302" s="36" t="s">
        <v>62</v>
      </c>
      <c r="Q302" s="36" t="s">
        <v>63</v>
      </c>
      <c r="R302" s="36" t="s">
        <v>1234</v>
      </c>
      <c r="S302" s="37">
        <v>14.870485</v>
      </c>
      <c r="T302" s="37">
        <v>-89.117181</v>
      </c>
      <c r="U302" s="36" t="s">
        <v>148</v>
      </c>
      <c r="V302" s="38" t="s">
        <v>66</v>
      </c>
      <c r="W302" s="41" t="s">
        <v>1287</v>
      </c>
      <c r="X302" s="7" t="s">
        <v>69</v>
      </c>
      <c r="Y302" s="41" t="s">
        <v>70</v>
      </c>
      <c r="Z302" s="43"/>
      <c r="AA302" s="42">
        <v>6.0</v>
      </c>
      <c r="AB302" s="43"/>
      <c r="AC302" s="43"/>
      <c r="AD302" s="43"/>
      <c r="AE302" s="43"/>
      <c r="AF302" s="43"/>
      <c r="AG302" s="42">
        <v>1.0</v>
      </c>
      <c r="AH302" s="43" t="s">
        <v>1408</v>
      </c>
      <c r="AI302" s="42">
        <v>-720.0</v>
      </c>
      <c r="AJ302" s="42">
        <v>2001.0</v>
      </c>
      <c r="AK302" s="5" t="s">
        <v>73</v>
      </c>
      <c r="AL302" s="5" t="s">
        <v>60</v>
      </c>
      <c r="AM302" s="5" t="s">
        <v>72</v>
      </c>
      <c r="AN302" s="5" t="s">
        <v>76</v>
      </c>
      <c r="AO302" s="41"/>
      <c r="AP302" s="5" t="s">
        <v>75</v>
      </c>
      <c r="AQ302" s="5" t="s">
        <v>101</v>
      </c>
      <c r="AR302" s="5" t="s">
        <v>101</v>
      </c>
      <c r="AS302" s="5" t="s">
        <v>101</v>
      </c>
      <c r="AT302" s="5" t="s">
        <v>76</v>
      </c>
      <c r="AU302" s="33"/>
      <c r="AV302" s="33"/>
      <c r="AW302" s="33"/>
      <c r="AX302" s="33"/>
      <c r="AY302" s="6" t="s">
        <v>76</v>
      </c>
      <c r="AZ302" s="6" t="s">
        <v>60</v>
      </c>
      <c r="BA302" s="33"/>
      <c r="BB302" s="33">
        <f>VLOOKUP(O302,Eco_DEM_Data!$D$1:$AC$643,20,False)</f>
        <v>1510</v>
      </c>
      <c r="BC302" s="33">
        <f>VLOOKUP($O302,Eco_DEM_Data!$D$1:$AC$643,20,False)</f>
        <v>1510</v>
      </c>
      <c r="BD302" s="33">
        <f>VLOOKUP($O302,Eco_DEM_Data!$D$1:$AC$643,25,False)</f>
        <v>719</v>
      </c>
      <c r="BE302" s="33">
        <f>VLOOKUP($O302,Eco_DEM_Data!$D$1:$AC$643,22,False)</f>
        <v>20</v>
      </c>
      <c r="BF302" s="33">
        <f>VLOOKUP($O302,Eco_DEM_Data!$D$1:$AC$643,23,False)</f>
        <v>74</v>
      </c>
      <c r="BG302" s="33">
        <f>VLOOKUP($O302,Eco_DEM_Data!$D$1:$AC$643,21,False)</f>
        <v>7799</v>
      </c>
      <c r="BH302" s="33">
        <f>VLOOKUP($O302,Eco_DEM_Data!$D$1:$AC$643,26,False)</f>
        <v>784</v>
      </c>
      <c r="BI302" s="33" t="str">
        <f>VLOOKUP($O302,Eco_DEM_Data!$D$1:$AC$643,9,False)</f>
        <v>Central American pine-oak forests</v>
      </c>
      <c r="BJ302" s="33" t="str">
        <f>VLOOKUP($O302,Eco_DEM_Data!$D$1:$AC$643,11,False)</f>
        <v>Tropical &amp; Subtropical Coniferous Forests</v>
      </c>
    </row>
    <row r="303">
      <c r="A303" s="33" t="s">
        <v>248</v>
      </c>
      <c r="B303" s="33" t="s">
        <v>2259</v>
      </c>
      <c r="C303" s="34">
        <v>1.0</v>
      </c>
      <c r="D303" s="33" t="s">
        <v>53</v>
      </c>
      <c r="E303" s="34">
        <v>2010.0</v>
      </c>
      <c r="F303" s="33" t="s">
        <v>249</v>
      </c>
      <c r="G303" s="33" t="s">
        <v>250</v>
      </c>
      <c r="H303" s="33" t="s">
        <v>251</v>
      </c>
      <c r="I303" s="33" t="s">
        <v>252</v>
      </c>
      <c r="J303" s="33" t="s">
        <v>253</v>
      </c>
      <c r="K303" s="34">
        <v>298.0</v>
      </c>
      <c r="L303" s="59">
        <v>43862.0</v>
      </c>
      <c r="M303" s="6" t="s">
        <v>254</v>
      </c>
      <c r="N303" s="35" t="s">
        <v>76</v>
      </c>
      <c r="O303" s="33" t="s">
        <v>248</v>
      </c>
      <c r="P303" s="36" t="s">
        <v>62</v>
      </c>
      <c r="Q303" s="36" t="s">
        <v>92</v>
      </c>
      <c r="R303" s="36" t="s">
        <v>255</v>
      </c>
      <c r="S303" s="37">
        <v>20.75</v>
      </c>
      <c r="T303" s="37">
        <v>-89.466667</v>
      </c>
      <c r="U303" s="36" t="s">
        <v>94</v>
      </c>
      <c r="V303" s="6" t="s">
        <v>95</v>
      </c>
      <c r="W303" s="6" t="s">
        <v>96</v>
      </c>
      <c r="X303" s="3" t="s">
        <v>72</v>
      </c>
      <c r="Y303" s="33" t="s">
        <v>256</v>
      </c>
      <c r="Z303" s="36"/>
      <c r="AA303" s="37"/>
      <c r="AB303" s="36"/>
      <c r="AC303" s="36"/>
      <c r="AD303" s="36"/>
      <c r="AE303" s="37">
        <v>12.0</v>
      </c>
      <c r="AF303" s="36"/>
      <c r="AG303" s="36"/>
      <c r="AH303" s="36"/>
      <c r="AI303" s="37">
        <v>500.0</v>
      </c>
      <c r="AJ303" s="37">
        <v>2004.0</v>
      </c>
      <c r="AK303" s="6" t="s">
        <v>153</v>
      </c>
      <c r="AL303" s="6" t="s">
        <v>60</v>
      </c>
      <c r="AM303" s="5" t="s">
        <v>72</v>
      </c>
      <c r="AN303" s="6" t="s">
        <v>101</v>
      </c>
      <c r="AO303" s="33"/>
      <c r="AP303" s="6" t="s">
        <v>102</v>
      </c>
      <c r="AQ303" s="33"/>
      <c r="AR303" s="33"/>
      <c r="AS303" s="33"/>
      <c r="AT303" s="6" t="s">
        <v>76</v>
      </c>
      <c r="AU303" s="33"/>
      <c r="AV303" s="33"/>
      <c r="AW303" s="33"/>
      <c r="AX303" s="33"/>
      <c r="AY303" s="33"/>
      <c r="AZ303" s="6" t="s">
        <v>60</v>
      </c>
      <c r="BA303" s="33"/>
      <c r="BB303" s="33">
        <f>VLOOKUP(O303,Eco_DEM_Data!$D$1:$AC$643,20,False)</f>
        <v>1029</v>
      </c>
      <c r="BC303" s="33">
        <f>VLOOKUP($O303,Eco_DEM_Data!$D$1:$AC$643,20,False)</f>
        <v>1029</v>
      </c>
      <c r="BD303" s="33">
        <f>VLOOKUP($O303,Eco_DEM_Data!$D$1:$AC$643,25,False)</f>
        <v>506</v>
      </c>
      <c r="BE303" s="33">
        <f>VLOOKUP($O303,Eco_DEM_Data!$D$1:$AC$643,22,False)</f>
        <v>23</v>
      </c>
      <c r="BF303" s="33">
        <f>VLOOKUP($O303,Eco_DEM_Data!$D$1:$AC$643,23,False)</f>
        <v>78</v>
      </c>
      <c r="BG303" s="33">
        <f>VLOOKUP($O303,Eco_DEM_Data!$D$1:$AC$643,21,False)</f>
        <v>7200</v>
      </c>
      <c r="BH303" s="33">
        <f>VLOOKUP($O303,Eco_DEM_Data!$D$1:$AC$643,26,False)</f>
        <v>15</v>
      </c>
      <c r="BI303" s="33" t="str">
        <f>VLOOKUP($O303,Eco_DEM_Data!$D$1:$AC$643,9,False)</f>
        <v>Yucatán dry forests</v>
      </c>
      <c r="BJ303" s="33" t="str">
        <f>VLOOKUP($O303,Eco_DEM_Data!$D$1:$AC$643,11,False)</f>
        <v>Tropical &amp; Subtropical Dry Broadleaf Forests</v>
      </c>
    </row>
    <row r="304">
      <c r="A304" s="33" t="s">
        <v>505</v>
      </c>
      <c r="B304" s="33" t="s">
        <v>2259</v>
      </c>
      <c r="C304" s="34">
        <v>5.0</v>
      </c>
      <c r="D304" s="33" t="s">
        <v>53</v>
      </c>
      <c r="E304" s="34">
        <v>2010.0</v>
      </c>
      <c r="F304" s="33" t="s">
        <v>506</v>
      </c>
      <c r="G304" s="33" t="s">
        <v>507</v>
      </c>
      <c r="H304" s="33" t="s">
        <v>488</v>
      </c>
      <c r="I304" s="33" t="s">
        <v>508</v>
      </c>
      <c r="J304" s="33" t="s">
        <v>509</v>
      </c>
      <c r="K304" s="34">
        <v>38.0</v>
      </c>
      <c r="L304" s="34">
        <v>6.0</v>
      </c>
      <c r="M304" s="6" t="s">
        <v>510</v>
      </c>
      <c r="N304" s="35" t="s">
        <v>60</v>
      </c>
      <c r="O304" s="33" t="s">
        <v>1198</v>
      </c>
      <c r="P304" s="36" t="s">
        <v>62</v>
      </c>
      <c r="Q304" s="36" t="s">
        <v>167</v>
      </c>
      <c r="R304" s="36" t="s">
        <v>512</v>
      </c>
      <c r="S304" s="37">
        <v>16.916667</v>
      </c>
      <c r="T304" s="37">
        <v>-89.833333</v>
      </c>
      <c r="U304" s="36" t="s">
        <v>148</v>
      </c>
      <c r="V304" s="6" t="s">
        <v>189</v>
      </c>
      <c r="W304" s="33" t="s">
        <v>72</v>
      </c>
      <c r="X304" s="1" t="s">
        <v>191</v>
      </c>
      <c r="Y304" s="33" t="s">
        <v>70</v>
      </c>
      <c r="Z304" s="36"/>
      <c r="AA304" s="37">
        <v>4.0</v>
      </c>
      <c r="AB304" s="36"/>
      <c r="AC304" s="36"/>
      <c r="AD304" s="36"/>
      <c r="AE304" s="36"/>
      <c r="AF304" s="36"/>
      <c r="AG304" s="36"/>
      <c r="AH304" s="36" t="s">
        <v>514</v>
      </c>
      <c r="AI304" s="37">
        <v>880.0</v>
      </c>
      <c r="AJ304" s="37">
        <v>1999.0</v>
      </c>
      <c r="AK304" s="6" t="s">
        <v>100</v>
      </c>
      <c r="AL304" s="6" t="s">
        <v>72</v>
      </c>
      <c r="AM304" s="6" t="s">
        <v>72</v>
      </c>
      <c r="AN304" s="6" t="s">
        <v>76</v>
      </c>
      <c r="AO304" s="33"/>
      <c r="AP304" s="6" t="s">
        <v>75</v>
      </c>
      <c r="AQ304" s="33"/>
      <c r="AR304" s="33"/>
      <c r="AS304" s="33"/>
      <c r="AT304" s="6" t="s">
        <v>76</v>
      </c>
      <c r="AU304" s="33"/>
      <c r="AV304" s="33"/>
      <c r="AW304" s="33"/>
      <c r="AX304" s="33"/>
      <c r="AY304" s="33"/>
      <c r="AZ304" s="6" t="s">
        <v>76</v>
      </c>
      <c r="BA304" s="33"/>
      <c r="BB304" s="33">
        <f>VLOOKUP(O304,Eco_DEM_Data!$D$1:$AC$643,20,False)</f>
        <v>1738</v>
      </c>
      <c r="BC304" s="33">
        <f>VLOOKUP($O304,Eco_DEM_Data!$D$1:$AC$643,20,False)</f>
        <v>1738</v>
      </c>
      <c r="BD304" s="33">
        <f>VLOOKUP($O304,Eco_DEM_Data!$D$1:$AC$643,25,False)</f>
        <v>690</v>
      </c>
      <c r="BE304" s="33">
        <f>VLOOKUP($O304,Eco_DEM_Data!$D$1:$AC$643,22,False)</f>
        <v>36</v>
      </c>
      <c r="BF304" s="33">
        <f>VLOOKUP($O304,Eco_DEM_Data!$D$1:$AC$643,23,False)</f>
        <v>144</v>
      </c>
      <c r="BG304" s="33">
        <f>VLOOKUP($O304,Eco_DEM_Data!$D$1:$AC$643,21,False)</f>
        <v>5677</v>
      </c>
      <c r="BH304" s="33">
        <f>VLOOKUP($O304,Eco_DEM_Data!$D$1:$AC$643,26,False)</f>
        <v>131</v>
      </c>
      <c r="BI304" s="33" t="str">
        <f>VLOOKUP($O304,Eco_DEM_Data!$D$1:$AC$643,9,False)</f>
        <v>Petén-Veracruz moist forests</v>
      </c>
      <c r="BJ304" s="33" t="str">
        <f>VLOOKUP($O304,Eco_DEM_Data!$D$1:$AC$643,11,False)</f>
        <v>Tropical &amp; Subtropical Moist Broadleaf Forests</v>
      </c>
    </row>
    <row r="305">
      <c r="A305" s="33" t="s">
        <v>505</v>
      </c>
      <c r="B305" s="33" t="s">
        <v>2259</v>
      </c>
      <c r="C305" s="34">
        <v>5.0</v>
      </c>
      <c r="D305" s="33" t="s">
        <v>53</v>
      </c>
      <c r="E305" s="34">
        <v>2010.0</v>
      </c>
      <c r="F305" s="33" t="s">
        <v>506</v>
      </c>
      <c r="G305" s="33" t="s">
        <v>507</v>
      </c>
      <c r="H305" s="33" t="s">
        <v>488</v>
      </c>
      <c r="I305" s="33" t="s">
        <v>508</v>
      </c>
      <c r="J305" s="33" t="s">
        <v>509</v>
      </c>
      <c r="K305" s="34">
        <v>38.0</v>
      </c>
      <c r="L305" s="34">
        <v>6.0</v>
      </c>
      <c r="M305" s="6" t="s">
        <v>510</v>
      </c>
      <c r="N305" s="35" t="s">
        <v>60</v>
      </c>
      <c r="O305" s="33" t="s">
        <v>511</v>
      </c>
      <c r="P305" s="36" t="s">
        <v>62</v>
      </c>
      <c r="Q305" s="36" t="s">
        <v>167</v>
      </c>
      <c r="R305" s="36" t="s">
        <v>512</v>
      </c>
      <c r="S305" s="37">
        <v>16.916667</v>
      </c>
      <c r="T305" s="37">
        <v>-89.833333</v>
      </c>
      <c r="U305" s="36" t="s">
        <v>148</v>
      </c>
      <c r="V305" s="38" t="s">
        <v>66</v>
      </c>
      <c r="W305" s="5" t="s">
        <v>1455</v>
      </c>
      <c r="X305" s="10" t="s">
        <v>72</v>
      </c>
      <c r="Y305" s="41" t="s">
        <v>70</v>
      </c>
      <c r="Z305" s="43"/>
      <c r="AA305" s="42">
        <v>4.0</v>
      </c>
      <c r="AB305" s="43"/>
      <c r="AC305" s="43"/>
      <c r="AD305" s="43"/>
      <c r="AE305" s="43"/>
      <c r="AF305" s="43"/>
      <c r="AG305" s="43"/>
      <c r="AH305" s="43" t="s">
        <v>514</v>
      </c>
      <c r="AI305" s="42">
        <v>880.0</v>
      </c>
      <c r="AJ305" s="42">
        <v>1999.0</v>
      </c>
      <c r="AK305" s="5" t="s">
        <v>100</v>
      </c>
      <c r="AL305" s="5" t="s">
        <v>72</v>
      </c>
      <c r="AM305" s="5" t="s">
        <v>72</v>
      </c>
      <c r="AN305" s="5" t="s">
        <v>76</v>
      </c>
      <c r="AO305" s="41"/>
      <c r="AP305" s="5" t="s">
        <v>75</v>
      </c>
      <c r="AQ305" s="41"/>
      <c r="AR305" s="41"/>
      <c r="AS305" s="41"/>
      <c r="AT305" s="5" t="s">
        <v>76</v>
      </c>
      <c r="AU305" s="33"/>
      <c r="AV305" s="33"/>
      <c r="AW305" s="33"/>
      <c r="AX305" s="33"/>
      <c r="AY305" s="33"/>
      <c r="AZ305" s="6" t="s">
        <v>76</v>
      </c>
      <c r="BA305" s="33"/>
      <c r="BB305" s="33">
        <f>VLOOKUP(O305,Eco_DEM_Data!$D$1:$AC$643,20,False)</f>
        <v>1738</v>
      </c>
      <c r="BC305" s="33">
        <f>VLOOKUP($O305,Eco_DEM_Data!$D$1:$AC$643,20,False)</f>
        <v>1738</v>
      </c>
      <c r="BD305" s="33">
        <f>VLOOKUP($O305,Eco_DEM_Data!$D$1:$AC$643,25,False)</f>
        <v>690</v>
      </c>
      <c r="BE305" s="33">
        <f>VLOOKUP($O305,Eco_DEM_Data!$D$1:$AC$643,22,False)</f>
        <v>36</v>
      </c>
      <c r="BF305" s="33">
        <f>VLOOKUP($O305,Eco_DEM_Data!$D$1:$AC$643,23,False)</f>
        <v>144</v>
      </c>
      <c r="BG305" s="33">
        <f>VLOOKUP($O305,Eco_DEM_Data!$D$1:$AC$643,21,False)</f>
        <v>5677</v>
      </c>
      <c r="BH305" s="33">
        <f>VLOOKUP($O305,Eco_DEM_Data!$D$1:$AC$643,26,False)</f>
        <v>131</v>
      </c>
      <c r="BI305" s="33" t="str">
        <f>VLOOKUP($O305,Eco_DEM_Data!$D$1:$AC$643,9,False)</f>
        <v>Petén-Veracruz moist forests</v>
      </c>
      <c r="BJ305" s="33" t="str">
        <f>VLOOKUP($O305,Eco_DEM_Data!$D$1:$AC$643,11,False)</f>
        <v>Tropical &amp; Subtropical Moist Broadleaf Forests</v>
      </c>
    </row>
    <row r="306">
      <c r="A306" s="33" t="s">
        <v>505</v>
      </c>
      <c r="B306" s="33" t="s">
        <v>2259</v>
      </c>
      <c r="C306" s="34">
        <v>5.0</v>
      </c>
      <c r="D306" s="33" t="s">
        <v>53</v>
      </c>
      <c r="E306" s="34">
        <v>2010.0</v>
      </c>
      <c r="F306" s="33" t="s">
        <v>506</v>
      </c>
      <c r="G306" s="33" t="s">
        <v>507</v>
      </c>
      <c r="H306" s="33" t="s">
        <v>488</v>
      </c>
      <c r="I306" s="33" t="s">
        <v>508</v>
      </c>
      <c r="J306" s="33" t="s">
        <v>509</v>
      </c>
      <c r="K306" s="34">
        <v>38.0</v>
      </c>
      <c r="L306" s="34">
        <v>6.0</v>
      </c>
      <c r="M306" s="6" t="s">
        <v>510</v>
      </c>
      <c r="N306" s="35" t="s">
        <v>60</v>
      </c>
      <c r="O306" s="33" t="s">
        <v>1200</v>
      </c>
      <c r="P306" s="36" t="s">
        <v>62</v>
      </c>
      <c r="Q306" s="36" t="s">
        <v>167</v>
      </c>
      <c r="R306" s="36" t="s">
        <v>512</v>
      </c>
      <c r="S306" s="37">
        <v>16.916667</v>
      </c>
      <c r="T306" s="37">
        <v>-89.833333</v>
      </c>
      <c r="U306" s="36" t="s">
        <v>148</v>
      </c>
      <c r="V306" s="38" t="s">
        <v>382</v>
      </c>
      <c r="W306" s="33" t="s">
        <v>72</v>
      </c>
      <c r="X306" s="3" t="s">
        <v>72</v>
      </c>
      <c r="Y306" s="33" t="s">
        <v>544</v>
      </c>
      <c r="Z306" s="36"/>
      <c r="AA306" s="37">
        <v>4.0</v>
      </c>
      <c r="AB306" s="36"/>
      <c r="AC306" s="36"/>
      <c r="AD306" s="36"/>
      <c r="AE306" s="36"/>
      <c r="AF306" s="36"/>
      <c r="AG306" s="36"/>
      <c r="AH306" s="36" t="s">
        <v>514</v>
      </c>
      <c r="AI306" s="37">
        <v>880.0</v>
      </c>
      <c r="AJ306" s="37">
        <v>1999.0</v>
      </c>
      <c r="AK306" s="6" t="s">
        <v>100</v>
      </c>
      <c r="AL306" s="6" t="s">
        <v>72</v>
      </c>
      <c r="AM306" s="6" t="s">
        <v>72</v>
      </c>
      <c r="AN306" s="6" t="s">
        <v>76</v>
      </c>
      <c r="AO306" s="33"/>
      <c r="AP306" s="6" t="s">
        <v>75</v>
      </c>
      <c r="AQ306" s="33"/>
      <c r="AR306" s="33"/>
      <c r="AS306" s="33"/>
      <c r="AT306" s="6" t="s">
        <v>76</v>
      </c>
      <c r="AU306" s="33"/>
      <c r="AV306" s="33"/>
      <c r="AW306" s="33"/>
      <c r="AX306" s="33"/>
      <c r="AY306" s="33"/>
      <c r="AZ306" s="6" t="s">
        <v>76</v>
      </c>
      <c r="BA306" s="33"/>
      <c r="BB306" s="33">
        <f>VLOOKUP(O306,Eco_DEM_Data!$D$1:$AC$643,20,False)</f>
        <v>1738</v>
      </c>
      <c r="BC306" s="33">
        <f>VLOOKUP($O306,Eco_DEM_Data!$D$1:$AC$643,20,False)</f>
        <v>1738</v>
      </c>
      <c r="BD306" s="33">
        <f>VLOOKUP($O306,Eco_DEM_Data!$D$1:$AC$643,25,False)</f>
        <v>690</v>
      </c>
      <c r="BE306" s="33">
        <f>VLOOKUP($O306,Eco_DEM_Data!$D$1:$AC$643,22,False)</f>
        <v>36</v>
      </c>
      <c r="BF306" s="33">
        <f>VLOOKUP($O306,Eco_DEM_Data!$D$1:$AC$643,23,False)</f>
        <v>144</v>
      </c>
      <c r="BG306" s="33">
        <f>VLOOKUP($O306,Eco_DEM_Data!$D$1:$AC$643,21,False)</f>
        <v>5677</v>
      </c>
      <c r="BH306" s="33">
        <f>VLOOKUP($O306,Eco_DEM_Data!$D$1:$AC$643,26,False)</f>
        <v>131</v>
      </c>
      <c r="BI306" s="33" t="str">
        <f>VLOOKUP($O306,Eco_DEM_Data!$D$1:$AC$643,9,False)</f>
        <v>Petén-Veracruz moist forests</v>
      </c>
      <c r="BJ306" s="33" t="str">
        <f>VLOOKUP($O306,Eco_DEM_Data!$D$1:$AC$643,11,False)</f>
        <v>Tropical &amp; Subtropical Moist Broadleaf Forests</v>
      </c>
    </row>
    <row r="307">
      <c r="A307" s="33" t="s">
        <v>505</v>
      </c>
      <c r="B307" s="33" t="s">
        <v>2259</v>
      </c>
      <c r="C307" s="34">
        <v>5.0</v>
      </c>
      <c r="D307" s="33" t="s">
        <v>53</v>
      </c>
      <c r="E307" s="34">
        <v>2010.0</v>
      </c>
      <c r="F307" s="33" t="s">
        <v>506</v>
      </c>
      <c r="G307" s="33" t="s">
        <v>507</v>
      </c>
      <c r="H307" s="33" t="s">
        <v>488</v>
      </c>
      <c r="I307" s="33" t="s">
        <v>508</v>
      </c>
      <c r="J307" s="33" t="s">
        <v>509</v>
      </c>
      <c r="K307" s="34">
        <v>38.0</v>
      </c>
      <c r="L307" s="34">
        <v>6.0</v>
      </c>
      <c r="M307" s="6" t="s">
        <v>510</v>
      </c>
      <c r="N307" s="35" t="s">
        <v>60</v>
      </c>
      <c r="O307" s="33" t="s">
        <v>1201</v>
      </c>
      <c r="P307" s="36" t="s">
        <v>62</v>
      </c>
      <c r="Q307" s="36" t="s">
        <v>167</v>
      </c>
      <c r="R307" s="36" t="s">
        <v>512</v>
      </c>
      <c r="S307" s="37">
        <v>16.916667</v>
      </c>
      <c r="T307" s="37">
        <v>-89.833333</v>
      </c>
      <c r="U307" s="36" t="s">
        <v>148</v>
      </c>
      <c r="V307" s="6" t="s">
        <v>275</v>
      </c>
      <c r="W307" s="33" t="s">
        <v>116</v>
      </c>
      <c r="X307" s="3" t="s">
        <v>72</v>
      </c>
      <c r="Y307" s="33" t="s">
        <v>279</v>
      </c>
      <c r="Z307" s="36"/>
      <c r="AA307" s="37">
        <v>4.0</v>
      </c>
      <c r="AB307" s="36"/>
      <c r="AC307" s="36"/>
      <c r="AD307" s="36"/>
      <c r="AE307" s="36"/>
      <c r="AF307" s="36"/>
      <c r="AG307" s="36"/>
      <c r="AH307" s="36" t="s">
        <v>514</v>
      </c>
      <c r="AI307" s="37">
        <v>880.0</v>
      </c>
      <c r="AJ307" s="37">
        <v>1999.0</v>
      </c>
      <c r="AK307" s="6" t="s">
        <v>100</v>
      </c>
      <c r="AL307" s="6" t="s">
        <v>72</v>
      </c>
      <c r="AM307" s="6" t="s">
        <v>72</v>
      </c>
      <c r="AN307" s="6" t="s">
        <v>76</v>
      </c>
      <c r="AO307" s="33"/>
      <c r="AP307" s="6" t="s">
        <v>75</v>
      </c>
      <c r="AQ307" s="33"/>
      <c r="AR307" s="33"/>
      <c r="AS307" s="33"/>
      <c r="AT307" s="6" t="s">
        <v>76</v>
      </c>
      <c r="AU307" s="33"/>
      <c r="AV307" s="33"/>
      <c r="AW307" s="33"/>
      <c r="AX307" s="33"/>
      <c r="AY307" s="33"/>
      <c r="AZ307" s="6" t="s">
        <v>76</v>
      </c>
      <c r="BA307" s="33"/>
      <c r="BB307" s="33">
        <f>VLOOKUP(O307,Eco_DEM_Data!$D$1:$AC$643,20,False)</f>
        <v>1738</v>
      </c>
      <c r="BC307" s="33">
        <f>VLOOKUP($O307,Eco_DEM_Data!$D$1:$AC$643,20,False)</f>
        <v>1738</v>
      </c>
      <c r="BD307" s="33">
        <f>VLOOKUP($O307,Eco_DEM_Data!$D$1:$AC$643,25,False)</f>
        <v>690</v>
      </c>
      <c r="BE307" s="33">
        <f>VLOOKUP($O307,Eco_DEM_Data!$D$1:$AC$643,22,False)</f>
        <v>36</v>
      </c>
      <c r="BF307" s="33">
        <f>VLOOKUP($O307,Eco_DEM_Data!$D$1:$AC$643,23,False)</f>
        <v>144</v>
      </c>
      <c r="BG307" s="33">
        <f>VLOOKUP($O307,Eco_DEM_Data!$D$1:$AC$643,21,False)</f>
        <v>5677</v>
      </c>
      <c r="BH307" s="33">
        <f>VLOOKUP($O307,Eco_DEM_Data!$D$1:$AC$643,26,False)</f>
        <v>131</v>
      </c>
      <c r="BI307" s="33" t="str">
        <f>VLOOKUP($O307,Eco_DEM_Data!$D$1:$AC$643,9,False)</f>
        <v>Petén-Veracruz moist forests</v>
      </c>
      <c r="BJ307" s="33" t="str">
        <f>VLOOKUP($O307,Eco_DEM_Data!$D$1:$AC$643,11,False)</f>
        <v>Tropical &amp; Subtropical Moist Broadleaf Forests</v>
      </c>
    </row>
    <row r="308">
      <c r="A308" s="33" t="s">
        <v>505</v>
      </c>
      <c r="B308" s="33" t="s">
        <v>2259</v>
      </c>
      <c r="C308" s="34">
        <v>5.0</v>
      </c>
      <c r="D308" s="33" t="s">
        <v>53</v>
      </c>
      <c r="E308" s="34">
        <v>2010.0</v>
      </c>
      <c r="F308" s="33" t="s">
        <v>506</v>
      </c>
      <c r="G308" s="33" t="s">
        <v>507</v>
      </c>
      <c r="H308" s="33" t="s">
        <v>488</v>
      </c>
      <c r="I308" s="33" t="s">
        <v>508</v>
      </c>
      <c r="J308" s="33" t="s">
        <v>509</v>
      </c>
      <c r="K308" s="34">
        <v>38.0</v>
      </c>
      <c r="L308" s="34">
        <v>6.0</v>
      </c>
      <c r="M308" s="6" t="s">
        <v>510</v>
      </c>
      <c r="N308" s="35" t="s">
        <v>60</v>
      </c>
      <c r="O308" s="33" t="s">
        <v>1202</v>
      </c>
      <c r="P308" s="36" t="s">
        <v>62</v>
      </c>
      <c r="Q308" s="36" t="s">
        <v>167</v>
      </c>
      <c r="R308" s="36" t="s">
        <v>512</v>
      </c>
      <c r="S308" s="37">
        <v>16.916667</v>
      </c>
      <c r="T308" s="37">
        <v>-89.833333</v>
      </c>
      <c r="U308" s="36" t="s">
        <v>148</v>
      </c>
      <c r="V308" s="38" t="s">
        <v>194</v>
      </c>
      <c r="W308" s="33" t="s">
        <v>72</v>
      </c>
      <c r="X308" s="1" t="s">
        <v>191</v>
      </c>
      <c r="Y308" s="33" t="s">
        <v>70</v>
      </c>
      <c r="Z308" s="36"/>
      <c r="AA308" s="37">
        <v>4.0</v>
      </c>
      <c r="AB308" s="36"/>
      <c r="AC308" s="36"/>
      <c r="AD308" s="36"/>
      <c r="AE308" s="36"/>
      <c r="AF308" s="36"/>
      <c r="AG308" s="36"/>
      <c r="AH308" s="36" t="s">
        <v>514</v>
      </c>
      <c r="AI308" s="37">
        <v>880.0</v>
      </c>
      <c r="AJ308" s="37">
        <v>1999.0</v>
      </c>
      <c r="AK308" s="6" t="s">
        <v>100</v>
      </c>
      <c r="AL308" s="6" t="s">
        <v>72</v>
      </c>
      <c r="AM308" s="6" t="s">
        <v>72</v>
      </c>
      <c r="AN308" s="6" t="s">
        <v>76</v>
      </c>
      <c r="AO308" s="33"/>
      <c r="AP308" s="6" t="s">
        <v>75</v>
      </c>
      <c r="AQ308" s="33"/>
      <c r="AR308" s="33"/>
      <c r="AS308" s="33"/>
      <c r="AT308" s="6" t="s">
        <v>76</v>
      </c>
      <c r="AU308" s="33"/>
      <c r="AV308" s="33"/>
      <c r="AW308" s="33"/>
      <c r="AX308" s="33"/>
      <c r="AY308" s="33"/>
      <c r="AZ308" s="6" t="s">
        <v>76</v>
      </c>
      <c r="BA308" s="33"/>
      <c r="BB308" s="33">
        <f>VLOOKUP(O308,Eco_DEM_Data!$D$1:$AC$643,20,False)</f>
        <v>1738</v>
      </c>
      <c r="BC308" s="33">
        <f>VLOOKUP($O308,Eco_DEM_Data!$D$1:$AC$643,20,False)</f>
        <v>1738</v>
      </c>
      <c r="BD308" s="33">
        <f>VLOOKUP($O308,Eco_DEM_Data!$D$1:$AC$643,25,False)</f>
        <v>690</v>
      </c>
      <c r="BE308" s="33">
        <f>VLOOKUP($O308,Eco_DEM_Data!$D$1:$AC$643,22,False)</f>
        <v>36</v>
      </c>
      <c r="BF308" s="33">
        <f>VLOOKUP($O308,Eco_DEM_Data!$D$1:$AC$643,23,False)</f>
        <v>144</v>
      </c>
      <c r="BG308" s="33">
        <f>VLOOKUP($O308,Eco_DEM_Data!$D$1:$AC$643,21,False)</f>
        <v>5677</v>
      </c>
      <c r="BH308" s="33">
        <f>VLOOKUP($O308,Eco_DEM_Data!$D$1:$AC$643,26,False)</f>
        <v>131</v>
      </c>
      <c r="BI308" s="33" t="str">
        <f>VLOOKUP($O308,Eco_DEM_Data!$D$1:$AC$643,9,False)</f>
        <v>Petén-Veracruz moist forests</v>
      </c>
      <c r="BJ308" s="33" t="str">
        <f>VLOOKUP($O308,Eco_DEM_Data!$D$1:$AC$643,11,False)</f>
        <v>Tropical &amp; Subtropical Moist Broadleaf Forests</v>
      </c>
    </row>
    <row r="309">
      <c r="A309" s="33" t="s">
        <v>1203</v>
      </c>
      <c r="B309" s="33" t="s">
        <v>2259</v>
      </c>
      <c r="C309" s="34">
        <v>7.0</v>
      </c>
      <c r="D309" s="33" t="s">
        <v>53</v>
      </c>
      <c r="E309" s="34">
        <v>2010.0</v>
      </c>
      <c r="F309" s="33" t="s">
        <v>1204</v>
      </c>
      <c r="G309" s="33" t="s">
        <v>1205</v>
      </c>
      <c r="H309" s="45" t="s">
        <v>1206</v>
      </c>
      <c r="I309" s="33"/>
      <c r="J309" s="33" t="s">
        <v>1207</v>
      </c>
      <c r="K309" s="34">
        <v>27.0</v>
      </c>
      <c r="L309" s="34">
        <v>3.0</v>
      </c>
      <c r="M309" s="6" t="s">
        <v>1208</v>
      </c>
      <c r="N309" s="35" t="s">
        <v>60</v>
      </c>
      <c r="O309" s="33" t="s">
        <v>1209</v>
      </c>
      <c r="P309" s="36" t="s">
        <v>62</v>
      </c>
      <c r="Q309" s="36" t="s">
        <v>167</v>
      </c>
      <c r="R309" s="36" t="s">
        <v>512</v>
      </c>
      <c r="S309" s="37">
        <v>17.0</v>
      </c>
      <c r="T309" s="37">
        <v>-89.85</v>
      </c>
      <c r="U309" s="36" t="s">
        <v>148</v>
      </c>
      <c r="V309" s="6" t="s">
        <v>275</v>
      </c>
      <c r="W309" s="33" t="s">
        <v>72</v>
      </c>
      <c r="X309" s="1" t="s">
        <v>278</v>
      </c>
      <c r="Y309" s="33" t="s">
        <v>279</v>
      </c>
      <c r="Z309" s="37">
        <v>1.0</v>
      </c>
      <c r="AA309" s="37"/>
      <c r="AB309" s="36"/>
      <c r="AC309" s="36"/>
      <c r="AD309" s="36"/>
      <c r="AE309" s="36"/>
      <c r="AF309" s="36"/>
      <c r="AG309" s="36"/>
      <c r="AH309" s="38" t="s">
        <v>72</v>
      </c>
      <c r="AI309" s="37">
        <v>1480.0</v>
      </c>
      <c r="AJ309" s="37">
        <v>2005.0</v>
      </c>
      <c r="AK309" s="6" t="s">
        <v>153</v>
      </c>
      <c r="AL309" s="6" t="s">
        <v>72</v>
      </c>
      <c r="AM309" s="5" t="s">
        <v>72</v>
      </c>
      <c r="AN309" s="6" t="s">
        <v>101</v>
      </c>
      <c r="AO309" s="33"/>
      <c r="AP309" s="6" t="s">
        <v>75</v>
      </c>
      <c r="AQ309" s="33"/>
      <c r="AR309" s="33"/>
      <c r="AS309" s="33"/>
      <c r="AT309" s="6" t="s">
        <v>76</v>
      </c>
      <c r="AU309" s="33"/>
      <c r="AV309" s="33"/>
      <c r="AW309" s="33"/>
      <c r="AX309" s="33"/>
      <c r="AY309" s="33"/>
      <c r="AZ309" s="6" t="s">
        <v>76</v>
      </c>
      <c r="BA309" s="33"/>
      <c r="BB309" s="33">
        <f>VLOOKUP(O309,Eco_DEM_Data!$D$1:$AC$643,20,False)</f>
        <v>1650</v>
      </c>
      <c r="BC309" s="33">
        <f>VLOOKUP($O309,Eco_DEM_Data!$D$1:$AC$643,20,False)</f>
        <v>1650</v>
      </c>
      <c r="BD309" s="33">
        <f>VLOOKUP($O309,Eco_DEM_Data!$D$1:$AC$643,25,False)</f>
        <v>672</v>
      </c>
      <c r="BE309" s="33">
        <f>VLOOKUP($O309,Eco_DEM_Data!$D$1:$AC$643,22,False)</f>
        <v>36</v>
      </c>
      <c r="BF309" s="33">
        <f>VLOOKUP($O309,Eco_DEM_Data!$D$1:$AC$643,23,False)</f>
        <v>131</v>
      </c>
      <c r="BG309" s="33">
        <f>VLOOKUP($O309,Eco_DEM_Data!$D$1:$AC$643,21,False)</f>
        <v>5911</v>
      </c>
      <c r="BH309" s="33">
        <f>VLOOKUP($O309,Eco_DEM_Data!$D$1:$AC$643,26,False)</f>
        <v>110</v>
      </c>
      <c r="BI309" s="33" t="str">
        <f>VLOOKUP($O309,Eco_DEM_Data!$D$1:$AC$643,9,False)</f>
        <v>Petén-Veracruz moist forests</v>
      </c>
      <c r="BJ309" s="33" t="str">
        <f>VLOOKUP($O309,Eco_DEM_Data!$D$1:$AC$643,11,False)</f>
        <v>Tropical &amp; Subtropical Moist Broadleaf Forests</v>
      </c>
    </row>
    <row r="310">
      <c r="A310" s="33" t="s">
        <v>1203</v>
      </c>
      <c r="B310" s="33" t="s">
        <v>2259</v>
      </c>
      <c r="C310" s="34">
        <v>7.0</v>
      </c>
      <c r="D310" s="33" t="s">
        <v>53</v>
      </c>
      <c r="E310" s="34">
        <v>2010.0</v>
      </c>
      <c r="F310" s="33" t="s">
        <v>1204</v>
      </c>
      <c r="G310" s="33" t="s">
        <v>1205</v>
      </c>
      <c r="H310" s="45" t="s">
        <v>1206</v>
      </c>
      <c r="I310" s="33"/>
      <c r="J310" s="33" t="s">
        <v>1207</v>
      </c>
      <c r="K310" s="34">
        <v>27.0</v>
      </c>
      <c r="L310" s="34">
        <v>3.0</v>
      </c>
      <c r="M310" s="6" t="s">
        <v>1208</v>
      </c>
      <c r="N310" s="35" t="s">
        <v>60</v>
      </c>
      <c r="O310" s="33" t="s">
        <v>1789</v>
      </c>
      <c r="P310" s="36" t="s">
        <v>62</v>
      </c>
      <c r="Q310" s="36" t="s">
        <v>167</v>
      </c>
      <c r="R310" s="36" t="s">
        <v>512</v>
      </c>
      <c r="S310" s="37">
        <v>16.916667</v>
      </c>
      <c r="T310" s="37">
        <v>-89.833333</v>
      </c>
      <c r="U310" s="36" t="s">
        <v>148</v>
      </c>
      <c r="V310" s="38" t="s">
        <v>614</v>
      </c>
      <c r="W310" s="6" t="s">
        <v>615</v>
      </c>
      <c r="X310" s="1" t="s">
        <v>1790</v>
      </c>
      <c r="Y310" s="33" t="s">
        <v>1791</v>
      </c>
      <c r="Z310" s="36"/>
      <c r="AA310" s="37"/>
      <c r="AB310" s="36"/>
      <c r="AC310" s="37">
        <v>17.0</v>
      </c>
      <c r="AD310" s="36"/>
      <c r="AE310" s="36"/>
      <c r="AF310" s="36"/>
      <c r="AG310" s="36"/>
      <c r="AH310" s="36"/>
      <c r="AI310" s="37">
        <v>1480.0</v>
      </c>
      <c r="AJ310" s="37">
        <v>2005.0</v>
      </c>
      <c r="AK310" s="6" t="s">
        <v>153</v>
      </c>
      <c r="AL310" s="6" t="s">
        <v>72</v>
      </c>
      <c r="AM310" s="5" t="s">
        <v>72</v>
      </c>
      <c r="AN310" s="6" t="s">
        <v>101</v>
      </c>
      <c r="AO310" s="33"/>
      <c r="AP310" s="6" t="s">
        <v>75</v>
      </c>
      <c r="AQ310" s="33"/>
      <c r="AR310" s="33"/>
      <c r="AS310" s="33"/>
      <c r="AT310" s="6" t="s">
        <v>76</v>
      </c>
      <c r="AU310" s="33"/>
      <c r="AV310" s="33"/>
      <c r="AW310" s="33"/>
      <c r="AX310" s="33"/>
      <c r="AY310" s="33"/>
      <c r="AZ310" s="6" t="s">
        <v>76</v>
      </c>
      <c r="BA310" s="33"/>
      <c r="BB310" s="33">
        <f>VLOOKUP(O310,Eco_DEM_Data!$D$1:$AC$643,20,False)</f>
        <v>1738</v>
      </c>
      <c r="BC310" s="33">
        <f>VLOOKUP($O310,Eco_DEM_Data!$D$1:$AC$643,20,False)</f>
        <v>1738</v>
      </c>
      <c r="BD310" s="33">
        <f>VLOOKUP($O310,Eco_DEM_Data!$D$1:$AC$643,25,False)</f>
        <v>690</v>
      </c>
      <c r="BE310" s="33">
        <f>VLOOKUP($O310,Eco_DEM_Data!$D$1:$AC$643,22,False)</f>
        <v>36</v>
      </c>
      <c r="BF310" s="33">
        <f>VLOOKUP($O310,Eco_DEM_Data!$D$1:$AC$643,23,False)</f>
        <v>144</v>
      </c>
      <c r="BG310" s="33">
        <f>VLOOKUP($O310,Eco_DEM_Data!$D$1:$AC$643,21,False)</f>
        <v>5677</v>
      </c>
      <c r="BH310" s="33">
        <f>VLOOKUP($O310,Eco_DEM_Data!$D$1:$AC$643,26,False)</f>
        <v>131</v>
      </c>
      <c r="BI310" s="33" t="str">
        <f>VLOOKUP($O310,Eco_DEM_Data!$D$1:$AC$643,9,False)</f>
        <v>Petén-Veracruz moist forests</v>
      </c>
      <c r="BJ310" s="33" t="str">
        <f>VLOOKUP($O310,Eco_DEM_Data!$D$1:$AC$643,11,False)</f>
        <v>Tropical &amp; Subtropical Moist Broadleaf Forests</v>
      </c>
    </row>
    <row r="311">
      <c r="A311" s="33" t="s">
        <v>1203</v>
      </c>
      <c r="B311" s="33" t="s">
        <v>2259</v>
      </c>
      <c r="C311" s="34">
        <v>7.0</v>
      </c>
      <c r="D311" s="33" t="s">
        <v>53</v>
      </c>
      <c r="E311" s="34">
        <v>2010.0</v>
      </c>
      <c r="F311" s="33" t="s">
        <v>1204</v>
      </c>
      <c r="G311" s="33" t="s">
        <v>1205</v>
      </c>
      <c r="H311" s="45" t="s">
        <v>1206</v>
      </c>
      <c r="I311" s="33"/>
      <c r="J311" s="33" t="s">
        <v>1207</v>
      </c>
      <c r="K311" s="34">
        <v>27.0</v>
      </c>
      <c r="L311" s="34">
        <v>3.0</v>
      </c>
      <c r="M311" s="6" t="s">
        <v>1208</v>
      </c>
      <c r="N311" s="35" t="s">
        <v>60</v>
      </c>
      <c r="O311" s="33" t="s">
        <v>1792</v>
      </c>
      <c r="P311" s="36" t="s">
        <v>62</v>
      </c>
      <c r="Q311" s="36" t="s">
        <v>167</v>
      </c>
      <c r="R311" s="36" t="s">
        <v>512</v>
      </c>
      <c r="S311" s="37">
        <v>16.916667</v>
      </c>
      <c r="T311" s="37">
        <v>-89.833333</v>
      </c>
      <c r="U311" s="36" t="s">
        <v>148</v>
      </c>
      <c r="V311" s="6" t="s">
        <v>169</v>
      </c>
      <c r="W311" s="6" t="s">
        <v>1471</v>
      </c>
      <c r="X311" s="1" t="s">
        <v>1044</v>
      </c>
      <c r="Y311" s="33" t="s">
        <v>1794</v>
      </c>
      <c r="Z311" s="36"/>
      <c r="AA311" s="37"/>
      <c r="AB311" s="36"/>
      <c r="AC311" s="37">
        <v>15.0</v>
      </c>
      <c r="AD311" s="36"/>
      <c r="AE311" s="36"/>
      <c r="AF311" s="36"/>
      <c r="AG311" s="36"/>
      <c r="AH311" s="36"/>
      <c r="AI311" s="37">
        <v>1880.0</v>
      </c>
      <c r="AJ311" s="37">
        <v>2005.0</v>
      </c>
      <c r="AK311" s="6" t="s">
        <v>153</v>
      </c>
      <c r="AL311" s="6" t="s">
        <v>72</v>
      </c>
      <c r="AM311" s="5" t="s">
        <v>72</v>
      </c>
      <c r="AN311" s="6" t="s">
        <v>101</v>
      </c>
      <c r="AO311" s="33"/>
      <c r="AP311" s="6" t="s">
        <v>75</v>
      </c>
      <c r="AQ311" s="33"/>
      <c r="AR311" s="33"/>
      <c r="AS311" s="33"/>
      <c r="AT311" s="6" t="s">
        <v>76</v>
      </c>
      <c r="AU311" s="33"/>
      <c r="AV311" s="33"/>
      <c r="AW311" s="33"/>
      <c r="AX311" s="33"/>
      <c r="AY311" s="33"/>
      <c r="AZ311" s="6" t="s">
        <v>76</v>
      </c>
      <c r="BA311" s="33"/>
      <c r="BB311" s="33">
        <f>VLOOKUP(O311,Eco_DEM_Data!$D$1:$AC$643,20,False)</f>
        <v>1738</v>
      </c>
      <c r="BC311" s="33">
        <f>VLOOKUP($O311,Eco_DEM_Data!$D$1:$AC$643,20,False)</f>
        <v>1738</v>
      </c>
      <c r="BD311" s="33">
        <f>VLOOKUP($O311,Eco_DEM_Data!$D$1:$AC$643,25,False)</f>
        <v>690</v>
      </c>
      <c r="BE311" s="33">
        <f>VLOOKUP($O311,Eco_DEM_Data!$D$1:$AC$643,22,False)</f>
        <v>36</v>
      </c>
      <c r="BF311" s="33">
        <f>VLOOKUP($O311,Eco_DEM_Data!$D$1:$AC$643,23,False)</f>
        <v>144</v>
      </c>
      <c r="BG311" s="33">
        <f>VLOOKUP($O311,Eco_DEM_Data!$D$1:$AC$643,21,False)</f>
        <v>5677</v>
      </c>
      <c r="BH311" s="33">
        <f>VLOOKUP($O311,Eco_DEM_Data!$D$1:$AC$643,26,False)</f>
        <v>131</v>
      </c>
      <c r="BI311" s="33" t="str">
        <f>VLOOKUP($O311,Eco_DEM_Data!$D$1:$AC$643,9,False)</f>
        <v>Petén-Veracruz moist forests</v>
      </c>
      <c r="BJ311" s="33" t="str">
        <f>VLOOKUP($O311,Eco_DEM_Data!$D$1:$AC$643,11,False)</f>
        <v>Tropical &amp; Subtropical Moist Broadleaf Forests</v>
      </c>
    </row>
    <row r="312">
      <c r="A312" s="33" t="s">
        <v>1203</v>
      </c>
      <c r="B312" s="33" t="s">
        <v>2259</v>
      </c>
      <c r="C312" s="34">
        <v>7.0</v>
      </c>
      <c r="D312" s="33" t="s">
        <v>53</v>
      </c>
      <c r="E312" s="34">
        <v>2010.0</v>
      </c>
      <c r="F312" s="33" t="s">
        <v>1204</v>
      </c>
      <c r="G312" s="33" t="s">
        <v>1205</v>
      </c>
      <c r="H312" s="45" t="s">
        <v>1206</v>
      </c>
      <c r="I312" s="33"/>
      <c r="J312" s="33" t="s">
        <v>1207</v>
      </c>
      <c r="K312" s="34">
        <v>27.0</v>
      </c>
      <c r="L312" s="34">
        <v>3.0</v>
      </c>
      <c r="M312" s="6" t="s">
        <v>1208</v>
      </c>
      <c r="N312" s="35" t="s">
        <v>60</v>
      </c>
      <c r="O312" s="33" t="s">
        <v>1795</v>
      </c>
      <c r="P312" s="36" t="s">
        <v>62</v>
      </c>
      <c r="Q312" s="36" t="s">
        <v>167</v>
      </c>
      <c r="R312" s="36" t="s">
        <v>512</v>
      </c>
      <c r="S312" s="37">
        <v>16.990249</v>
      </c>
      <c r="T312" s="37">
        <v>-89.814246</v>
      </c>
      <c r="U312" s="36" t="s">
        <v>148</v>
      </c>
      <c r="V312" s="38" t="s">
        <v>614</v>
      </c>
      <c r="W312" s="6" t="s">
        <v>615</v>
      </c>
      <c r="X312" s="1" t="s">
        <v>1790</v>
      </c>
      <c r="Y312" s="33" t="s">
        <v>1791</v>
      </c>
      <c r="Z312" s="36"/>
      <c r="AA312" s="37">
        <v>17.0</v>
      </c>
      <c r="AB312" s="36"/>
      <c r="AC312" s="36"/>
      <c r="AD312" s="36"/>
      <c r="AE312" s="36"/>
      <c r="AF312" s="36"/>
      <c r="AG312" s="36"/>
      <c r="AH312" s="38" t="s">
        <v>72</v>
      </c>
      <c r="AI312" s="37">
        <v>1880.0</v>
      </c>
      <c r="AJ312" s="37">
        <v>2005.0</v>
      </c>
      <c r="AK312" s="6" t="s">
        <v>153</v>
      </c>
      <c r="AL312" s="6" t="s">
        <v>72</v>
      </c>
      <c r="AM312" s="5" t="s">
        <v>72</v>
      </c>
      <c r="AN312" s="6" t="s">
        <v>101</v>
      </c>
      <c r="AO312" s="33"/>
      <c r="AP312" s="6" t="s">
        <v>75</v>
      </c>
      <c r="AQ312" s="33"/>
      <c r="AR312" s="33"/>
      <c r="AS312" s="33"/>
      <c r="AT312" s="6" t="s">
        <v>76</v>
      </c>
      <c r="AU312" s="33"/>
      <c r="AV312" s="33"/>
      <c r="AW312" s="33"/>
      <c r="AX312" s="33"/>
      <c r="AY312" s="33"/>
      <c r="AZ312" s="6" t="s">
        <v>76</v>
      </c>
      <c r="BA312" s="33"/>
      <c r="BB312" s="33">
        <f>VLOOKUP(O312,Eco_DEM_Data!$D$1:$AC$643,20,False)</f>
        <v>1660</v>
      </c>
      <c r="BC312" s="33">
        <f>VLOOKUP($O312,Eco_DEM_Data!$D$1:$AC$643,20,False)</f>
        <v>1660</v>
      </c>
      <c r="BD312" s="33">
        <f>VLOOKUP($O312,Eco_DEM_Data!$D$1:$AC$643,25,False)</f>
        <v>674</v>
      </c>
      <c r="BE312" s="33">
        <f>VLOOKUP($O312,Eco_DEM_Data!$D$1:$AC$643,22,False)</f>
        <v>36</v>
      </c>
      <c r="BF312" s="33">
        <f>VLOOKUP($O312,Eco_DEM_Data!$D$1:$AC$643,23,False)</f>
        <v>132</v>
      </c>
      <c r="BG312" s="33">
        <f>VLOOKUP($O312,Eco_DEM_Data!$D$1:$AC$643,21,False)</f>
        <v>5917</v>
      </c>
      <c r="BH312" s="33">
        <f>VLOOKUP($O312,Eco_DEM_Data!$D$1:$AC$643,26,False)</f>
        <v>110</v>
      </c>
      <c r="BI312" s="33" t="str">
        <f>VLOOKUP($O312,Eco_DEM_Data!$D$1:$AC$643,9,False)</f>
        <v>Petén-Veracruz moist forests</v>
      </c>
      <c r="BJ312" s="33" t="str">
        <f>VLOOKUP($O312,Eco_DEM_Data!$D$1:$AC$643,11,False)</f>
        <v>Tropical &amp; Subtropical Moist Broadleaf Forests</v>
      </c>
    </row>
    <row r="313">
      <c r="A313" s="33" t="s">
        <v>1203</v>
      </c>
      <c r="B313" s="33" t="s">
        <v>2259</v>
      </c>
      <c r="C313" s="34">
        <v>7.0</v>
      </c>
      <c r="D313" s="33" t="s">
        <v>53</v>
      </c>
      <c r="E313" s="34">
        <v>2010.0</v>
      </c>
      <c r="F313" s="33" t="s">
        <v>1204</v>
      </c>
      <c r="G313" s="33" t="s">
        <v>1205</v>
      </c>
      <c r="H313" s="45" t="s">
        <v>1206</v>
      </c>
      <c r="I313" s="33"/>
      <c r="J313" s="33" t="s">
        <v>1207</v>
      </c>
      <c r="K313" s="34">
        <v>27.0</v>
      </c>
      <c r="L313" s="34">
        <v>3.0</v>
      </c>
      <c r="M313" s="6" t="s">
        <v>1208</v>
      </c>
      <c r="N313" s="35" t="s">
        <v>60</v>
      </c>
      <c r="O313" s="33" t="s">
        <v>1213</v>
      </c>
      <c r="P313" s="36" t="s">
        <v>62</v>
      </c>
      <c r="Q313" s="36" t="s">
        <v>167</v>
      </c>
      <c r="R313" s="36" t="s">
        <v>512</v>
      </c>
      <c r="S313" s="37">
        <v>16.916667</v>
      </c>
      <c r="T313" s="37">
        <v>-89.833333</v>
      </c>
      <c r="U313" s="36" t="s">
        <v>148</v>
      </c>
      <c r="V313" s="38" t="s">
        <v>1214</v>
      </c>
      <c r="W313" s="33" t="s">
        <v>1215</v>
      </c>
      <c r="X313" s="1" t="s">
        <v>1216</v>
      </c>
      <c r="Y313" s="6" t="s">
        <v>72</v>
      </c>
      <c r="Z313" s="36"/>
      <c r="AA313" s="37"/>
      <c r="AB313" s="36"/>
      <c r="AC313" s="37">
        <v>15.0</v>
      </c>
      <c r="AD313" s="36"/>
      <c r="AE313" s="36"/>
      <c r="AF313" s="36"/>
      <c r="AG313" s="36"/>
      <c r="AH313" s="36"/>
      <c r="AI313" s="37">
        <v>1880.0</v>
      </c>
      <c r="AJ313" s="37">
        <v>2005.0</v>
      </c>
      <c r="AK313" s="6" t="s">
        <v>153</v>
      </c>
      <c r="AL313" s="6" t="s">
        <v>72</v>
      </c>
      <c r="AM313" s="5" t="s">
        <v>72</v>
      </c>
      <c r="AN313" s="6" t="s">
        <v>101</v>
      </c>
      <c r="AO313" s="33"/>
      <c r="AP313" s="6" t="s">
        <v>75</v>
      </c>
      <c r="AQ313" s="33"/>
      <c r="AR313" s="33"/>
      <c r="AS313" s="33"/>
      <c r="AT313" s="6" t="s">
        <v>76</v>
      </c>
      <c r="AU313" s="33"/>
      <c r="AV313" s="33"/>
      <c r="AW313" s="33"/>
      <c r="AX313" s="33"/>
      <c r="AY313" s="33"/>
      <c r="AZ313" s="6" t="s">
        <v>76</v>
      </c>
      <c r="BA313" s="33"/>
      <c r="BB313" s="33">
        <f>VLOOKUP(O313,Eco_DEM_Data!$D$1:$AC$643,20,False)</f>
        <v>1738</v>
      </c>
      <c r="BC313" s="33">
        <f>VLOOKUP($O313,Eco_DEM_Data!$D$1:$AC$643,20,False)</f>
        <v>1738</v>
      </c>
      <c r="BD313" s="33">
        <f>VLOOKUP($O313,Eco_DEM_Data!$D$1:$AC$643,25,False)</f>
        <v>690</v>
      </c>
      <c r="BE313" s="33">
        <f>VLOOKUP($O313,Eco_DEM_Data!$D$1:$AC$643,22,False)</f>
        <v>36</v>
      </c>
      <c r="BF313" s="33">
        <f>VLOOKUP($O313,Eco_DEM_Data!$D$1:$AC$643,23,False)</f>
        <v>144</v>
      </c>
      <c r="BG313" s="33">
        <f>VLOOKUP($O313,Eco_DEM_Data!$D$1:$AC$643,21,False)</f>
        <v>5677</v>
      </c>
      <c r="BH313" s="33">
        <f>VLOOKUP($O313,Eco_DEM_Data!$D$1:$AC$643,26,False)</f>
        <v>131</v>
      </c>
      <c r="BI313" s="33" t="str">
        <f>VLOOKUP($O313,Eco_DEM_Data!$D$1:$AC$643,9,False)</f>
        <v>Petén-Veracruz moist forests</v>
      </c>
      <c r="BJ313" s="33" t="str">
        <f>VLOOKUP($O313,Eco_DEM_Data!$D$1:$AC$643,11,False)</f>
        <v>Tropical &amp; Subtropical Moist Broadleaf Forests</v>
      </c>
    </row>
    <row r="314">
      <c r="A314" s="33" t="s">
        <v>1203</v>
      </c>
      <c r="B314" s="33" t="s">
        <v>2259</v>
      </c>
      <c r="C314" s="34">
        <v>7.0</v>
      </c>
      <c r="D314" s="33" t="s">
        <v>53</v>
      </c>
      <c r="E314" s="34">
        <v>2010.0</v>
      </c>
      <c r="F314" s="33" t="s">
        <v>1204</v>
      </c>
      <c r="G314" s="33" t="s">
        <v>1205</v>
      </c>
      <c r="H314" s="45" t="s">
        <v>1206</v>
      </c>
      <c r="I314" s="33"/>
      <c r="J314" s="33" t="s">
        <v>1207</v>
      </c>
      <c r="K314" s="34">
        <v>27.0</v>
      </c>
      <c r="L314" s="34">
        <v>3.0</v>
      </c>
      <c r="M314" s="6" t="s">
        <v>1208</v>
      </c>
      <c r="N314" s="35" t="s">
        <v>60</v>
      </c>
      <c r="O314" s="33" t="s">
        <v>1796</v>
      </c>
      <c r="P314" s="36" t="s">
        <v>62</v>
      </c>
      <c r="Q314" s="36" t="s">
        <v>167</v>
      </c>
      <c r="R314" s="36" t="s">
        <v>512</v>
      </c>
      <c r="S314" s="37">
        <v>16.916667</v>
      </c>
      <c r="T314" s="37">
        <v>-89.833333</v>
      </c>
      <c r="U314" s="36" t="s">
        <v>148</v>
      </c>
      <c r="V314" s="6" t="s">
        <v>135</v>
      </c>
      <c r="W314" s="33" t="s">
        <v>173</v>
      </c>
      <c r="X314" s="1" t="s">
        <v>1797</v>
      </c>
      <c r="Y314" s="33" t="s">
        <v>70</v>
      </c>
      <c r="Z314" s="36"/>
      <c r="AA314" s="37"/>
      <c r="AB314" s="36"/>
      <c r="AC314" s="37">
        <v>17.0</v>
      </c>
      <c r="AD314" s="36"/>
      <c r="AE314" s="36"/>
      <c r="AF314" s="36"/>
      <c r="AG314" s="36"/>
      <c r="AH314" s="36"/>
      <c r="AI314" s="37">
        <v>1480.0</v>
      </c>
      <c r="AJ314" s="37">
        <v>2005.0</v>
      </c>
      <c r="AK314" s="6" t="s">
        <v>153</v>
      </c>
      <c r="AL314" s="6" t="s">
        <v>72</v>
      </c>
      <c r="AM314" s="5" t="s">
        <v>72</v>
      </c>
      <c r="AN314" s="6" t="s">
        <v>101</v>
      </c>
      <c r="AO314" s="33"/>
      <c r="AP314" s="6" t="s">
        <v>75</v>
      </c>
      <c r="AQ314" s="33"/>
      <c r="AR314" s="33"/>
      <c r="AS314" s="33"/>
      <c r="AT314" s="6" t="s">
        <v>76</v>
      </c>
      <c r="AU314" s="33"/>
      <c r="AV314" s="33"/>
      <c r="AW314" s="33"/>
      <c r="AX314" s="33"/>
      <c r="AY314" s="33"/>
      <c r="AZ314" s="6" t="s">
        <v>76</v>
      </c>
      <c r="BA314" s="33"/>
      <c r="BB314" s="33">
        <f>VLOOKUP(O314,Eco_DEM_Data!$D$1:$AC$643,20,False)</f>
        <v>1738</v>
      </c>
      <c r="BC314" s="33">
        <f>VLOOKUP($O314,Eco_DEM_Data!$D$1:$AC$643,20,False)</f>
        <v>1738</v>
      </c>
      <c r="BD314" s="33">
        <f>VLOOKUP($O314,Eco_DEM_Data!$D$1:$AC$643,25,False)</f>
        <v>690</v>
      </c>
      <c r="BE314" s="33">
        <f>VLOOKUP($O314,Eco_DEM_Data!$D$1:$AC$643,22,False)</f>
        <v>36</v>
      </c>
      <c r="BF314" s="33">
        <f>VLOOKUP($O314,Eco_DEM_Data!$D$1:$AC$643,23,False)</f>
        <v>144</v>
      </c>
      <c r="BG314" s="33">
        <f>VLOOKUP($O314,Eco_DEM_Data!$D$1:$AC$643,21,False)</f>
        <v>5677</v>
      </c>
      <c r="BH314" s="33">
        <f>VLOOKUP($O314,Eco_DEM_Data!$D$1:$AC$643,26,False)</f>
        <v>131</v>
      </c>
      <c r="BI314" s="33" t="str">
        <f>VLOOKUP($O314,Eco_DEM_Data!$D$1:$AC$643,9,False)</f>
        <v>Petén-Veracruz moist forests</v>
      </c>
      <c r="BJ314" s="33" t="str">
        <f>VLOOKUP($O314,Eco_DEM_Data!$D$1:$AC$643,11,False)</f>
        <v>Tropical &amp; Subtropical Moist Broadleaf Forests</v>
      </c>
    </row>
    <row r="315">
      <c r="A315" s="33" t="s">
        <v>1203</v>
      </c>
      <c r="B315" s="33" t="s">
        <v>2259</v>
      </c>
      <c r="C315" s="34">
        <v>7.0</v>
      </c>
      <c r="D315" s="33" t="s">
        <v>53</v>
      </c>
      <c r="E315" s="34">
        <v>2010.0</v>
      </c>
      <c r="F315" s="33" t="s">
        <v>1204</v>
      </c>
      <c r="G315" s="33" t="s">
        <v>1205</v>
      </c>
      <c r="H315" s="45" t="s">
        <v>1206</v>
      </c>
      <c r="I315" s="33"/>
      <c r="J315" s="33" t="s">
        <v>1207</v>
      </c>
      <c r="K315" s="34">
        <v>27.0</v>
      </c>
      <c r="L315" s="34">
        <v>3.0</v>
      </c>
      <c r="M315" s="6" t="s">
        <v>1208</v>
      </c>
      <c r="N315" s="35" t="s">
        <v>60</v>
      </c>
      <c r="O315" s="33" t="s">
        <v>1798</v>
      </c>
      <c r="P315" s="36" t="s">
        <v>62</v>
      </c>
      <c r="Q315" s="36" t="s">
        <v>167</v>
      </c>
      <c r="R315" s="36" t="s">
        <v>512</v>
      </c>
      <c r="S315" s="37">
        <v>16.916667</v>
      </c>
      <c r="T315" s="37">
        <v>-89.833333</v>
      </c>
      <c r="U315" s="36" t="s">
        <v>148</v>
      </c>
      <c r="V315" s="6" t="s">
        <v>388</v>
      </c>
      <c r="W315" s="33" t="s">
        <v>173</v>
      </c>
      <c r="X315" s="1" t="s">
        <v>1799</v>
      </c>
      <c r="Y315" s="33" t="s">
        <v>1800</v>
      </c>
      <c r="Z315" s="36"/>
      <c r="AA315" s="37"/>
      <c r="AB315" s="36"/>
      <c r="AC315" s="37">
        <v>17.0</v>
      </c>
      <c r="AD315" s="36"/>
      <c r="AE315" s="36"/>
      <c r="AF315" s="36"/>
      <c r="AG315" s="36"/>
      <c r="AH315" s="36"/>
      <c r="AI315" s="37">
        <v>1480.0</v>
      </c>
      <c r="AJ315" s="37">
        <v>2005.0</v>
      </c>
      <c r="AK315" s="6" t="s">
        <v>153</v>
      </c>
      <c r="AL315" s="6" t="s">
        <v>72</v>
      </c>
      <c r="AM315" s="5" t="s">
        <v>72</v>
      </c>
      <c r="AN315" s="6" t="s">
        <v>101</v>
      </c>
      <c r="AO315" s="33"/>
      <c r="AP315" s="6" t="s">
        <v>75</v>
      </c>
      <c r="AQ315" s="33"/>
      <c r="AR315" s="33"/>
      <c r="AS315" s="33"/>
      <c r="AT315" s="6" t="s">
        <v>76</v>
      </c>
      <c r="AU315" s="33"/>
      <c r="AV315" s="33"/>
      <c r="AW315" s="33"/>
      <c r="AX315" s="33"/>
      <c r="AY315" s="33"/>
      <c r="AZ315" s="6" t="s">
        <v>76</v>
      </c>
      <c r="BA315" s="33"/>
      <c r="BB315" s="33">
        <f>VLOOKUP(O315,Eco_DEM_Data!$D$1:$AC$643,20,False)</f>
        <v>1738</v>
      </c>
      <c r="BC315" s="33">
        <f>VLOOKUP($O315,Eco_DEM_Data!$D$1:$AC$643,20,False)</f>
        <v>1738</v>
      </c>
      <c r="BD315" s="33">
        <f>VLOOKUP($O315,Eco_DEM_Data!$D$1:$AC$643,25,False)</f>
        <v>690</v>
      </c>
      <c r="BE315" s="33">
        <f>VLOOKUP($O315,Eco_DEM_Data!$D$1:$AC$643,22,False)</f>
        <v>36</v>
      </c>
      <c r="BF315" s="33">
        <f>VLOOKUP($O315,Eco_DEM_Data!$D$1:$AC$643,23,False)</f>
        <v>144</v>
      </c>
      <c r="BG315" s="33">
        <f>VLOOKUP($O315,Eco_DEM_Data!$D$1:$AC$643,21,False)</f>
        <v>5677</v>
      </c>
      <c r="BH315" s="33">
        <f>VLOOKUP($O315,Eco_DEM_Data!$D$1:$AC$643,26,False)</f>
        <v>131</v>
      </c>
      <c r="BI315" s="33" t="str">
        <f>VLOOKUP($O315,Eco_DEM_Data!$D$1:$AC$643,9,False)</f>
        <v>Petén-Veracruz moist forests</v>
      </c>
      <c r="BJ315" s="33" t="str">
        <f>VLOOKUP($O315,Eco_DEM_Data!$D$1:$AC$643,11,False)</f>
        <v>Tropical &amp; Subtropical Moist Broadleaf Forests</v>
      </c>
    </row>
    <row r="316">
      <c r="A316" s="33" t="s">
        <v>1674</v>
      </c>
      <c r="B316" s="33" t="s">
        <v>2259</v>
      </c>
      <c r="C316" s="34">
        <v>15.0</v>
      </c>
      <c r="D316" s="33" t="s">
        <v>53</v>
      </c>
      <c r="E316" s="34">
        <v>2010.0</v>
      </c>
      <c r="F316" s="33" t="s">
        <v>1675</v>
      </c>
      <c r="G316" s="36" t="s">
        <v>1676</v>
      </c>
      <c r="H316" s="33" t="s">
        <v>1386</v>
      </c>
      <c r="I316" s="33" t="s">
        <v>1677</v>
      </c>
      <c r="J316" s="33" t="s">
        <v>1678</v>
      </c>
      <c r="K316" s="34">
        <v>29.0</v>
      </c>
      <c r="L316" s="33" t="s">
        <v>1679</v>
      </c>
      <c r="M316" s="6" t="s">
        <v>1680</v>
      </c>
      <c r="N316" s="35" t="s">
        <v>60</v>
      </c>
      <c r="O316" s="33" t="s">
        <v>1681</v>
      </c>
      <c r="P316" s="36" t="s">
        <v>62</v>
      </c>
      <c r="Q316" s="36" t="s">
        <v>92</v>
      </c>
      <c r="R316" s="36" t="s">
        <v>1682</v>
      </c>
      <c r="S316" s="37">
        <v>20.274178</v>
      </c>
      <c r="T316" s="37">
        <v>-87.486259</v>
      </c>
      <c r="U316" s="36" t="s">
        <v>1581</v>
      </c>
      <c r="V316" s="6" t="s">
        <v>135</v>
      </c>
      <c r="W316" s="6" t="s">
        <v>1683</v>
      </c>
      <c r="X316" s="1" t="s">
        <v>547</v>
      </c>
      <c r="Y316" s="33" t="s">
        <v>265</v>
      </c>
      <c r="Z316" s="36"/>
      <c r="AA316" s="37">
        <v>3.0</v>
      </c>
      <c r="AB316" s="36"/>
      <c r="AC316" s="36"/>
      <c r="AD316" s="36"/>
      <c r="AE316" s="36"/>
      <c r="AF316" s="36"/>
      <c r="AG316" s="36"/>
      <c r="AH316" s="36" t="s">
        <v>1684</v>
      </c>
      <c r="AI316" s="37">
        <v>-2350.0</v>
      </c>
      <c r="AJ316" s="37">
        <v>1950.0</v>
      </c>
      <c r="AK316" s="6" t="s">
        <v>100</v>
      </c>
      <c r="AL316" s="6" t="s">
        <v>72</v>
      </c>
      <c r="AM316" s="33" t="s">
        <v>238</v>
      </c>
      <c r="AN316" s="6" t="s">
        <v>72</v>
      </c>
      <c r="AO316" s="33"/>
      <c r="AP316" s="6" t="s">
        <v>75</v>
      </c>
      <c r="AQ316" s="33"/>
      <c r="AR316" s="33"/>
      <c r="AS316" s="33"/>
      <c r="AT316" s="6" t="s">
        <v>76</v>
      </c>
      <c r="AU316" s="33"/>
      <c r="AV316" s="33"/>
      <c r="AW316" s="33"/>
      <c r="AX316" s="33"/>
      <c r="AY316" s="33"/>
      <c r="AZ316" s="6" t="s">
        <v>60</v>
      </c>
      <c r="BA316" s="33"/>
      <c r="BB316" s="33">
        <f>VLOOKUP(O316,Eco_DEM_Data!$D$1:$AC$643,20,False)</f>
        <v>1209</v>
      </c>
      <c r="BC316" s="33">
        <f>VLOOKUP($O316,Eco_DEM_Data!$D$1:$AC$643,20,False)</f>
        <v>1209</v>
      </c>
      <c r="BD316" s="33">
        <f>VLOOKUP($O316,Eco_DEM_Data!$D$1:$AC$643,25,False)</f>
        <v>495</v>
      </c>
      <c r="BE316" s="33">
        <f>VLOOKUP($O316,Eco_DEM_Data!$D$1:$AC$643,22,False)</f>
        <v>39</v>
      </c>
      <c r="BF316" s="33">
        <f>VLOOKUP($O316,Eco_DEM_Data!$D$1:$AC$643,23,False)</f>
        <v>132</v>
      </c>
      <c r="BG316" s="33">
        <f>VLOOKUP($O316,Eco_DEM_Data!$D$1:$AC$643,21,False)</f>
        <v>5135</v>
      </c>
      <c r="BH316" s="33">
        <f>VLOOKUP($O316,Eco_DEM_Data!$D$1:$AC$643,26,False)</f>
        <v>5</v>
      </c>
      <c r="BI316" s="33" t="str">
        <f>VLOOKUP($O316,Eco_DEM_Data!$D$1:$AC$643,9,False)</f>
        <v>Yucatán moist forests</v>
      </c>
      <c r="BJ316" s="33" t="str">
        <f>VLOOKUP($O316,Eco_DEM_Data!$D$1:$AC$643,11,False)</f>
        <v>Tropical &amp; Subtropical Moist Broadleaf Forests</v>
      </c>
    </row>
    <row r="317">
      <c r="A317" s="33" t="s">
        <v>1674</v>
      </c>
      <c r="B317" s="33" t="s">
        <v>2259</v>
      </c>
      <c r="C317" s="34">
        <v>15.0</v>
      </c>
      <c r="D317" s="33" t="s">
        <v>53</v>
      </c>
      <c r="E317" s="34">
        <v>2010.0</v>
      </c>
      <c r="F317" s="33" t="s">
        <v>1675</v>
      </c>
      <c r="G317" s="33" t="s">
        <v>1676</v>
      </c>
      <c r="H317" s="33" t="s">
        <v>1386</v>
      </c>
      <c r="I317" s="33" t="s">
        <v>1677</v>
      </c>
      <c r="J317" s="33" t="s">
        <v>1678</v>
      </c>
      <c r="K317" s="34">
        <v>29.0</v>
      </c>
      <c r="L317" s="33" t="s">
        <v>1679</v>
      </c>
      <c r="M317" s="6" t="s">
        <v>1680</v>
      </c>
      <c r="N317" s="35" t="s">
        <v>60</v>
      </c>
      <c r="O317" s="33" t="s">
        <v>1685</v>
      </c>
      <c r="P317" s="36" t="s">
        <v>62</v>
      </c>
      <c r="Q317" s="36" t="s">
        <v>92</v>
      </c>
      <c r="R317" s="36" t="s">
        <v>1682</v>
      </c>
      <c r="S317" s="37">
        <v>20.274178</v>
      </c>
      <c r="T317" s="37">
        <v>-87.486259</v>
      </c>
      <c r="U317" s="36" t="s">
        <v>1581</v>
      </c>
      <c r="V317" s="6" t="s">
        <v>135</v>
      </c>
      <c r="W317" s="6" t="s">
        <v>1683</v>
      </c>
      <c r="X317" s="1" t="s">
        <v>547</v>
      </c>
      <c r="Y317" s="33" t="s">
        <v>265</v>
      </c>
      <c r="Z317" s="36"/>
      <c r="AA317" s="37">
        <v>6.0</v>
      </c>
      <c r="AB317" s="36"/>
      <c r="AC317" s="36"/>
      <c r="AD317" s="36"/>
      <c r="AE317" s="36"/>
      <c r="AF317" s="36"/>
      <c r="AG317" s="36"/>
      <c r="AH317" s="36" t="s">
        <v>1684</v>
      </c>
      <c r="AI317" s="37">
        <v>-1470.0</v>
      </c>
      <c r="AJ317" s="37">
        <v>1950.0</v>
      </c>
      <c r="AK317" s="6" t="s">
        <v>100</v>
      </c>
      <c r="AL317" s="6" t="s">
        <v>72</v>
      </c>
      <c r="AM317" s="33" t="s">
        <v>238</v>
      </c>
      <c r="AN317" s="6" t="s">
        <v>72</v>
      </c>
      <c r="AO317" s="33"/>
      <c r="AP317" s="6" t="s">
        <v>75</v>
      </c>
      <c r="AQ317" s="33"/>
      <c r="AR317" s="33"/>
      <c r="AS317" s="33"/>
      <c r="AT317" s="6" t="s">
        <v>76</v>
      </c>
      <c r="AU317" s="33"/>
      <c r="AV317" s="33"/>
      <c r="AW317" s="33"/>
      <c r="AX317" s="33"/>
      <c r="AY317" s="33"/>
      <c r="AZ317" s="6" t="s">
        <v>60</v>
      </c>
      <c r="BA317" s="33"/>
      <c r="BB317" s="33">
        <f>VLOOKUP(O317,Eco_DEM_Data!$D$1:$AC$643,20,False)</f>
        <v>1209</v>
      </c>
      <c r="BC317" s="33">
        <f>VLOOKUP($O317,Eco_DEM_Data!$D$1:$AC$643,20,False)</f>
        <v>1209</v>
      </c>
      <c r="BD317" s="33">
        <f>VLOOKUP($O317,Eco_DEM_Data!$D$1:$AC$643,25,False)</f>
        <v>495</v>
      </c>
      <c r="BE317" s="33">
        <f>VLOOKUP($O317,Eco_DEM_Data!$D$1:$AC$643,22,False)</f>
        <v>39</v>
      </c>
      <c r="BF317" s="33">
        <f>VLOOKUP($O317,Eco_DEM_Data!$D$1:$AC$643,23,False)</f>
        <v>132</v>
      </c>
      <c r="BG317" s="33">
        <f>VLOOKUP($O317,Eco_DEM_Data!$D$1:$AC$643,21,False)</f>
        <v>5135</v>
      </c>
      <c r="BH317" s="33">
        <f>VLOOKUP($O317,Eco_DEM_Data!$D$1:$AC$643,26,False)</f>
        <v>5</v>
      </c>
      <c r="BI317" s="33" t="str">
        <f>VLOOKUP($O317,Eco_DEM_Data!$D$1:$AC$643,9,False)</f>
        <v>Yucatán moist forests</v>
      </c>
      <c r="BJ317" s="33" t="str">
        <f>VLOOKUP($O317,Eco_DEM_Data!$D$1:$AC$643,11,False)</f>
        <v>Tropical &amp; Subtropical Moist Broadleaf Forests</v>
      </c>
    </row>
    <row r="318">
      <c r="A318" s="33" t="s">
        <v>1674</v>
      </c>
      <c r="B318" s="33" t="s">
        <v>2259</v>
      </c>
      <c r="C318" s="34">
        <v>15.0</v>
      </c>
      <c r="D318" s="33" t="s">
        <v>53</v>
      </c>
      <c r="E318" s="34">
        <v>2010.0</v>
      </c>
      <c r="F318" s="33" t="s">
        <v>1675</v>
      </c>
      <c r="G318" s="33" t="s">
        <v>1676</v>
      </c>
      <c r="H318" s="33" t="s">
        <v>1386</v>
      </c>
      <c r="I318" s="33" t="s">
        <v>1677</v>
      </c>
      <c r="J318" s="33" t="s">
        <v>1678</v>
      </c>
      <c r="K318" s="34">
        <v>29.0</v>
      </c>
      <c r="L318" s="33" t="s">
        <v>1679</v>
      </c>
      <c r="M318" s="6" t="s">
        <v>1680</v>
      </c>
      <c r="N318" s="35" t="s">
        <v>60</v>
      </c>
      <c r="O318" s="33" t="s">
        <v>1686</v>
      </c>
      <c r="P318" s="36" t="s">
        <v>62</v>
      </c>
      <c r="Q318" s="36" t="s">
        <v>92</v>
      </c>
      <c r="R318" s="36" t="s">
        <v>1682</v>
      </c>
      <c r="S318" s="37">
        <v>20.274178</v>
      </c>
      <c r="T318" s="37">
        <v>-87.486259</v>
      </c>
      <c r="U318" s="36" t="s">
        <v>1581</v>
      </c>
      <c r="V318" s="6" t="s">
        <v>135</v>
      </c>
      <c r="W318" s="6" t="s">
        <v>1683</v>
      </c>
      <c r="X318" s="1" t="s">
        <v>547</v>
      </c>
      <c r="Y318" s="33" t="s">
        <v>265</v>
      </c>
      <c r="Z318" s="36"/>
      <c r="AA318" s="37"/>
      <c r="AB318" s="36"/>
      <c r="AC318" s="36"/>
      <c r="AD318" s="36"/>
      <c r="AE318" s="36"/>
      <c r="AF318" s="36"/>
      <c r="AG318" s="36"/>
      <c r="AH318" s="36"/>
      <c r="AI318" s="52" t="s">
        <v>72</v>
      </c>
      <c r="AJ318" s="52" t="s">
        <v>72</v>
      </c>
      <c r="AK318" s="6" t="s">
        <v>100</v>
      </c>
      <c r="AL318" s="6" t="s">
        <v>72</v>
      </c>
      <c r="AM318" s="33" t="s">
        <v>238</v>
      </c>
      <c r="AN318" s="6" t="s">
        <v>72</v>
      </c>
      <c r="AO318" s="33"/>
      <c r="AP318" s="6" t="s">
        <v>75</v>
      </c>
      <c r="AQ318" s="33"/>
      <c r="AR318" s="33"/>
      <c r="AS318" s="33"/>
      <c r="AT318" s="6" t="s">
        <v>76</v>
      </c>
      <c r="AU318" s="33"/>
      <c r="AV318" s="33"/>
      <c r="AW318" s="33"/>
      <c r="AX318" s="33"/>
      <c r="AY318" s="33"/>
      <c r="AZ318" s="6" t="s">
        <v>60</v>
      </c>
      <c r="BA318" s="33"/>
      <c r="BB318" s="33">
        <f>VLOOKUP(O318,Eco_DEM_Data!$D$1:$AC$643,20,False)</f>
        <v>1209</v>
      </c>
      <c r="BC318" s="33">
        <f>VLOOKUP($O318,Eco_DEM_Data!$D$1:$AC$643,20,False)</f>
        <v>1209</v>
      </c>
      <c r="BD318" s="33">
        <f>VLOOKUP($O318,Eco_DEM_Data!$D$1:$AC$643,25,False)</f>
        <v>495</v>
      </c>
      <c r="BE318" s="33">
        <f>VLOOKUP($O318,Eco_DEM_Data!$D$1:$AC$643,22,False)</f>
        <v>39</v>
      </c>
      <c r="BF318" s="33">
        <f>VLOOKUP($O318,Eco_DEM_Data!$D$1:$AC$643,23,False)</f>
        <v>132</v>
      </c>
      <c r="BG318" s="33">
        <f>VLOOKUP($O318,Eco_DEM_Data!$D$1:$AC$643,21,False)</f>
        <v>5135</v>
      </c>
      <c r="BH318" s="33">
        <f>VLOOKUP($O318,Eco_DEM_Data!$D$1:$AC$643,26,False)</f>
        <v>5</v>
      </c>
      <c r="BI318" s="33" t="str">
        <f>VLOOKUP($O318,Eco_DEM_Data!$D$1:$AC$643,9,False)</f>
        <v>Yucatán moist forests</v>
      </c>
      <c r="BJ318" s="33" t="str">
        <f>VLOOKUP($O318,Eco_DEM_Data!$D$1:$AC$643,11,False)</f>
        <v>Tropical &amp; Subtropical Moist Broadleaf Forests</v>
      </c>
    </row>
    <row r="319">
      <c r="A319" s="33" t="s">
        <v>1674</v>
      </c>
      <c r="B319" s="33" t="s">
        <v>2259</v>
      </c>
      <c r="C319" s="34">
        <v>15.0</v>
      </c>
      <c r="D319" s="33" t="s">
        <v>53</v>
      </c>
      <c r="E319" s="34">
        <v>2010.0</v>
      </c>
      <c r="F319" s="33" t="s">
        <v>1675</v>
      </c>
      <c r="G319" s="33" t="s">
        <v>1676</v>
      </c>
      <c r="H319" s="33" t="s">
        <v>1386</v>
      </c>
      <c r="I319" s="33" t="s">
        <v>1677</v>
      </c>
      <c r="J319" s="33" t="s">
        <v>1678</v>
      </c>
      <c r="K319" s="34">
        <v>29.0</v>
      </c>
      <c r="L319" s="33" t="s">
        <v>1679</v>
      </c>
      <c r="M319" s="6" t="s">
        <v>1680</v>
      </c>
      <c r="N319" s="35" t="s">
        <v>60</v>
      </c>
      <c r="O319" s="33" t="s">
        <v>1687</v>
      </c>
      <c r="P319" s="36" t="s">
        <v>62</v>
      </c>
      <c r="Q319" s="36" t="s">
        <v>92</v>
      </c>
      <c r="R319" s="36" t="s">
        <v>1682</v>
      </c>
      <c r="S319" s="37">
        <v>20.274178</v>
      </c>
      <c r="T319" s="37">
        <v>-87.486259</v>
      </c>
      <c r="U319" s="36" t="s">
        <v>1581</v>
      </c>
      <c r="V319" s="6" t="s">
        <v>388</v>
      </c>
      <c r="W319" s="6" t="s">
        <v>1683</v>
      </c>
      <c r="X319" s="1" t="s">
        <v>547</v>
      </c>
      <c r="Y319" s="33" t="s">
        <v>265</v>
      </c>
      <c r="Z319" s="36"/>
      <c r="AA319" s="37">
        <v>3.0</v>
      </c>
      <c r="AB319" s="36"/>
      <c r="AC319" s="36"/>
      <c r="AD319" s="36"/>
      <c r="AE319" s="36"/>
      <c r="AF319" s="36"/>
      <c r="AG319" s="36"/>
      <c r="AH319" s="36" t="s">
        <v>1684</v>
      </c>
      <c r="AI319" s="37">
        <v>-2350.0</v>
      </c>
      <c r="AJ319" s="37">
        <v>1950.0</v>
      </c>
      <c r="AK319" s="6" t="s">
        <v>100</v>
      </c>
      <c r="AL319" s="6" t="s">
        <v>72</v>
      </c>
      <c r="AM319" s="33" t="s">
        <v>238</v>
      </c>
      <c r="AN319" s="6" t="s">
        <v>72</v>
      </c>
      <c r="AO319" s="33"/>
      <c r="AP319" s="6" t="s">
        <v>75</v>
      </c>
      <c r="AQ319" s="33"/>
      <c r="AR319" s="33"/>
      <c r="AS319" s="33"/>
      <c r="AT319" s="6" t="s">
        <v>76</v>
      </c>
      <c r="AU319" s="33"/>
      <c r="AV319" s="33"/>
      <c r="AW319" s="33"/>
      <c r="AX319" s="33"/>
      <c r="AY319" s="33"/>
      <c r="AZ319" s="6" t="s">
        <v>60</v>
      </c>
      <c r="BA319" s="33"/>
      <c r="BB319" s="33">
        <f>VLOOKUP(O319,Eco_DEM_Data!$D$1:$AC$643,20,False)</f>
        <v>1209</v>
      </c>
      <c r="BC319" s="33">
        <f>VLOOKUP($O319,Eco_DEM_Data!$D$1:$AC$643,20,False)</f>
        <v>1209</v>
      </c>
      <c r="BD319" s="33">
        <f>VLOOKUP($O319,Eco_DEM_Data!$D$1:$AC$643,25,False)</f>
        <v>495</v>
      </c>
      <c r="BE319" s="33">
        <f>VLOOKUP($O319,Eco_DEM_Data!$D$1:$AC$643,22,False)</f>
        <v>39</v>
      </c>
      <c r="BF319" s="33">
        <f>VLOOKUP($O319,Eco_DEM_Data!$D$1:$AC$643,23,False)</f>
        <v>132</v>
      </c>
      <c r="BG319" s="33">
        <f>VLOOKUP($O319,Eco_DEM_Data!$D$1:$AC$643,21,False)</f>
        <v>5135</v>
      </c>
      <c r="BH319" s="33">
        <f>VLOOKUP($O319,Eco_DEM_Data!$D$1:$AC$643,26,False)</f>
        <v>5</v>
      </c>
      <c r="BI319" s="33" t="str">
        <f>VLOOKUP($O319,Eco_DEM_Data!$D$1:$AC$643,9,False)</f>
        <v>Yucatán moist forests</v>
      </c>
      <c r="BJ319" s="33" t="str">
        <f>VLOOKUP($O319,Eco_DEM_Data!$D$1:$AC$643,11,False)</f>
        <v>Tropical &amp; Subtropical Moist Broadleaf Forests</v>
      </c>
    </row>
    <row r="320">
      <c r="A320" s="33" t="s">
        <v>1674</v>
      </c>
      <c r="B320" s="33" t="s">
        <v>2259</v>
      </c>
      <c r="C320" s="34">
        <v>15.0</v>
      </c>
      <c r="D320" s="33" t="s">
        <v>53</v>
      </c>
      <c r="E320" s="34">
        <v>2010.0</v>
      </c>
      <c r="F320" s="33" t="s">
        <v>1675</v>
      </c>
      <c r="G320" s="33" t="s">
        <v>1676</v>
      </c>
      <c r="H320" s="33" t="s">
        <v>1386</v>
      </c>
      <c r="I320" s="33" t="s">
        <v>1677</v>
      </c>
      <c r="J320" s="33" t="s">
        <v>1678</v>
      </c>
      <c r="K320" s="34">
        <v>29.0</v>
      </c>
      <c r="L320" s="33" t="s">
        <v>1679</v>
      </c>
      <c r="M320" s="6" t="s">
        <v>1680</v>
      </c>
      <c r="N320" s="35" t="s">
        <v>60</v>
      </c>
      <c r="O320" s="33" t="s">
        <v>1688</v>
      </c>
      <c r="P320" s="36" t="s">
        <v>62</v>
      </c>
      <c r="Q320" s="36" t="s">
        <v>92</v>
      </c>
      <c r="R320" s="36" t="s">
        <v>1682</v>
      </c>
      <c r="S320" s="37">
        <v>20.274178</v>
      </c>
      <c r="T320" s="37">
        <v>-87.486259</v>
      </c>
      <c r="U320" s="36" t="s">
        <v>1581</v>
      </c>
      <c r="V320" s="6" t="s">
        <v>388</v>
      </c>
      <c r="W320" s="6" t="s">
        <v>1683</v>
      </c>
      <c r="X320" s="1" t="s">
        <v>547</v>
      </c>
      <c r="Y320" s="33" t="s">
        <v>265</v>
      </c>
      <c r="Z320" s="36"/>
      <c r="AA320" s="37">
        <v>6.0</v>
      </c>
      <c r="AB320" s="36"/>
      <c r="AC320" s="36"/>
      <c r="AD320" s="36"/>
      <c r="AE320" s="36"/>
      <c r="AF320" s="36"/>
      <c r="AG320" s="36"/>
      <c r="AH320" s="36" t="s">
        <v>1684</v>
      </c>
      <c r="AI320" s="37">
        <v>-1470.0</v>
      </c>
      <c r="AJ320" s="37">
        <v>1950.0</v>
      </c>
      <c r="AK320" s="6" t="s">
        <v>100</v>
      </c>
      <c r="AL320" s="6" t="s">
        <v>72</v>
      </c>
      <c r="AM320" s="33" t="s">
        <v>238</v>
      </c>
      <c r="AN320" s="6" t="s">
        <v>72</v>
      </c>
      <c r="AO320" s="33"/>
      <c r="AP320" s="6" t="s">
        <v>75</v>
      </c>
      <c r="AQ320" s="33"/>
      <c r="AR320" s="33"/>
      <c r="AS320" s="33"/>
      <c r="AT320" s="6" t="s">
        <v>76</v>
      </c>
      <c r="AU320" s="33"/>
      <c r="AV320" s="33"/>
      <c r="AW320" s="33"/>
      <c r="AX320" s="33"/>
      <c r="AY320" s="33"/>
      <c r="AZ320" s="6" t="s">
        <v>60</v>
      </c>
      <c r="BA320" s="33"/>
      <c r="BB320" s="33">
        <f>VLOOKUP(O320,Eco_DEM_Data!$D$1:$AC$643,20,False)</f>
        <v>1209</v>
      </c>
      <c r="BC320" s="33">
        <f>VLOOKUP($O320,Eco_DEM_Data!$D$1:$AC$643,20,False)</f>
        <v>1209</v>
      </c>
      <c r="BD320" s="33">
        <f>VLOOKUP($O320,Eco_DEM_Data!$D$1:$AC$643,25,False)</f>
        <v>495</v>
      </c>
      <c r="BE320" s="33">
        <f>VLOOKUP($O320,Eco_DEM_Data!$D$1:$AC$643,22,False)</f>
        <v>39</v>
      </c>
      <c r="BF320" s="33">
        <f>VLOOKUP($O320,Eco_DEM_Data!$D$1:$AC$643,23,False)</f>
        <v>132</v>
      </c>
      <c r="BG320" s="33">
        <f>VLOOKUP($O320,Eco_DEM_Data!$D$1:$AC$643,21,False)</f>
        <v>5135</v>
      </c>
      <c r="BH320" s="33">
        <f>VLOOKUP($O320,Eco_DEM_Data!$D$1:$AC$643,26,False)</f>
        <v>5</v>
      </c>
      <c r="BI320" s="33" t="str">
        <f>VLOOKUP($O320,Eco_DEM_Data!$D$1:$AC$643,9,False)</f>
        <v>Yucatán moist forests</v>
      </c>
      <c r="BJ320" s="33" t="str">
        <f>VLOOKUP($O320,Eco_DEM_Data!$D$1:$AC$643,11,False)</f>
        <v>Tropical &amp; Subtropical Moist Broadleaf Forests</v>
      </c>
    </row>
    <row r="321">
      <c r="A321" s="33" t="s">
        <v>1674</v>
      </c>
      <c r="B321" s="33" t="s">
        <v>2259</v>
      </c>
      <c r="C321" s="34">
        <v>15.0</v>
      </c>
      <c r="D321" s="33" t="s">
        <v>53</v>
      </c>
      <c r="E321" s="34">
        <v>2010.0</v>
      </c>
      <c r="F321" s="33" t="s">
        <v>1675</v>
      </c>
      <c r="G321" s="33" t="s">
        <v>1676</v>
      </c>
      <c r="H321" s="33" t="s">
        <v>1386</v>
      </c>
      <c r="I321" s="33" t="s">
        <v>1677</v>
      </c>
      <c r="J321" s="33" t="s">
        <v>1678</v>
      </c>
      <c r="K321" s="34">
        <v>29.0</v>
      </c>
      <c r="L321" s="33" t="s">
        <v>1679</v>
      </c>
      <c r="M321" s="6" t="s">
        <v>1680</v>
      </c>
      <c r="N321" s="35" t="s">
        <v>60</v>
      </c>
      <c r="O321" s="33" t="s">
        <v>1689</v>
      </c>
      <c r="P321" s="36" t="s">
        <v>62</v>
      </c>
      <c r="Q321" s="36" t="s">
        <v>92</v>
      </c>
      <c r="R321" s="36" t="s">
        <v>1682</v>
      </c>
      <c r="S321" s="37">
        <v>20.274178</v>
      </c>
      <c r="T321" s="37">
        <v>-87.486259</v>
      </c>
      <c r="U321" s="36" t="s">
        <v>1581</v>
      </c>
      <c r="V321" s="6" t="s">
        <v>388</v>
      </c>
      <c r="W321" s="6" t="s">
        <v>1683</v>
      </c>
      <c r="X321" s="1" t="s">
        <v>547</v>
      </c>
      <c r="Y321" s="33" t="s">
        <v>265</v>
      </c>
      <c r="Z321" s="36"/>
      <c r="AA321" s="37"/>
      <c r="AB321" s="36"/>
      <c r="AC321" s="36"/>
      <c r="AD321" s="36"/>
      <c r="AE321" s="36"/>
      <c r="AF321" s="36"/>
      <c r="AG321" s="36"/>
      <c r="AH321" s="36"/>
      <c r="AI321" s="52" t="s">
        <v>72</v>
      </c>
      <c r="AJ321" s="52" t="s">
        <v>72</v>
      </c>
      <c r="AK321" s="6" t="s">
        <v>100</v>
      </c>
      <c r="AL321" s="6" t="s">
        <v>72</v>
      </c>
      <c r="AM321" s="33" t="s">
        <v>238</v>
      </c>
      <c r="AN321" s="6" t="s">
        <v>72</v>
      </c>
      <c r="AO321" s="33"/>
      <c r="AP321" s="6" t="s">
        <v>75</v>
      </c>
      <c r="AQ321" s="33"/>
      <c r="AR321" s="33"/>
      <c r="AS321" s="33"/>
      <c r="AT321" s="6" t="s">
        <v>76</v>
      </c>
      <c r="AU321" s="33"/>
      <c r="AV321" s="33"/>
      <c r="AW321" s="33"/>
      <c r="AX321" s="33"/>
      <c r="AY321" s="33"/>
      <c r="AZ321" s="6" t="s">
        <v>60</v>
      </c>
      <c r="BA321" s="33"/>
      <c r="BB321" s="33">
        <f>VLOOKUP(O321,Eco_DEM_Data!$D$1:$AC$643,20,False)</f>
        <v>1209</v>
      </c>
      <c r="BC321" s="33">
        <f>VLOOKUP($O321,Eco_DEM_Data!$D$1:$AC$643,20,False)</f>
        <v>1209</v>
      </c>
      <c r="BD321" s="33">
        <f>VLOOKUP($O321,Eco_DEM_Data!$D$1:$AC$643,25,False)</f>
        <v>495</v>
      </c>
      <c r="BE321" s="33">
        <f>VLOOKUP($O321,Eco_DEM_Data!$D$1:$AC$643,22,False)</f>
        <v>39</v>
      </c>
      <c r="BF321" s="33">
        <f>VLOOKUP($O321,Eco_DEM_Data!$D$1:$AC$643,23,False)</f>
        <v>132</v>
      </c>
      <c r="BG321" s="33">
        <f>VLOOKUP($O321,Eco_DEM_Data!$D$1:$AC$643,21,False)</f>
        <v>5135</v>
      </c>
      <c r="BH321" s="33">
        <f>VLOOKUP($O321,Eco_DEM_Data!$D$1:$AC$643,26,False)</f>
        <v>5</v>
      </c>
      <c r="BI321" s="33" t="str">
        <f>VLOOKUP($O321,Eco_DEM_Data!$D$1:$AC$643,9,False)</f>
        <v>Yucatán moist forests</v>
      </c>
      <c r="BJ321" s="33" t="str">
        <f>VLOOKUP($O321,Eco_DEM_Data!$D$1:$AC$643,11,False)</f>
        <v>Tropical &amp; Subtropical Moist Broadleaf Forests</v>
      </c>
    </row>
    <row r="322">
      <c r="A322" s="33" t="s">
        <v>1674</v>
      </c>
      <c r="B322" s="33" t="s">
        <v>2259</v>
      </c>
      <c r="C322" s="34">
        <v>15.0</v>
      </c>
      <c r="D322" s="33" t="s">
        <v>53</v>
      </c>
      <c r="E322" s="34">
        <v>2010.0</v>
      </c>
      <c r="F322" s="33" t="s">
        <v>1675</v>
      </c>
      <c r="G322" s="33" t="s">
        <v>1676</v>
      </c>
      <c r="H322" s="33" t="s">
        <v>1386</v>
      </c>
      <c r="I322" s="33" t="s">
        <v>1677</v>
      </c>
      <c r="J322" s="33" t="s">
        <v>1678</v>
      </c>
      <c r="K322" s="34">
        <v>29.0</v>
      </c>
      <c r="L322" s="33" t="s">
        <v>1679</v>
      </c>
      <c r="M322" s="6" t="s">
        <v>1680</v>
      </c>
      <c r="N322" s="35" t="s">
        <v>60</v>
      </c>
      <c r="O322" s="33" t="s">
        <v>1690</v>
      </c>
      <c r="P322" s="36" t="s">
        <v>62</v>
      </c>
      <c r="Q322" s="36" t="s">
        <v>92</v>
      </c>
      <c r="R322" s="36" t="s">
        <v>1682</v>
      </c>
      <c r="S322" s="37">
        <v>20.274178</v>
      </c>
      <c r="T322" s="37">
        <v>-87.486259</v>
      </c>
      <c r="U322" s="36" t="s">
        <v>1581</v>
      </c>
      <c r="V322" s="38" t="s">
        <v>927</v>
      </c>
      <c r="W322" s="6" t="s">
        <v>1683</v>
      </c>
      <c r="X322" s="1" t="s">
        <v>1534</v>
      </c>
      <c r="Y322" s="33" t="s">
        <v>70</v>
      </c>
      <c r="Z322" s="36"/>
      <c r="AA322" s="37">
        <v>3.0</v>
      </c>
      <c r="AB322" s="36"/>
      <c r="AC322" s="36"/>
      <c r="AD322" s="36"/>
      <c r="AE322" s="36"/>
      <c r="AF322" s="36"/>
      <c r="AG322" s="36"/>
      <c r="AH322" s="36" t="s">
        <v>1684</v>
      </c>
      <c r="AI322" s="37">
        <v>-2350.0</v>
      </c>
      <c r="AJ322" s="37">
        <v>1950.0</v>
      </c>
      <c r="AK322" s="6" t="s">
        <v>100</v>
      </c>
      <c r="AL322" s="6" t="s">
        <v>72</v>
      </c>
      <c r="AM322" s="33" t="s">
        <v>238</v>
      </c>
      <c r="AN322" s="6" t="s">
        <v>72</v>
      </c>
      <c r="AO322" s="33"/>
      <c r="AP322" s="6" t="s">
        <v>75</v>
      </c>
      <c r="AQ322" s="33"/>
      <c r="AR322" s="33"/>
      <c r="AS322" s="33"/>
      <c r="AT322" s="6" t="s">
        <v>76</v>
      </c>
      <c r="AU322" s="33"/>
      <c r="AV322" s="33"/>
      <c r="AW322" s="33"/>
      <c r="AX322" s="33"/>
      <c r="AY322" s="33"/>
      <c r="AZ322" s="6" t="s">
        <v>60</v>
      </c>
      <c r="BA322" s="33"/>
      <c r="BB322" s="33">
        <f>VLOOKUP(O322,Eco_DEM_Data!$D$1:$AC$643,20,False)</f>
        <v>1209</v>
      </c>
      <c r="BC322" s="33">
        <f>VLOOKUP($O322,Eco_DEM_Data!$D$1:$AC$643,20,False)</f>
        <v>1209</v>
      </c>
      <c r="BD322" s="33">
        <f>VLOOKUP($O322,Eco_DEM_Data!$D$1:$AC$643,25,False)</f>
        <v>495</v>
      </c>
      <c r="BE322" s="33">
        <f>VLOOKUP($O322,Eco_DEM_Data!$D$1:$AC$643,22,False)</f>
        <v>39</v>
      </c>
      <c r="BF322" s="33">
        <f>VLOOKUP($O322,Eco_DEM_Data!$D$1:$AC$643,23,False)</f>
        <v>132</v>
      </c>
      <c r="BG322" s="33">
        <f>VLOOKUP($O322,Eco_DEM_Data!$D$1:$AC$643,21,False)</f>
        <v>5135</v>
      </c>
      <c r="BH322" s="33">
        <f>VLOOKUP($O322,Eco_DEM_Data!$D$1:$AC$643,26,False)</f>
        <v>5</v>
      </c>
      <c r="BI322" s="33" t="str">
        <f>VLOOKUP($O322,Eco_DEM_Data!$D$1:$AC$643,9,False)</f>
        <v>Yucatán moist forests</v>
      </c>
      <c r="BJ322" s="33" t="str">
        <f>VLOOKUP($O322,Eco_DEM_Data!$D$1:$AC$643,11,False)</f>
        <v>Tropical &amp; Subtropical Moist Broadleaf Forests</v>
      </c>
    </row>
    <row r="323">
      <c r="A323" s="33" t="s">
        <v>1674</v>
      </c>
      <c r="B323" s="33" t="s">
        <v>2259</v>
      </c>
      <c r="C323" s="34">
        <v>15.0</v>
      </c>
      <c r="D323" s="33" t="s">
        <v>53</v>
      </c>
      <c r="E323" s="34">
        <v>2010.0</v>
      </c>
      <c r="F323" s="33" t="s">
        <v>1675</v>
      </c>
      <c r="G323" s="33" t="s">
        <v>1676</v>
      </c>
      <c r="H323" s="33" t="s">
        <v>1386</v>
      </c>
      <c r="I323" s="33" t="s">
        <v>1677</v>
      </c>
      <c r="J323" s="33" t="s">
        <v>1678</v>
      </c>
      <c r="K323" s="34">
        <v>29.0</v>
      </c>
      <c r="L323" s="33" t="s">
        <v>1679</v>
      </c>
      <c r="M323" s="6" t="s">
        <v>1680</v>
      </c>
      <c r="N323" s="35" t="s">
        <v>60</v>
      </c>
      <c r="O323" s="33" t="s">
        <v>1691</v>
      </c>
      <c r="P323" s="36" t="s">
        <v>62</v>
      </c>
      <c r="Q323" s="36" t="s">
        <v>92</v>
      </c>
      <c r="R323" s="36" t="s">
        <v>1682</v>
      </c>
      <c r="S323" s="37">
        <v>20.274178</v>
      </c>
      <c r="T323" s="37">
        <v>-87.486259</v>
      </c>
      <c r="U323" s="36" t="s">
        <v>1581</v>
      </c>
      <c r="V323" s="38" t="s">
        <v>927</v>
      </c>
      <c r="W323" s="6" t="s">
        <v>1683</v>
      </c>
      <c r="X323" s="1" t="s">
        <v>1534</v>
      </c>
      <c r="Y323" s="33" t="s">
        <v>70</v>
      </c>
      <c r="Z323" s="36"/>
      <c r="AA323" s="37">
        <v>6.0</v>
      </c>
      <c r="AB323" s="36"/>
      <c r="AC323" s="36"/>
      <c r="AD323" s="36"/>
      <c r="AE323" s="36"/>
      <c r="AF323" s="36"/>
      <c r="AG323" s="36"/>
      <c r="AH323" s="36" t="s">
        <v>1684</v>
      </c>
      <c r="AI323" s="37">
        <v>-1470.0</v>
      </c>
      <c r="AJ323" s="37">
        <v>1950.0</v>
      </c>
      <c r="AK323" s="6" t="s">
        <v>100</v>
      </c>
      <c r="AL323" s="6" t="s">
        <v>72</v>
      </c>
      <c r="AM323" s="33" t="s">
        <v>238</v>
      </c>
      <c r="AN323" s="6" t="s">
        <v>72</v>
      </c>
      <c r="AO323" s="33"/>
      <c r="AP323" s="6" t="s">
        <v>75</v>
      </c>
      <c r="AQ323" s="33"/>
      <c r="AR323" s="33"/>
      <c r="AS323" s="33"/>
      <c r="AT323" s="6" t="s">
        <v>76</v>
      </c>
      <c r="AU323" s="33"/>
      <c r="AV323" s="33"/>
      <c r="AW323" s="33"/>
      <c r="AX323" s="33"/>
      <c r="AY323" s="33"/>
      <c r="AZ323" s="6" t="s">
        <v>60</v>
      </c>
      <c r="BA323" s="33"/>
      <c r="BB323" s="33">
        <f>VLOOKUP(O323,Eco_DEM_Data!$D$1:$AC$643,20,False)</f>
        <v>1209</v>
      </c>
      <c r="BC323" s="33">
        <f>VLOOKUP($O323,Eco_DEM_Data!$D$1:$AC$643,20,False)</f>
        <v>1209</v>
      </c>
      <c r="BD323" s="33">
        <f>VLOOKUP($O323,Eco_DEM_Data!$D$1:$AC$643,25,False)</f>
        <v>495</v>
      </c>
      <c r="BE323" s="33">
        <f>VLOOKUP($O323,Eco_DEM_Data!$D$1:$AC$643,22,False)</f>
        <v>39</v>
      </c>
      <c r="BF323" s="33">
        <f>VLOOKUP($O323,Eco_DEM_Data!$D$1:$AC$643,23,False)</f>
        <v>132</v>
      </c>
      <c r="BG323" s="33">
        <f>VLOOKUP($O323,Eco_DEM_Data!$D$1:$AC$643,21,False)</f>
        <v>5135</v>
      </c>
      <c r="BH323" s="33">
        <f>VLOOKUP($O323,Eco_DEM_Data!$D$1:$AC$643,26,False)</f>
        <v>5</v>
      </c>
      <c r="BI323" s="33" t="str">
        <f>VLOOKUP($O323,Eco_DEM_Data!$D$1:$AC$643,9,False)</f>
        <v>Yucatán moist forests</v>
      </c>
      <c r="BJ323" s="33" t="str">
        <f>VLOOKUP($O323,Eco_DEM_Data!$D$1:$AC$643,11,False)</f>
        <v>Tropical &amp; Subtropical Moist Broadleaf Forests</v>
      </c>
    </row>
    <row r="324">
      <c r="A324" s="33" t="s">
        <v>1674</v>
      </c>
      <c r="B324" s="33" t="s">
        <v>2259</v>
      </c>
      <c r="C324" s="34">
        <v>15.0</v>
      </c>
      <c r="D324" s="33" t="s">
        <v>53</v>
      </c>
      <c r="E324" s="34">
        <v>2010.0</v>
      </c>
      <c r="F324" s="33" t="s">
        <v>1675</v>
      </c>
      <c r="G324" s="33" t="s">
        <v>1676</v>
      </c>
      <c r="H324" s="33" t="s">
        <v>1386</v>
      </c>
      <c r="I324" s="33" t="s">
        <v>1677</v>
      </c>
      <c r="J324" s="33" t="s">
        <v>1678</v>
      </c>
      <c r="K324" s="34">
        <v>29.0</v>
      </c>
      <c r="L324" s="33" t="s">
        <v>1679</v>
      </c>
      <c r="M324" s="6" t="s">
        <v>1680</v>
      </c>
      <c r="N324" s="35" t="s">
        <v>60</v>
      </c>
      <c r="O324" s="33" t="s">
        <v>1692</v>
      </c>
      <c r="P324" s="36" t="s">
        <v>62</v>
      </c>
      <c r="Q324" s="36" t="s">
        <v>92</v>
      </c>
      <c r="R324" s="36" t="s">
        <v>1682</v>
      </c>
      <c r="S324" s="37">
        <v>20.274178</v>
      </c>
      <c r="T324" s="37">
        <v>-87.486259</v>
      </c>
      <c r="U324" s="36" t="s">
        <v>1581</v>
      </c>
      <c r="V324" s="38" t="s">
        <v>927</v>
      </c>
      <c r="W324" s="6" t="s">
        <v>1683</v>
      </c>
      <c r="X324" s="1" t="s">
        <v>1534</v>
      </c>
      <c r="Y324" s="33" t="s">
        <v>70</v>
      </c>
      <c r="Z324" s="36"/>
      <c r="AA324" s="37"/>
      <c r="AB324" s="36"/>
      <c r="AC324" s="36"/>
      <c r="AD324" s="36"/>
      <c r="AE324" s="36"/>
      <c r="AF324" s="36"/>
      <c r="AG324" s="36"/>
      <c r="AH324" s="36"/>
      <c r="AI324" s="52" t="s">
        <v>72</v>
      </c>
      <c r="AJ324" s="52" t="s">
        <v>72</v>
      </c>
      <c r="AK324" s="6" t="s">
        <v>100</v>
      </c>
      <c r="AL324" s="6" t="s">
        <v>72</v>
      </c>
      <c r="AM324" s="33" t="s">
        <v>238</v>
      </c>
      <c r="AN324" s="6" t="s">
        <v>72</v>
      </c>
      <c r="AO324" s="33"/>
      <c r="AP324" s="6" t="s">
        <v>75</v>
      </c>
      <c r="AQ324" s="33"/>
      <c r="AR324" s="33"/>
      <c r="AS324" s="33"/>
      <c r="AT324" s="6" t="s">
        <v>76</v>
      </c>
      <c r="AU324" s="33"/>
      <c r="AV324" s="33"/>
      <c r="AW324" s="33"/>
      <c r="AX324" s="33"/>
      <c r="AY324" s="33"/>
      <c r="AZ324" s="6" t="s">
        <v>60</v>
      </c>
      <c r="BA324" s="33"/>
      <c r="BB324" s="33">
        <f>VLOOKUP(O324,Eco_DEM_Data!$D$1:$AC$643,20,False)</f>
        <v>1209</v>
      </c>
      <c r="BC324" s="33">
        <f>VLOOKUP($O324,Eco_DEM_Data!$D$1:$AC$643,20,False)</f>
        <v>1209</v>
      </c>
      <c r="BD324" s="33">
        <f>VLOOKUP($O324,Eco_DEM_Data!$D$1:$AC$643,25,False)</f>
        <v>495</v>
      </c>
      <c r="BE324" s="33">
        <f>VLOOKUP($O324,Eco_DEM_Data!$D$1:$AC$643,22,False)</f>
        <v>39</v>
      </c>
      <c r="BF324" s="33">
        <f>VLOOKUP($O324,Eco_DEM_Data!$D$1:$AC$643,23,False)</f>
        <v>132</v>
      </c>
      <c r="BG324" s="33">
        <f>VLOOKUP($O324,Eco_DEM_Data!$D$1:$AC$643,21,False)</f>
        <v>5135</v>
      </c>
      <c r="BH324" s="33">
        <f>VLOOKUP($O324,Eco_DEM_Data!$D$1:$AC$643,26,False)</f>
        <v>5</v>
      </c>
      <c r="BI324" s="33" t="str">
        <f>VLOOKUP($O324,Eco_DEM_Data!$D$1:$AC$643,9,False)</f>
        <v>Yucatán moist forests</v>
      </c>
      <c r="BJ324" s="33" t="str">
        <f>VLOOKUP($O324,Eco_DEM_Data!$D$1:$AC$643,11,False)</f>
        <v>Tropical &amp; Subtropical Moist Broadleaf Forests</v>
      </c>
    </row>
    <row r="325">
      <c r="A325" s="33" t="s">
        <v>1674</v>
      </c>
      <c r="B325" s="33" t="s">
        <v>2259</v>
      </c>
      <c r="C325" s="34">
        <v>15.0</v>
      </c>
      <c r="D325" s="33" t="s">
        <v>53</v>
      </c>
      <c r="E325" s="34">
        <v>2010.0</v>
      </c>
      <c r="F325" s="33" t="s">
        <v>1675</v>
      </c>
      <c r="G325" s="33" t="s">
        <v>1676</v>
      </c>
      <c r="H325" s="33" t="s">
        <v>1386</v>
      </c>
      <c r="I325" s="33" t="s">
        <v>1677</v>
      </c>
      <c r="J325" s="33" t="s">
        <v>1678</v>
      </c>
      <c r="K325" s="34">
        <v>29.0</v>
      </c>
      <c r="L325" s="33" t="s">
        <v>1679</v>
      </c>
      <c r="M325" s="6" t="s">
        <v>1680</v>
      </c>
      <c r="N325" s="35" t="s">
        <v>60</v>
      </c>
      <c r="O325" s="33" t="s">
        <v>1693</v>
      </c>
      <c r="P325" s="36" t="s">
        <v>62</v>
      </c>
      <c r="Q325" s="36" t="s">
        <v>92</v>
      </c>
      <c r="R325" s="36" t="s">
        <v>1682</v>
      </c>
      <c r="S325" s="37">
        <v>20.274178</v>
      </c>
      <c r="T325" s="37">
        <v>-87.486259</v>
      </c>
      <c r="U325" s="36" t="s">
        <v>1581</v>
      </c>
      <c r="V325" s="38" t="s">
        <v>1694</v>
      </c>
      <c r="W325" s="6" t="s">
        <v>1683</v>
      </c>
      <c r="X325" s="1" t="s">
        <v>1695</v>
      </c>
      <c r="Y325" s="33" t="s">
        <v>1696</v>
      </c>
      <c r="Z325" s="36"/>
      <c r="AA325" s="37">
        <v>3.0</v>
      </c>
      <c r="AB325" s="36"/>
      <c r="AC325" s="36"/>
      <c r="AD325" s="36"/>
      <c r="AE325" s="36"/>
      <c r="AF325" s="36"/>
      <c r="AG325" s="36"/>
      <c r="AH325" s="36" t="s">
        <v>1684</v>
      </c>
      <c r="AI325" s="37">
        <v>-2350.0</v>
      </c>
      <c r="AJ325" s="37">
        <v>1950.0</v>
      </c>
      <c r="AK325" s="6" t="s">
        <v>100</v>
      </c>
      <c r="AL325" s="6" t="s">
        <v>72</v>
      </c>
      <c r="AM325" s="33" t="s">
        <v>238</v>
      </c>
      <c r="AN325" s="6" t="s">
        <v>72</v>
      </c>
      <c r="AO325" s="33"/>
      <c r="AP325" s="6" t="s">
        <v>75</v>
      </c>
      <c r="AQ325" s="33"/>
      <c r="AR325" s="33"/>
      <c r="AS325" s="33"/>
      <c r="AT325" s="6" t="s">
        <v>76</v>
      </c>
      <c r="AU325" s="33"/>
      <c r="AV325" s="33"/>
      <c r="AW325" s="33"/>
      <c r="AX325" s="33"/>
      <c r="AY325" s="33"/>
      <c r="AZ325" s="6" t="s">
        <v>60</v>
      </c>
      <c r="BA325" s="33"/>
      <c r="BB325" s="33">
        <f>VLOOKUP(O325,Eco_DEM_Data!$D$1:$AC$643,20,False)</f>
        <v>1209</v>
      </c>
      <c r="BC325" s="33">
        <f>VLOOKUP($O325,Eco_DEM_Data!$D$1:$AC$643,20,False)</f>
        <v>1209</v>
      </c>
      <c r="BD325" s="33">
        <f>VLOOKUP($O325,Eco_DEM_Data!$D$1:$AC$643,25,False)</f>
        <v>495</v>
      </c>
      <c r="BE325" s="33">
        <f>VLOOKUP($O325,Eco_DEM_Data!$D$1:$AC$643,22,False)</f>
        <v>39</v>
      </c>
      <c r="BF325" s="33">
        <f>VLOOKUP($O325,Eco_DEM_Data!$D$1:$AC$643,23,False)</f>
        <v>132</v>
      </c>
      <c r="BG325" s="33">
        <f>VLOOKUP($O325,Eco_DEM_Data!$D$1:$AC$643,21,False)</f>
        <v>5135</v>
      </c>
      <c r="BH325" s="33">
        <f>VLOOKUP($O325,Eco_DEM_Data!$D$1:$AC$643,26,False)</f>
        <v>5</v>
      </c>
      <c r="BI325" s="33" t="str">
        <f>VLOOKUP($O325,Eco_DEM_Data!$D$1:$AC$643,9,False)</f>
        <v>Yucatán moist forests</v>
      </c>
      <c r="BJ325" s="33" t="str">
        <f>VLOOKUP($O325,Eco_DEM_Data!$D$1:$AC$643,11,False)</f>
        <v>Tropical &amp; Subtropical Moist Broadleaf Forests</v>
      </c>
    </row>
    <row r="326">
      <c r="A326" s="33" t="s">
        <v>1674</v>
      </c>
      <c r="B326" s="33" t="s">
        <v>2259</v>
      </c>
      <c r="C326" s="34">
        <v>15.0</v>
      </c>
      <c r="D326" s="33" t="s">
        <v>53</v>
      </c>
      <c r="E326" s="34">
        <v>2010.0</v>
      </c>
      <c r="F326" s="33" t="s">
        <v>1675</v>
      </c>
      <c r="G326" s="36" t="s">
        <v>1676</v>
      </c>
      <c r="H326" s="33" t="s">
        <v>1386</v>
      </c>
      <c r="I326" s="33" t="s">
        <v>1677</v>
      </c>
      <c r="J326" s="33" t="s">
        <v>1678</v>
      </c>
      <c r="K326" s="34">
        <v>29.0</v>
      </c>
      <c r="L326" s="33" t="s">
        <v>1679</v>
      </c>
      <c r="M326" s="6" t="s">
        <v>1680</v>
      </c>
      <c r="N326" s="35" t="s">
        <v>60</v>
      </c>
      <c r="O326" s="33" t="s">
        <v>1697</v>
      </c>
      <c r="P326" s="36" t="s">
        <v>62</v>
      </c>
      <c r="Q326" s="36" t="s">
        <v>92</v>
      </c>
      <c r="R326" s="36" t="s">
        <v>1682</v>
      </c>
      <c r="S326" s="37">
        <v>20.274178</v>
      </c>
      <c r="T326" s="37">
        <v>-87.486259</v>
      </c>
      <c r="U326" s="36" t="s">
        <v>1581</v>
      </c>
      <c r="V326" s="38" t="s">
        <v>1694</v>
      </c>
      <c r="W326" s="6" t="s">
        <v>1683</v>
      </c>
      <c r="X326" s="1" t="s">
        <v>1698</v>
      </c>
      <c r="Y326" s="33" t="s">
        <v>1696</v>
      </c>
      <c r="Z326" s="36"/>
      <c r="AA326" s="37">
        <v>6.0</v>
      </c>
      <c r="AB326" s="36"/>
      <c r="AC326" s="36"/>
      <c r="AD326" s="36"/>
      <c r="AE326" s="36"/>
      <c r="AF326" s="36"/>
      <c r="AG326" s="36"/>
      <c r="AH326" s="36" t="s">
        <v>1684</v>
      </c>
      <c r="AI326" s="37">
        <v>-1470.0</v>
      </c>
      <c r="AJ326" s="37">
        <v>1950.0</v>
      </c>
      <c r="AK326" s="6" t="s">
        <v>100</v>
      </c>
      <c r="AL326" s="6" t="s">
        <v>72</v>
      </c>
      <c r="AM326" s="33" t="s">
        <v>238</v>
      </c>
      <c r="AN326" s="6" t="s">
        <v>72</v>
      </c>
      <c r="AO326" s="33"/>
      <c r="AP326" s="6" t="s">
        <v>75</v>
      </c>
      <c r="AQ326" s="33"/>
      <c r="AR326" s="33"/>
      <c r="AS326" s="33"/>
      <c r="AT326" s="6" t="s">
        <v>76</v>
      </c>
      <c r="AU326" s="33"/>
      <c r="AV326" s="33"/>
      <c r="AW326" s="33"/>
      <c r="AX326" s="33"/>
      <c r="AY326" s="33"/>
      <c r="AZ326" s="6" t="s">
        <v>60</v>
      </c>
      <c r="BA326" s="33"/>
      <c r="BB326" s="33">
        <f>VLOOKUP(O326,Eco_DEM_Data!$D$1:$AC$643,20,False)</f>
        <v>1209</v>
      </c>
      <c r="BC326" s="33">
        <f>VLOOKUP($O326,Eco_DEM_Data!$D$1:$AC$643,20,False)</f>
        <v>1209</v>
      </c>
      <c r="BD326" s="33">
        <f>VLOOKUP($O326,Eco_DEM_Data!$D$1:$AC$643,25,False)</f>
        <v>495</v>
      </c>
      <c r="BE326" s="33">
        <f>VLOOKUP($O326,Eco_DEM_Data!$D$1:$AC$643,22,False)</f>
        <v>39</v>
      </c>
      <c r="BF326" s="33">
        <f>VLOOKUP($O326,Eco_DEM_Data!$D$1:$AC$643,23,False)</f>
        <v>132</v>
      </c>
      <c r="BG326" s="33">
        <f>VLOOKUP($O326,Eco_DEM_Data!$D$1:$AC$643,21,False)</f>
        <v>5135</v>
      </c>
      <c r="BH326" s="33">
        <f>VLOOKUP($O326,Eco_DEM_Data!$D$1:$AC$643,26,False)</f>
        <v>5</v>
      </c>
      <c r="BI326" s="33" t="str">
        <f>VLOOKUP($O326,Eco_DEM_Data!$D$1:$AC$643,9,False)</f>
        <v>Yucatán moist forests</v>
      </c>
      <c r="BJ326" s="33" t="str">
        <f>VLOOKUP($O326,Eco_DEM_Data!$D$1:$AC$643,11,False)</f>
        <v>Tropical &amp; Subtropical Moist Broadleaf Forests</v>
      </c>
    </row>
    <row r="327">
      <c r="A327" s="33" t="s">
        <v>1674</v>
      </c>
      <c r="B327" s="33" t="s">
        <v>2259</v>
      </c>
      <c r="C327" s="34">
        <v>15.0</v>
      </c>
      <c r="D327" s="33" t="s">
        <v>53</v>
      </c>
      <c r="E327" s="34">
        <v>2010.0</v>
      </c>
      <c r="F327" s="66" t="s">
        <v>1675</v>
      </c>
      <c r="G327" s="33" t="s">
        <v>1676</v>
      </c>
      <c r="H327" s="33" t="s">
        <v>1386</v>
      </c>
      <c r="I327" s="33" t="s">
        <v>1677</v>
      </c>
      <c r="J327" s="33" t="s">
        <v>1678</v>
      </c>
      <c r="K327" s="34">
        <v>29.0</v>
      </c>
      <c r="L327" s="34" t="s">
        <v>1679</v>
      </c>
      <c r="M327" s="6" t="s">
        <v>1680</v>
      </c>
      <c r="N327" s="35" t="s">
        <v>60</v>
      </c>
      <c r="O327" s="33" t="s">
        <v>1699</v>
      </c>
      <c r="P327" s="36" t="s">
        <v>62</v>
      </c>
      <c r="Q327" s="36" t="s">
        <v>92</v>
      </c>
      <c r="R327" s="36" t="s">
        <v>1682</v>
      </c>
      <c r="S327" s="37">
        <v>20.274178</v>
      </c>
      <c r="T327" s="37">
        <v>-87.486259</v>
      </c>
      <c r="U327" s="36" t="s">
        <v>1581</v>
      </c>
      <c r="V327" s="38" t="s">
        <v>1694</v>
      </c>
      <c r="W327" s="6" t="s">
        <v>1683</v>
      </c>
      <c r="X327" s="1" t="s">
        <v>1700</v>
      </c>
      <c r="Y327" s="33" t="s">
        <v>1696</v>
      </c>
      <c r="Z327" s="36"/>
      <c r="AA327" s="37"/>
      <c r="AB327" s="36"/>
      <c r="AC327" s="36"/>
      <c r="AD327" s="36"/>
      <c r="AE327" s="36"/>
      <c r="AF327" s="36"/>
      <c r="AG327" s="36"/>
      <c r="AH327" s="36"/>
      <c r="AI327" s="52" t="s">
        <v>72</v>
      </c>
      <c r="AJ327" s="52" t="s">
        <v>72</v>
      </c>
      <c r="AK327" s="6" t="s">
        <v>100</v>
      </c>
      <c r="AL327" s="6" t="s">
        <v>72</v>
      </c>
      <c r="AM327" s="33" t="s">
        <v>238</v>
      </c>
      <c r="AN327" s="6" t="s">
        <v>72</v>
      </c>
      <c r="AO327" s="33"/>
      <c r="AP327" s="6" t="s">
        <v>75</v>
      </c>
      <c r="AQ327" s="33"/>
      <c r="AR327" s="33"/>
      <c r="AS327" s="33"/>
      <c r="AT327" s="6" t="s">
        <v>76</v>
      </c>
      <c r="AU327" s="33"/>
      <c r="AV327" s="33"/>
      <c r="AW327" s="33"/>
      <c r="AX327" s="33"/>
      <c r="AY327" s="33"/>
      <c r="AZ327" s="6" t="s">
        <v>60</v>
      </c>
      <c r="BA327" s="33"/>
      <c r="BB327" s="33">
        <f>VLOOKUP(O327,Eco_DEM_Data!$D$1:$AC$643,20,False)</f>
        <v>1209</v>
      </c>
      <c r="BC327" s="33">
        <f>VLOOKUP($O327,Eco_DEM_Data!$D$1:$AC$643,20,False)</f>
        <v>1209</v>
      </c>
      <c r="BD327" s="33">
        <f>VLOOKUP($O327,Eco_DEM_Data!$D$1:$AC$643,25,False)</f>
        <v>495</v>
      </c>
      <c r="BE327" s="33">
        <f>VLOOKUP($O327,Eco_DEM_Data!$D$1:$AC$643,22,False)</f>
        <v>39</v>
      </c>
      <c r="BF327" s="33">
        <f>VLOOKUP($O327,Eco_DEM_Data!$D$1:$AC$643,23,False)</f>
        <v>132</v>
      </c>
      <c r="BG327" s="33">
        <f>VLOOKUP($O327,Eco_DEM_Data!$D$1:$AC$643,21,False)</f>
        <v>5135</v>
      </c>
      <c r="BH327" s="33">
        <f>VLOOKUP($O327,Eco_DEM_Data!$D$1:$AC$643,26,False)</f>
        <v>5</v>
      </c>
      <c r="BI327" s="33" t="str">
        <f>VLOOKUP($O327,Eco_DEM_Data!$D$1:$AC$643,9,False)</f>
        <v>Yucatán moist forests</v>
      </c>
      <c r="BJ327" s="33" t="str">
        <f>VLOOKUP($O327,Eco_DEM_Data!$D$1:$AC$643,11,False)</f>
        <v>Tropical &amp; Subtropical Moist Broadleaf Forests</v>
      </c>
    </row>
    <row r="328">
      <c r="A328" s="33" t="s">
        <v>1674</v>
      </c>
      <c r="B328" s="33" t="s">
        <v>2259</v>
      </c>
      <c r="C328" s="34">
        <v>15.0</v>
      </c>
      <c r="D328" s="33" t="s">
        <v>53</v>
      </c>
      <c r="E328" s="34">
        <v>2010.0</v>
      </c>
      <c r="F328" s="33" t="s">
        <v>1675</v>
      </c>
      <c r="G328" s="33" t="s">
        <v>1676</v>
      </c>
      <c r="H328" s="33" t="s">
        <v>1386</v>
      </c>
      <c r="I328" s="33" t="s">
        <v>1677</v>
      </c>
      <c r="J328" s="33" t="s">
        <v>1678</v>
      </c>
      <c r="K328" s="34">
        <v>29.0</v>
      </c>
      <c r="L328" s="33" t="s">
        <v>1679</v>
      </c>
      <c r="M328" s="6" t="s">
        <v>1680</v>
      </c>
      <c r="N328" s="35" t="s">
        <v>60</v>
      </c>
      <c r="O328" s="33" t="s">
        <v>1701</v>
      </c>
      <c r="P328" s="36" t="s">
        <v>62</v>
      </c>
      <c r="Q328" s="36" t="s">
        <v>92</v>
      </c>
      <c r="R328" s="36" t="s">
        <v>1682</v>
      </c>
      <c r="S328" s="37">
        <v>20.274178</v>
      </c>
      <c r="T328" s="37">
        <v>-87.486259</v>
      </c>
      <c r="U328" s="36" t="s">
        <v>1581</v>
      </c>
      <c r="V328" s="38" t="s">
        <v>1702</v>
      </c>
      <c r="W328" s="6" t="s">
        <v>1683</v>
      </c>
      <c r="X328" s="3" t="s">
        <v>72</v>
      </c>
      <c r="Y328" s="33" t="s">
        <v>70</v>
      </c>
      <c r="Z328" s="36"/>
      <c r="AA328" s="37">
        <v>3.0</v>
      </c>
      <c r="AB328" s="36"/>
      <c r="AC328" s="36"/>
      <c r="AD328" s="36"/>
      <c r="AE328" s="36"/>
      <c r="AF328" s="36"/>
      <c r="AG328" s="36"/>
      <c r="AH328" s="36" t="s">
        <v>1684</v>
      </c>
      <c r="AI328" s="37">
        <v>-2350.0</v>
      </c>
      <c r="AJ328" s="37">
        <v>1950.0</v>
      </c>
      <c r="AK328" s="6" t="s">
        <v>100</v>
      </c>
      <c r="AL328" s="6" t="s">
        <v>72</v>
      </c>
      <c r="AM328" s="33" t="s">
        <v>238</v>
      </c>
      <c r="AN328" s="6" t="s">
        <v>72</v>
      </c>
      <c r="AO328" s="33"/>
      <c r="AP328" s="6" t="s">
        <v>75</v>
      </c>
      <c r="AQ328" s="33"/>
      <c r="AR328" s="33"/>
      <c r="AS328" s="33"/>
      <c r="AT328" s="6" t="s">
        <v>76</v>
      </c>
      <c r="AU328" s="33"/>
      <c r="AV328" s="33"/>
      <c r="AW328" s="33"/>
      <c r="AX328" s="33"/>
      <c r="AY328" s="33"/>
      <c r="AZ328" s="6" t="s">
        <v>60</v>
      </c>
      <c r="BA328" s="33"/>
      <c r="BB328" s="33">
        <f>VLOOKUP(O328,Eco_DEM_Data!$D$1:$AC$643,20,False)</f>
        <v>1209</v>
      </c>
      <c r="BC328" s="33">
        <f>VLOOKUP($O328,Eco_DEM_Data!$D$1:$AC$643,20,False)</f>
        <v>1209</v>
      </c>
      <c r="BD328" s="33">
        <f>VLOOKUP($O328,Eco_DEM_Data!$D$1:$AC$643,25,False)</f>
        <v>495</v>
      </c>
      <c r="BE328" s="33">
        <f>VLOOKUP($O328,Eco_DEM_Data!$D$1:$AC$643,22,False)</f>
        <v>39</v>
      </c>
      <c r="BF328" s="33">
        <f>VLOOKUP($O328,Eco_DEM_Data!$D$1:$AC$643,23,False)</f>
        <v>132</v>
      </c>
      <c r="BG328" s="33">
        <f>VLOOKUP($O328,Eco_DEM_Data!$D$1:$AC$643,21,False)</f>
        <v>5135</v>
      </c>
      <c r="BH328" s="33">
        <f>VLOOKUP($O328,Eco_DEM_Data!$D$1:$AC$643,26,False)</f>
        <v>5</v>
      </c>
      <c r="BI328" s="33" t="str">
        <f>VLOOKUP($O328,Eco_DEM_Data!$D$1:$AC$643,9,False)</f>
        <v>Yucatán moist forests</v>
      </c>
      <c r="BJ328" s="33" t="str">
        <f>VLOOKUP($O328,Eco_DEM_Data!$D$1:$AC$643,11,False)</f>
        <v>Tropical &amp; Subtropical Moist Broadleaf Forests</v>
      </c>
    </row>
    <row r="329">
      <c r="A329" s="33" t="s">
        <v>1674</v>
      </c>
      <c r="B329" s="33" t="s">
        <v>2259</v>
      </c>
      <c r="C329" s="34">
        <v>15.0</v>
      </c>
      <c r="D329" s="33" t="s">
        <v>53</v>
      </c>
      <c r="E329" s="34">
        <v>2010.0</v>
      </c>
      <c r="F329" s="33" t="s">
        <v>1675</v>
      </c>
      <c r="G329" s="33" t="s">
        <v>1676</v>
      </c>
      <c r="H329" s="33" t="s">
        <v>1386</v>
      </c>
      <c r="I329" s="33" t="s">
        <v>1677</v>
      </c>
      <c r="J329" s="33" t="s">
        <v>1678</v>
      </c>
      <c r="K329" s="34">
        <v>29.0</v>
      </c>
      <c r="L329" s="33" t="s">
        <v>1679</v>
      </c>
      <c r="M329" s="6" t="s">
        <v>1680</v>
      </c>
      <c r="N329" s="35" t="s">
        <v>60</v>
      </c>
      <c r="O329" s="33" t="s">
        <v>1703</v>
      </c>
      <c r="P329" s="36" t="s">
        <v>62</v>
      </c>
      <c r="Q329" s="36" t="s">
        <v>92</v>
      </c>
      <c r="R329" s="36" t="s">
        <v>1682</v>
      </c>
      <c r="S329" s="37">
        <v>20.274178</v>
      </c>
      <c r="T329" s="37">
        <v>-87.486259</v>
      </c>
      <c r="U329" s="36" t="s">
        <v>1581</v>
      </c>
      <c r="V329" s="38" t="s">
        <v>1702</v>
      </c>
      <c r="W329" s="6" t="s">
        <v>1683</v>
      </c>
      <c r="X329" s="3" t="s">
        <v>72</v>
      </c>
      <c r="Y329" s="33" t="s">
        <v>70</v>
      </c>
      <c r="Z329" s="36"/>
      <c r="AA329" s="37">
        <v>6.0</v>
      </c>
      <c r="AB329" s="36"/>
      <c r="AC329" s="36"/>
      <c r="AD329" s="36"/>
      <c r="AE329" s="36"/>
      <c r="AF329" s="36"/>
      <c r="AG329" s="36"/>
      <c r="AH329" s="36" t="s">
        <v>1684</v>
      </c>
      <c r="AI329" s="37">
        <v>-1470.0</v>
      </c>
      <c r="AJ329" s="37">
        <v>1950.0</v>
      </c>
      <c r="AK329" s="6" t="s">
        <v>100</v>
      </c>
      <c r="AL329" s="6" t="s">
        <v>72</v>
      </c>
      <c r="AM329" s="33" t="s">
        <v>238</v>
      </c>
      <c r="AN329" s="6" t="s">
        <v>72</v>
      </c>
      <c r="AO329" s="33"/>
      <c r="AP329" s="6" t="s">
        <v>75</v>
      </c>
      <c r="AQ329" s="33"/>
      <c r="AR329" s="33"/>
      <c r="AS329" s="33"/>
      <c r="AT329" s="6" t="s">
        <v>76</v>
      </c>
      <c r="AU329" s="33"/>
      <c r="AV329" s="33"/>
      <c r="AW329" s="33"/>
      <c r="AX329" s="33"/>
      <c r="AY329" s="33"/>
      <c r="AZ329" s="6" t="s">
        <v>60</v>
      </c>
      <c r="BA329" s="33"/>
      <c r="BB329" s="33">
        <f>VLOOKUP(O329,Eco_DEM_Data!$D$1:$AC$643,20,False)</f>
        <v>1209</v>
      </c>
      <c r="BC329" s="33">
        <f>VLOOKUP($O329,Eco_DEM_Data!$D$1:$AC$643,20,False)</f>
        <v>1209</v>
      </c>
      <c r="BD329" s="33">
        <f>VLOOKUP($O329,Eco_DEM_Data!$D$1:$AC$643,25,False)</f>
        <v>495</v>
      </c>
      <c r="BE329" s="33">
        <f>VLOOKUP($O329,Eco_DEM_Data!$D$1:$AC$643,22,False)</f>
        <v>39</v>
      </c>
      <c r="BF329" s="33">
        <f>VLOOKUP($O329,Eco_DEM_Data!$D$1:$AC$643,23,False)</f>
        <v>132</v>
      </c>
      <c r="BG329" s="33">
        <f>VLOOKUP($O329,Eco_DEM_Data!$D$1:$AC$643,21,False)</f>
        <v>5135</v>
      </c>
      <c r="BH329" s="33">
        <f>VLOOKUP($O329,Eco_DEM_Data!$D$1:$AC$643,26,False)</f>
        <v>5</v>
      </c>
      <c r="BI329" s="33" t="str">
        <f>VLOOKUP($O329,Eco_DEM_Data!$D$1:$AC$643,9,False)</f>
        <v>Yucatán moist forests</v>
      </c>
      <c r="BJ329" s="33" t="str">
        <f>VLOOKUP($O329,Eco_DEM_Data!$D$1:$AC$643,11,False)</f>
        <v>Tropical &amp; Subtropical Moist Broadleaf Forests</v>
      </c>
    </row>
    <row r="330">
      <c r="A330" s="33" t="s">
        <v>1674</v>
      </c>
      <c r="B330" s="33" t="s">
        <v>2259</v>
      </c>
      <c r="C330" s="34">
        <v>15.0</v>
      </c>
      <c r="D330" s="33" t="s">
        <v>53</v>
      </c>
      <c r="E330" s="34">
        <v>2010.0</v>
      </c>
      <c r="F330" s="33" t="s">
        <v>1675</v>
      </c>
      <c r="G330" s="36" t="s">
        <v>1676</v>
      </c>
      <c r="H330" s="33" t="s">
        <v>1386</v>
      </c>
      <c r="I330" s="33" t="s">
        <v>1677</v>
      </c>
      <c r="J330" s="33" t="s">
        <v>1678</v>
      </c>
      <c r="K330" s="34">
        <v>29.0</v>
      </c>
      <c r="L330" s="33" t="s">
        <v>1679</v>
      </c>
      <c r="M330" s="6" t="s">
        <v>1680</v>
      </c>
      <c r="N330" s="35" t="s">
        <v>60</v>
      </c>
      <c r="O330" s="33" t="s">
        <v>1704</v>
      </c>
      <c r="P330" s="36" t="s">
        <v>62</v>
      </c>
      <c r="Q330" s="36" t="s">
        <v>92</v>
      </c>
      <c r="R330" s="36" t="s">
        <v>1682</v>
      </c>
      <c r="S330" s="37">
        <v>20.274178</v>
      </c>
      <c r="T330" s="37">
        <v>-87.486259</v>
      </c>
      <c r="U330" s="36" t="s">
        <v>1581</v>
      </c>
      <c r="V330" s="38" t="s">
        <v>1702</v>
      </c>
      <c r="W330" s="6" t="s">
        <v>1683</v>
      </c>
      <c r="X330" s="3" t="s">
        <v>72</v>
      </c>
      <c r="Y330" s="33" t="s">
        <v>70</v>
      </c>
      <c r="Z330" s="36"/>
      <c r="AA330" s="37"/>
      <c r="AB330" s="36"/>
      <c r="AC330" s="36"/>
      <c r="AD330" s="36"/>
      <c r="AE330" s="36"/>
      <c r="AF330" s="36"/>
      <c r="AG330" s="36"/>
      <c r="AH330" s="36"/>
      <c r="AI330" s="52" t="s">
        <v>72</v>
      </c>
      <c r="AJ330" s="52" t="s">
        <v>72</v>
      </c>
      <c r="AK330" s="6" t="s">
        <v>100</v>
      </c>
      <c r="AL330" s="6" t="s">
        <v>72</v>
      </c>
      <c r="AM330" s="33" t="s">
        <v>238</v>
      </c>
      <c r="AN330" s="6" t="s">
        <v>72</v>
      </c>
      <c r="AO330" s="33"/>
      <c r="AP330" s="6" t="s">
        <v>75</v>
      </c>
      <c r="AQ330" s="33"/>
      <c r="AR330" s="33"/>
      <c r="AS330" s="33"/>
      <c r="AT330" s="6" t="s">
        <v>76</v>
      </c>
      <c r="AU330" s="33"/>
      <c r="AV330" s="33"/>
      <c r="AW330" s="33"/>
      <c r="AX330" s="33"/>
      <c r="AY330" s="33"/>
      <c r="AZ330" s="6" t="s">
        <v>60</v>
      </c>
      <c r="BA330" s="33"/>
      <c r="BB330" s="33">
        <f>VLOOKUP(O330,Eco_DEM_Data!$D$1:$AC$643,20,False)</f>
        <v>1209</v>
      </c>
      <c r="BC330" s="33">
        <f>VLOOKUP($O330,Eco_DEM_Data!$D$1:$AC$643,20,False)</f>
        <v>1209</v>
      </c>
      <c r="BD330" s="33">
        <f>VLOOKUP($O330,Eco_DEM_Data!$D$1:$AC$643,25,False)</f>
        <v>495</v>
      </c>
      <c r="BE330" s="33">
        <f>VLOOKUP($O330,Eco_DEM_Data!$D$1:$AC$643,22,False)</f>
        <v>39</v>
      </c>
      <c r="BF330" s="33">
        <f>VLOOKUP($O330,Eco_DEM_Data!$D$1:$AC$643,23,False)</f>
        <v>132</v>
      </c>
      <c r="BG330" s="33">
        <f>VLOOKUP($O330,Eco_DEM_Data!$D$1:$AC$643,21,False)</f>
        <v>5135</v>
      </c>
      <c r="BH330" s="33">
        <f>VLOOKUP($O330,Eco_DEM_Data!$D$1:$AC$643,26,False)</f>
        <v>5</v>
      </c>
      <c r="BI330" s="33" t="str">
        <f>VLOOKUP($O330,Eco_DEM_Data!$D$1:$AC$643,9,False)</f>
        <v>Yucatán moist forests</v>
      </c>
      <c r="BJ330" s="33" t="str">
        <f>VLOOKUP($O330,Eco_DEM_Data!$D$1:$AC$643,11,False)</f>
        <v>Tropical &amp; Subtropical Moist Broadleaf Forests</v>
      </c>
    </row>
    <row r="331">
      <c r="A331" s="33" t="s">
        <v>2095</v>
      </c>
      <c r="B331" s="33" t="s">
        <v>2258</v>
      </c>
      <c r="C331" s="34">
        <v>3.0</v>
      </c>
      <c r="D331" s="33" t="s">
        <v>268</v>
      </c>
      <c r="E331" s="34">
        <v>2011.0</v>
      </c>
      <c r="F331" s="33" t="s">
        <v>2096</v>
      </c>
      <c r="G331" s="45" t="s">
        <v>2097</v>
      </c>
      <c r="H331" s="46"/>
      <c r="I331" s="33"/>
      <c r="J331" s="33" t="s">
        <v>2098</v>
      </c>
      <c r="K331" s="34">
        <v>21.0</v>
      </c>
      <c r="L331" s="33"/>
      <c r="M331" s="6" t="s">
        <v>2099</v>
      </c>
      <c r="N331" s="35" t="s">
        <v>60</v>
      </c>
      <c r="O331" s="33" t="s">
        <v>2100</v>
      </c>
      <c r="P331" s="36" t="s">
        <v>62</v>
      </c>
      <c r="Q331" s="36" t="s">
        <v>521</v>
      </c>
      <c r="R331" s="36" t="s">
        <v>2101</v>
      </c>
      <c r="S331" s="37">
        <v>11.477574</v>
      </c>
      <c r="T331" s="37">
        <v>-85.632578</v>
      </c>
      <c r="U331" s="36" t="s">
        <v>148</v>
      </c>
      <c r="V331" s="38" t="s">
        <v>382</v>
      </c>
      <c r="W331" s="6" t="s">
        <v>1471</v>
      </c>
      <c r="X331" s="1" t="s">
        <v>2102</v>
      </c>
      <c r="Y331" s="33" t="s">
        <v>544</v>
      </c>
      <c r="Z331" s="36"/>
      <c r="AA331" s="37">
        <v>6.0</v>
      </c>
      <c r="AB331" s="36"/>
      <c r="AC331" s="36"/>
      <c r="AD331" s="36"/>
      <c r="AE331" s="36"/>
      <c r="AF331" s="36"/>
      <c r="AG331" s="36"/>
      <c r="AH331" s="36" t="s">
        <v>2103</v>
      </c>
      <c r="AI331" s="37">
        <v>580.0</v>
      </c>
      <c r="AJ331" s="37">
        <v>2000.0</v>
      </c>
      <c r="AK331" s="6" t="s">
        <v>73</v>
      </c>
      <c r="AL331" s="6" t="s">
        <v>72</v>
      </c>
      <c r="AM331" s="33" t="s">
        <v>238</v>
      </c>
      <c r="AN331" s="6" t="s">
        <v>72</v>
      </c>
      <c r="AO331" s="33"/>
      <c r="AP331" s="6" t="s">
        <v>102</v>
      </c>
      <c r="AQ331" s="33"/>
      <c r="AR331" s="33"/>
      <c r="AS331" s="33"/>
      <c r="AT331" s="6" t="s">
        <v>76</v>
      </c>
      <c r="AU331" s="33"/>
      <c r="AV331" s="33"/>
      <c r="AW331" s="33"/>
      <c r="AX331" s="33"/>
      <c r="AY331" s="33"/>
      <c r="AZ331" s="6" t="s">
        <v>76</v>
      </c>
      <c r="BA331" s="33"/>
      <c r="BB331" s="33">
        <f>VLOOKUP(O331,Eco_DEM_Data!$D$1:$AC$643,20,False)</f>
        <v>1667</v>
      </c>
      <c r="BC331" s="33">
        <f>VLOOKUP($O331,Eco_DEM_Data!$D$1:$AC$643,20,False)</f>
        <v>1667</v>
      </c>
      <c r="BD331" s="33">
        <f>VLOOKUP($O331,Eco_DEM_Data!$D$1:$AC$643,25,False)</f>
        <v>848</v>
      </c>
      <c r="BE331" s="33">
        <f>VLOOKUP($O331,Eco_DEM_Data!$D$1:$AC$643,22,False)</f>
        <v>4</v>
      </c>
      <c r="BF331" s="33">
        <f>VLOOKUP($O331,Eco_DEM_Data!$D$1:$AC$643,23,False)</f>
        <v>23</v>
      </c>
      <c r="BG331" s="33">
        <f>VLOOKUP($O331,Eco_DEM_Data!$D$1:$AC$643,21,False)</f>
        <v>9142</v>
      </c>
      <c r="BH331" s="33">
        <f>VLOOKUP($O331,Eco_DEM_Data!$D$1:$AC$643,26,False)</f>
        <v>70</v>
      </c>
      <c r="BI331" s="33" t="str">
        <f>VLOOKUP($O331,Eco_DEM_Data!$D$1:$AC$643,9,False)</f>
        <v>Costa Rican seasonal moist forests</v>
      </c>
      <c r="BJ331" s="33" t="str">
        <f>VLOOKUP($O331,Eco_DEM_Data!$D$1:$AC$643,11,False)</f>
        <v>Tropical &amp; Subtropical Moist Broadleaf Forests</v>
      </c>
    </row>
    <row r="332">
      <c r="A332" s="33" t="s">
        <v>2095</v>
      </c>
      <c r="B332" s="33" t="s">
        <v>2258</v>
      </c>
      <c r="C332" s="34">
        <v>3.0</v>
      </c>
      <c r="D332" s="33" t="s">
        <v>268</v>
      </c>
      <c r="E332" s="34">
        <v>2011.0</v>
      </c>
      <c r="F332" s="33" t="s">
        <v>2096</v>
      </c>
      <c r="G332" s="45" t="s">
        <v>2097</v>
      </c>
      <c r="H332" s="46"/>
      <c r="I332" s="33"/>
      <c r="J332" s="33" t="s">
        <v>2098</v>
      </c>
      <c r="K332" s="34">
        <v>21.0</v>
      </c>
      <c r="L332" s="33"/>
      <c r="M332" s="6" t="s">
        <v>2099</v>
      </c>
      <c r="N332" s="35" t="s">
        <v>60</v>
      </c>
      <c r="O332" s="33" t="s">
        <v>2104</v>
      </c>
      <c r="P332" s="36" t="s">
        <v>62</v>
      </c>
      <c r="Q332" s="36" t="s">
        <v>521</v>
      </c>
      <c r="R332" s="36" t="s">
        <v>2101</v>
      </c>
      <c r="S332" s="37">
        <v>11.477574</v>
      </c>
      <c r="T332" s="37">
        <v>-85.632578</v>
      </c>
      <c r="U332" s="36" t="s">
        <v>148</v>
      </c>
      <c r="V332" s="38" t="s">
        <v>194</v>
      </c>
      <c r="W332" s="6" t="s">
        <v>1471</v>
      </c>
      <c r="X332" s="1" t="s">
        <v>286</v>
      </c>
      <c r="Y332" s="33" t="s">
        <v>70</v>
      </c>
      <c r="Z332" s="36"/>
      <c r="AA332" s="37">
        <v>6.0</v>
      </c>
      <c r="AB332" s="36"/>
      <c r="AC332" s="36"/>
      <c r="AD332" s="36"/>
      <c r="AE332" s="36"/>
      <c r="AF332" s="36"/>
      <c r="AG332" s="36"/>
      <c r="AH332" s="36" t="s">
        <v>2103</v>
      </c>
      <c r="AI332" s="37">
        <v>580.0</v>
      </c>
      <c r="AJ332" s="37">
        <v>2000.0</v>
      </c>
      <c r="AK332" s="6" t="s">
        <v>73</v>
      </c>
      <c r="AL332" s="6" t="s">
        <v>72</v>
      </c>
      <c r="AM332" s="33" t="s">
        <v>238</v>
      </c>
      <c r="AN332" s="6" t="s">
        <v>72</v>
      </c>
      <c r="AO332" s="33"/>
      <c r="AP332" s="6" t="s">
        <v>102</v>
      </c>
      <c r="AQ332" s="33"/>
      <c r="AR332" s="33"/>
      <c r="AS332" s="33"/>
      <c r="AT332" s="6" t="s">
        <v>76</v>
      </c>
      <c r="AU332" s="33"/>
      <c r="AV332" s="33"/>
      <c r="AW332" s="33"/>
      <c r="AX332" s="33"/>
      <c r="AY332" s="33"/>
      <c r="AZ332" s="6" t="s">
        <v>76</v>
      </c>
      <c r="BA332" s="33"/>
      <c r="BB332" s="33">
        <f>VLOOKUP(O332,Eco_DEM_Data!$D$1:$AC$643,20,False)</f>
        <v>1667</v>
      </c>
      <c r="BC332" s="33">
        <f>VLOOKUP($O332,Eco_DEM_Data!$D$1:$AC$643,20,False)</f>
        <v>1667</v>
      </c>
      <c r="BD332" s="33">
        <f>VLOOKUP($O332,Eco_DEM_Data!$D$1:$AC$643,25,False)</f>
        <v>848</v>
      </c>
      <c r="BE332" s="33">
        <f>VLOOKUP($O332,Eco_DEM_Data!$D$1:$AC$643,22,False)</f>
        <v>4</v>
      </c>
      <c r="BF332" s="33">
        <f>VLOOKUP($O332,Eco_DEM_Data!$D$1:$AC$643,23,False)</f>
        <v>23</v>
      </c>
      <c r="BG332" s="33">
        <f>VLOOKUP($O332,Eco_DEM_Data!$D$1:$AC$643,21,False)</f>
        <v>9142</v>
      </c>
      <c r="BH332" s="33">
        <f>VLOOKUP($O332,Eco_DEM_Data!$D$1:$AC$643,26,False)</f>
        <v>70</v>
      </c>
      <c r="BI332" s="33" t="str">
        <f>VLOOKUP($O332,Eco_DEM_Data!$D$1:$AC$643,9,False)</f>
        <v>Costa Rican seasonal moist forests</v>
      </c>
      <c r="BJ332" s="33" t="str">
        <f>VLOOKUP($O332,Eco_DEM_Data!$D$1:$AC$643,11,False)</f>
        <v>Tropical &amp; Subtropical Moist Broadleaf Forests</v>
      </c>
    </row>
    <row r="333">
      <c r="A333" s="33" t="s">
        <v>2095</v>
      </c>
      <c r="B333" s="33" t="s">
        <v>2258</v>
      </c>
      <c r="C333" s="34">
        <v>3.0</v>
      </c>
      <c r="D333" s="33" t="s">
        <v>268</v>
      </c>
      <c r="E333" s="34">
        <v>2011.0</v>
      </c>
      <c r="F333" s="33" t="s">
        <v>2096</v>
      </c>
      <c r="G333" s="45" t="s">
        <v>2097</v>
      </c>
      <c r="H333" s="46"/>
      <c r="I333" s="33"/>
      <c r="J333" s="33" t="s">
        <v>2098</v>
      </c>
      <c r="K333" s="34">
        <v>21.0</v>
      </c>
      <c r="L333" s="33"/>
      <c r="M333" s="6" t="s">
        <v>2099</v>
      </c>
      <c r="N333" s="35" t="s">
        <v>60</v>
      </c>
      <c r="O333" s="33" t="s">
        <v>2105</v>
      </c>
      <c r="P333" s="36" t="s">
        <v>62</v>
      </c>
      <c r="Q333" s="36" t="s">
        <v>521</v>
      </c>
      <c r="R333" s="36" t="s">
        <v>2101</v>
      </c>
      <c r="S333" s="37">
        <v>11.477574</v>
      </c>
      <c r="T333" s="37">
        <v>-85.632578</v>
      </c>
      <c r="U333" s="36" t="s">
        <v>148</v>
      </c>
      <c r="V333" s="38" t="s">
        <v>599</v>
      </c>
      <c r="W333" s="33" t="s">
        <v>156</v>
      </c>
      <c r="X333" s="1" t="s">
        <v>1463</v>
      </c>
      <c r="Y333" s="6" t="s">
        <v>355</v>
      </c>
      <c r="Z333" s="36"/>
      <c r="AA333" s="37">
        <v>6.0</v>
      </c>
      <c r="AB333" s="36"/>
      <c r="AC333" s="36"/>
      <c r="AD333" s="36"/>
      <c r="AE333" s="36"/>
      <c r="AF333" s="36"/>
      <c r="AG333" s="36"/>
      <c r="AH333" s="36" t="s">
        <v>2103</v>
      </c>
      <c r="AI333" s="37">
        <v>580.0</v>
      </c>
      <c r="AJ333" s="37">
        <v>2000.0</v>
      </c>
      <c r="AK333" s="6" t="s">
        <v>73</v>
      </c>
      <c r="AL333" s="6" t="s">
        <v>72</v>
      </c>
      <c r="AM333" s="33" t="s">
        <v>238</v>
      </c>
      <c r="AN333" s="6" t="s">
        <v>72</v>
      </c>
      <c r="AO333" s="33"/>
      <c r="AP333" s="6" t="s">
        <v>102</v>
      </c>
      <c r="AQ333" s="33"/>
      <c r="AR333" s="33"/>
      <c r="AS333" s="33"/>
      <c r="AT333" s="6" t="s">
        <v>76</v>
      </c>
      <c r="AU333" s="33"/>
      <c r="AV333" s="33"/>
      <c r="AW333" s="33"/>
      <c r="AX333" s="33"/>
      <c r="AY333" s="33"/>
      <c r="AZ333" s="6" t="s">
        <v>76</v>
      </c>
      <c r="BA333" s="33"/>
      <c r="BB333" s="33">
        <f>VLOOKUP(O333,Eco_DEM_Data!$D$1:$AC$643,20,False)</f>
        <v>1667</v>
      </c>
      <c r="BC333" s="33">
        <f>VLOOKUP($O333,Eco_DEM_Data!$D$1:$AC$643,20,False)</f>
        <v>1667</v>
      </c>
      <c r="BD333" s="33">
        <f>VLOOKUP($O333,Eco_DEM_Data!$D$1:$AC$643,25,False)</f>
        <v>848</v>
      </c>
      <c r="BE333" s="33">
        <f>VLOOKUP($O333,Eco_DEM_Data!$D$1:$AC$643,22,False)</f>
        <v>4</v>
      </c>
      <c r="BF333" s="33">
        <f>VLOOKUP($O333,Eco_DEM_Data!$D$1:$AC$643,23,False)</f>
        <v>23</v>
      </c>
      <c r="BG333" s="33">
        <f>VLOOKUP($O333,Eco_DEM_Data!$D$1:$AC$643,21,False)</f>
        <v>9142</v>
      </c>
      <c r="BH333" s="33">
        <f>VLOOKUP($O333,Eco_DEM_Data!$D$1:$AC$643,26,False)</f>
        <v>70</v>
      </c>
      <c r="BI333" s="33" t="str">
        <f>VLOOKUP($O333,Eco_DEM_Data!$D$1:$AC$643,9,False)</f>
        <v>Costa Rican seasonal moist forests</v>
      </c>
      <c r="BJ333" s="33" t="str">
        <f>VLOOKUP($O333,Eco_DEM_Data!$D$1:$AC$643,11,False)</f>
        <v>Tropical &amp; Subtropical Moist Broadleaf Forests</v>
      </c>
    </row>
    <row r="334">
      <c r="A334" s="33" t="s">
        <v>779</v>
      </c>
      <c r="B334" s="33" t="s">
        <v>2258</v>
      </c>
      <c r="C334" s="34">
        <v>6.0</v>
      </c>
      <c r="D334" s="33" t="s">
        <v>53</v>
      </c>
      <c r="E334" s="34">
        <v>2011.0</v>
      </c>
      <c r="F334" s="33" t="s">
        <v>780</v>
      </c>
      <c r="G334" s="33" t="s">
        <v>781</v>
      </c>
      <c r="H334" s="33" t="s">
        <v>782</v>
      </c>
      <c r="I334" s="33" t="s">
        <v>783</v>
      </c>
      <c r="J334" s="33" t="s">
        <v>784</v>
      </c>
      <c r="K334" s="34">
        <v>10.0</v>
      </c>
      <c r="L334" s="34">
        <v>2.0</v>
      </c>
      <c r="M334" s="6" t="s">
        <v>785</v>
      </c>
      <c r="N334" s="35" t="s">
        <v>60</v>
      </c>
      <c r="O334" s="33" t="s">
        <v>1295</v>
      </c>
      <c r="P334" s="36" t="s">
        <v>62</v>
      </c>
      <c r="Q334" s="36" t="s">
        <v>167</v>
      </c>
      <c r="R334" s="36" t="s">
        <v>787</v>
      </c>
      <c r="S334" s="37">
        <v>15.423444</v>
      </c>
      <c r="T334" s="37">
        <v>-91.438694</v>
      </c>
      <c r="U334" s="36" t="s">
        <v>148</v>
      </c>
      <c r="V334" s="6" t="s">
        <v>189</v>
      </c>
      <c r="W334" s="33" t="s">
        <v>1296</v>
      </c>
      <c r="X334" s="1" t="s">
        <v>284</v>
      </c>
      <c r="Y334" s="33" t="s">
        <v>70</v>
      </c>
      <c r="Z334" s="36"/>
      <c r="AA334" s="37">
        <v>3.0</v>
      </c>
      <c r="AB334" s="36"/>
      <c r="AC334" s="36"/>
      <c r="AD334" s="36"/>
      <c r="AE334" s="36"/>
      <c r="AF334" s="36"/>
      <c r="AG334" s="36"/>
      <c r="AH334" s="36" t="s">
        <v>789</v>
      </c>
      <c r="AI334" s="37">
        <v>-10000.0</v>
      </c>
      <c r="AJ334" s="37">
        <v>1950.0</v>
      </c>
      <c r="AK334" s="6" t="s">
        <v>100</v>
      </c>
      <c r="AL334" s="6" t="s">
        <v>76</v>
      </c>
      <c r="AM334" s="33" t="s">
        <v>238</v>
      </c>
      <c r="AN334" s="6" t="s">
        <v>60</v>
      </c>
      <c r="AO334" s="33"/>
      <c r="AP334" s="6" t="s">
        <v>102</v>
      </c>
      <c r="AQ334" s="33"/>
      <c r="AR334" s="33"/>
      <c r="AS334" s="33"/>
      <c r="AT334" s="6" t="s">
        <v>76</v>
      </c>
      <c r="AU334" s="33"/>
      <c r="AV334" s="33"/>
      <c r="AW334" s="33"/>
      <c r="AX334" s="33"/>
      <c r="AY334" s="33"/>
      <c r="AZ334" s="6" t="s">
        <v>76</v>
      </c>
      <c r="BA334" s="33"/>
      <c r="BB334" s="33">
        <f>VLOOKUP(O334,Eco_DEM_Data!$D$1:$AC$643,20,False)</f>
        <v>1420</v>
      </c>
      <c r="BC334" s="33">
        <f>VLOOKUP($O334,Eco_DEM_Data!$D$1:$AC$643,20,False)</f>
        <v>1420</v>
      </c>
      <c r="BD334" s="33">
        <f>VLOOKUP($O334,Eco_DEM_Data!$D$1:$AC$643,25,False)</f>
        <v>672</v>
      </c>
      <c r="BE334" s="33">
        <f>VLOOKUP($O334,Eco_DEM_Data!$D$1:$AC$643,22,False)</f>
        <v>10</v>
      </c>
      <c r="BF334" s="33">
        <f>VLOOKUP($O334,Eco_DEM_Data!$D$1:$AC$643,23,False)</f>
        <v>40</v>
      </c>
      <c r="BG334" s="33">
        <f>VLOOKUP($O334,Eco_DEM_Data!$D$1:$AC$643,21,False)</f>
        <v>8358</v>
      </c>
      <c r="BH334" s="33">
        <f>VLOOKUP($O334,Eco_DEM_Data!$D$1:$AC$643,26,False)</f>
        <v>3077</v>
      </c>
      <c r="BI334" s="33" t="str">
        <f>VLOOKUP($O334,Eco_DEM_Data!$D$1:$AC$643,9,False)</f>
        <v>Central American montane forests</v>
      </c>
      <c r="BJ334" s="33" t="str">
        <f>VLOOKUP($O334,Eco_DEM_Data!$D$1:$AC$643,11,False)</f>
        <v>Tropical &amp; Subtropical Moist Broadleaf Forests</v>
      </c>
    </row>
    <row r="335">
      <c r="A335" s="33" t="s">
        <v>779</v>
      </c>
      <c r="B335" s="33" t="s">
        <v>2258</v>
      </c>
      <c r="C335" s="34">
        <v>6.0</v>
      </c>
      <c r="D335" s="33" t="s">
        <v>53</v>
      </c>
      <c r="E335" s="34">
        <v>2011.0</v>
      </c>
      <c r="F335" s="33" t="s">
        <v>780</v>
      </c>
      <c r="G335" s="33" t="s">
        <v>781</v>
      </c>
      <c r="H335" s="33" t="s">
        <v>782</v>
      </c>
      <c r="I335" s="33" t="s">
        <v>783</v>
      </c>
      <c r="J335" s="33" t="s">
        <v>784</v>
      </c>
      <c r="K335" s="34">
        <v>10.0</v>
      </c>
      <c r="L335" s="34">
        <v>2.0</v>
      </c>
      <c r="M335" s="6" t="s">
        <v>785</v>
      </c>
      <c r="N335" s="35" t="s">
        <v>60</v>
      </c>
      <c r="O335" s="33" t="s">
        <v>1297</v>
      </c>
      <c r="P335" s="36" t="s">
        <v>62</v>
      </c>
      <c r="Q335" s="36" t="s">
        <v>167</v>
      </c>
      <c r="R335" s="36" t="s">
        <v>787</v>
      </c>
      <c r="S335" s="37">
        <v>15.423444</v>
      </c>
      <c r="T335" s="37">
        <v>-91.438694</v>
      </c>
      <c r="U335" s="36" t="s">
        <v>148</v>
      </c>
      <c r="V335" s="38" t="s">
        <v>382</v>
      </c>
      <c r="W335" s="33" t="s">
        <v>72</v>
      </c>
      <c r="X335" s="1" t="s">
        <v>1298</v>
      </c>
      <c r="Y335" s="33" t="s">
        <v>544</v>
      </c>
      <c r="Z335" s="36"/>
      <c r="AA335" s="37">
        <v>3.0</v>
      </c>
      <c r="AB335" s="36"/>
      <c r="AC335" s="36"/>
      <c r="AD335" s="36"/>
      <c r="AE335" s="36"/>
      <c r="AF335" s="36"/>
      <c r="AG335" s="36"/>
      <c r="AH335" s="36" t="s">
        <v>789</v>
      </c>
      <c r="AI335" s="37">
        <v>-10000.0</v>
      </c>
      <c r="AJ335" s="37">
        <v>1950.0</v>
      </c>
      <c r="AK335" s="6" t="s">
        <v>100</v>
      </c>
      <c r="AL335" s="6" t="s">
        <v>76</v>
      </c>
      <c r="AM335" s="33" t="s">
        <v>238</v>
      </c>
      <c r="AN335" s="6" t="s">
        <v>60</v>
      </c>
      <c r="AO335" s="33"/>
      <c r="AP335" s="6" t="s">
        <v>102</v>
      </c>
      <c r="AQ335" s="33"/>
      <c r="AR335" s="33"/>
      <c r="AS335" s="33"/>
      <c r="AT335" s="6" t="s">
        <v>76</v>
      </c>
      <c r="AU335" s="33"/>
      <c r="AV335" s="33"/>
      <c r="AW335" s="33"/>
      <c r="AX335" s="33"/>
      <c r="AY335" s="33"/>
      <c r="AZ335" s="6" t="s">
        <v>76</v>
      </c>
      <c r="BA335" s="33"/>
      <c r="BB335" s="33">
        <f>VLOOKUP(O335,Eco_DEM_Data!$D$1:$AC$643,20,False)</f>
        <v>1420</v>
      </c>
      <c r="BC335" s="33">
        <f>VLOOKUP($O335,Eco_DEM_Data!$D$1:$AC$643,20,False)</f>
        <v>1420</v>
      </c>
      <c r="BD335" s="33">
        <f>VLOOKUP($O335,Eco_DEM_Data!$D$1:$AC$643,25,False)</f>
        <v>672</v>
      </c>
      <c r="BE335" s="33">
        <f>VLOOKUP($O335,Eco_DEM_Data!$D$1:$AC$643,22,False)</f>
        <v>10</v>
      </c>
      <c r="BF335" s="33">
        <f>VLOOKUP($O335,Eco_DEM_Data!$D$1:$AC$643,23,False)</f>
        <v>40</v>
      </c>
      <c r="BG335" s="33">
        <f>VLOOKUP($O335,Eco_DEM_Data!$D$1:$AC$643,21,False)</f>
        <v>8358</v>
      </c>
      <c r="BH335" s="33">
        <f>VLOOKUP($O335,Eco_DEM_Data!$D$1:$AC$643,26,False)</f>
        <v>3077</v>
      </c>
      <c r="BI335" s="33" t="str">
        <f>VLOOKUP($O335,Eco_DEM_Data!$D$1:$AC$643,9,False)</f>
        <v>Central American montane forests</v>
      </c>
      <c r="BJ335" s="33" t="str">
        <f>VLOOKUP($O335,Eco_DEM_Data!$D$1:$AC$643,11,False)</f>
        <v>Tropical &amp; Subtropical Moist Broadleaf Forests</v>
      </c>
    </row>
    <row r="336">
      <c r="A336" s="33" t="s">
        <v>779</v>
      </c>
      <c r="B336" s="33" t="s">
        <v>2258</v>
      </c>
      <c r="C336" s="34">
        <v>6.0</v>
      </c>
      <c r="D336" s="33" t="s">
        <v>53</v>
      </c>
      <c r="E336" s="34">
        <v>2011.0</v>
      </c>
      <c r="F336" s="33" t="s">
        <v>780</v>
      </c>
      <c r="G336" s="33" t="s">
        <v>781</v>
      </c>
      <c r="H336" s="33" t="s">
        <v>782</v>
      </c>
      <c r="I336" s="33" t="s">
        <v>783</v>
      </c>
      <c r="J336" s="33" t="s">
        <v>784</v>
      </c>
      <c r="K336" s="34">
        <v>10.0</v>
      </c>
      <c r="L336" s="34">
        <v>2.0</v>
      </c>
      <c r="M336" s="6" t="s">
        <v>785</v>
      </c>
      <c r="N336" s="35" t="s">
        <v>60</v>
      </c>
      <c r="O336" s="33" t="s">
        <v>1299</v>
      </c>
      <c r="P336" s="36" t="s">
        <v>62</v>
      </c>
      <c r="Q336" s="36" t="s">
        <v>167</v>
      </c>
      <c r="R336" s="36" t="s">
        <v>787</v>
      </c>
      <c r="S336" s="37">
        <v>15.423444</v>
      </c>
      <c r="T336" s="37">
        <v>-91.438694</v>
      </c>
      <c r="U336" s="36" t="s">
        <v>148</v>
      </c>
      <c r="V336" s="6" t="s">
        <v>275</v>
      </c>
      <c r="W336" s="33" t="s">
        <v>72</v>
      </c>
      <c r="X336" s="1" t="s">
        <v>278</v>
      </c>
      <c r="Y336" s="33" t="s">
        <v>279</v>
      </c>
      <c r="Z336" s="36"/>
      <c r="AA336" s="37">
        <v>3.0</v>
      </c>
      <c r="AB336" s="36"/>
      <c r="AC336" s="36"/>
      <c r="AD336" s="36"/>
      <c r="AE336" s="36"/>
      <c r="AF336" s="36"/>
      <c r="AG336" s="36"/>
      <c r="AH336" s="36" t="s">
        <v>789</v>
      </c>
      <c r="AI336" s="37">
        <v>-10000.0</v>
      </c>
      <c r="AJ336" s="37">
        <v>1950.0</v>
      </c>
      <c r="AK336" s="6" t="s">
        <v>100</v>
      </c>
      <c r="AL336" s="6" t="s">
        <v>76</v>
      </c>
      <c r="AM336" s="33" t="s">
        <v>238</v>
      </c>
      <c r="AN336" s="6" t="s">
        <v>60</v>
      </c>
      <c r="AO336" s="33"/>
      <c r="AP336" s="6" t="s">
        <v>102</v>
      </c>
      <c r="AQ336" s="33"/>
      <c r="AR336" s="33"/>
      <c r="AS336" s="33"/>
      <c r="AT336" s="6" t="s">
        <v>76</v>
      </c>
      <c r="AU336" s="33"/>
      <c r="AV336" s="33"/>
      <c r="AW336" s="33"/>
      <c r="AX336" s="33"/>
      <c r="AY336" s="33"/>
      <c r="AZ336" s="6" t="s">
        <v>76</v>
      </c>
      <c r="BA336" s="33"/>
      <c r="BB336" s="33">
        <f>VLOOKUP(O336,Eco_DEM_Data!$D$1:$AC$643,20,False)</f>
        <v>1420</v>
      </c>
      <c r="BC336" s="33">
        <f>VLOOKUP($O336,Eco_DEM_Data!$D$1:$AC$643,20,False)</f>
        <v>1420</v>
      </c>
      <c r="BD336" s="33">
        <f>VLOOKUP($O336,Eco_DEM_Data!$D$1:$AC$643,25,False)</f>
        <v>672</v>
      </c>
      <c r="BE336" s="33">
        <f>VLOOKUP($O336,Eco_DEM_Data!$D$1:$AC$643,22,False)</f>
        <v>10</v>
      </c>
      <c r="BF336" s="33">
        <f>VLOOKUP($O336,Eco_DEM_Data!$D$1:$AC$643,23,False)</f>
        <v>40</v>
      </c>
      <c r="BG336" s="33">
        <f>VLOOKUP($O336,Eco_DEM_Data!$D$1:$AC$643,21,False)</f>
        <v>8358</v>
      </c>
      <c r="BH336" s="33">
        <f>VLOOKUP($O336,Eco_DEM_Data!$D$1:$AC$643,26,False)</f>
        <v>3077</v>
      </c>
      <c r="BI336" s="33" t="str">
        <f>VLOOKUP($O336,Eco_DEM_Data!$D$1:$AC$643,9,False)</f>
        <v>Central American montane forests</v>
      </c>
      <c r="BJ336" s="33" t="str">
        <f>VLOOKUP($O336,Eco_DEM_Data!$D$1:$AC$643,11,False)</f>
        <v>Tropical &amp; Subtropical Moist Broadleaf Forests</v>
      </c>
    </row>
    <row r="337">
      <c r="A337" s="33" t="s">
        <v>779</v>
      </c>
      <c r="B337" s="33" t="s">
        <v>2258</v>
      </c>
      <c r="C337" s="34">
        <v>6.0</v>
      </c>
      <c r="D337" s="33" t="s">
        <v>53</v>
      </c>
      <c r="E337" s="34">
        <v>2011.0</v>
      </c>
      <c r="F337" s="33" t="s">
        <v>780</v>
      </c>
      <c r="G337" s="33" t="s">
        <v>781</v>
      </c>
      <c r="H337" s="33" t="s">
        <v>782</v>
      </c>
      <c r="I337" s="33" t="s">
        <v>783</v>
      </c>
      <c r="J337" s="33" t="s">
        <v>784</v>
      </c>
      <c r="K337" s="34">
        <v>10.0</v>
      </c>
      <c r="L337" s="34">
        <v>2.0</v>
      </c>
      <c r="M337" s="6" t="s">
        <v>785</v>
      </c>
      <c r="N337" s="35" t="s">
        <v>60</v>
      </c>
      <c r="O337" s="33" t="s">
        <v>1300</v>
      </c>
      <c r="P337" s="36" t="s">
        <v>62</v>
      </c>
      <c r="Q337" s="36" t="s">
        <v>167</v>
      </c>
      <c r="R337" s="36" t="s">
        <v>787</v>
      </c>
      <c r="S337" s="37">
        <v>15.423444</v>
      </c>
      <c r="T337" s="37">
        <v>-91.438694</v>
      </c>
      <c r="U337" s="36" t="s">
        <v>148</v>
      </c>
      <c r="V337" s="38" t="s">
        <v>194</v>
      </c>
      <c r="W337" s="33" t="s">
        <v>1296</v>
      </c>
      <c r="X337" s="1" t="s">
        <v>286</v>
      </c>
      <c r="Y337" s="33" t="s">
        <v>70</v>
      </c>
      <c r="Z337" s="36"/>
      <c r="AA337" s="37">
        <v>3.0</v>
      </c>
      <c r="AB337" s="36"/>
      <c r="AC337" s="36"/>
      <c r="AD337" s="36"/>
      <c r="AE337" s="36"/>
      <c r="AF337" s="36"/>
      <c r="AG337" s="36"/>
      <c r="AH337" s="36" t="s">
        <v>789</v>
      </c>
      <c r="AI337" s="37">
        <v>-10000.0</v>
      </c>
      <c r="AJ337" s="37">
        <v>1950.0</v>
      </c>
      <c r="AK337" s="6" t="s">
        <v>100</v>
      </c>
      <c r="AL337" s="6" t="s">
        <v>76</v>
      </c>
      <c r="AM337" s="33" t="s">
        <v>238</v>
      </c>
      <c r="AN337" s="6" t="s">
        <v>60</v>
      </c>
      <c r="AO337" s="33"/>
      <c r="AP337" s="6" t="s">
        <v>102</v>
      </c>
      <c r="AQ337" s="33"/>
      <c r="AR337" s="33"/>
      <c r="AS337" s="33"/>
      <c r="AT337" s="6" t="s">
        <v>76</v>
      </c>
      <c r="AU337" s="33"/>
      <c r="AV337" s="33"/>
      <c r="AW337" s="33"/>
      <c r="AX337" s="33"/>
      <c r="AY337" s="33"/>
      <c r="AZ337" s="6" t="s">
        <v>76</v>
      </c>
      <c r="BA337" s="33"/>
      <c r="BB337" s="33">
        <f>VLOOKUP(O337,Eco_DEM_Data!$D$1:$AC$643,20,False)</f>
        <v>1420</v>
      </c>
      <c r="BC337" s="33">
        <f>VLOOKUP($O337,Eco_DEM_Data!$D$1:$AC$643,20,False)</f>
        <v>1420</v>
      </c>
      <c r="BD337" s="33">
        <f>VLOOKUP($O337,Eco_DEM_Data!$D$1:$AC$643,25,False)</f>
        <v>672</v>
      </c>
      <c r="BE337" s="33">
        <f>VLOOKUP($O337,Eco_DEM_Data!$D$1:$AC$643,22,False)</f>
        <v>10</v>
      </c>
      <c r="BF337" s="33">
        <f>VLOOKUP($O337,Eco_DEM_Data!$D$1:$AC$643,23,False)</f>
        <v>40</v>
      </c>
      <c r="BG337" s="33">
        <f>VLOOKUP($O337,Eco_DEM_Data!$D$1:$AC$643,21,False)</f>
        <v>8358</v>
      </c>
      <c r="BH337" s="33">
        <f>VLOOKUP($O337,Eco_DEM_Data!$D$1:$AC$643,26,False)</f>
        <v>3077</v>
      </c>
      <c r="BI337" s="33" t="str">
        <f>VLOOKUP($O337,Eco_DEM_Data!$D$1:$AC$643,9,False)</f>
        <v>Central American montane forests</v>
      </c>
      <c r="BJ337" s="33" t="str">
        <f>VLOOKUP($O337,Eco_DEM_Data!$D$1:$AC$643,11,False)</f>
        <v>Tropical &amp; Subtropical Moist Broadleaf Forests</v>
      </c>
    </row>
    <row r="338">
      <c r="A338" s="33" t="s">
        <v>779</v>
      </c>
      <c r="B338" s="33" t="s">
        <v>2258</v>
      </c>
      <c r="C338" s="34">
        <v>6.0</v>
      </c>
      <c r="D338" s="33" t="s">
        <v>53</v>
      </c>
      <c r="E338" s="34">
        <v>2011.0</v>
      </c>
      <c r="F338" s="33" t="s">
        <v>780</v>
      </c>
      <c r="G338" s="33" t="s">
        <v>781</v>
      </c>
      <c r="H338" s="33" t="s">
        <v>782</v>
      </c>
      <c r="I338" s="33" t="s">
        <v>783</v>
      </c>
      <c r="J338" s="33" t="s">
        <v>784</v>
      </c>
      <c r="K338" s="34">
        <v>10.0</v>
      </c>
      <c r="L338" s="34">
        <v>2.0</v>
      </c>
      <c r="M338" s="6" t="s">
        <v>785</v>
      </c>
      <c r="N338" s="35" t="s">
        <v>60</v>
      </c>
      <c r="O338" s="33" t="s">
        <v>786</v>
      </c>
      <c r="P338" s="36" t="s">
        <v>62</v>
      </c>
      <c r="Q338" s="36" t="s">
        <v>167</v>
      </c>
      <c r="R338" s="36" t="s">
        <v>787</v>
      </c>
      <c r="S338" s="37">
        <v>15.423444</v>
      </c>
      <c r="T338" s="37">
        <v>-91.438694</v>
      </c>
      <c r="U338" s="36" t="s">
        <v>148</v>
      </c>
      <c r="V338" s="6" t="s">
        <v>321</v>
      </c>
      <c r="W338" s="33" t="s">
        <v>156</v>
      </c>
      <c r="X338" s="1" t="s">
        <v>264</v>
      </c>
      <c r="Y338" s="58" t="s">
        <v>83</v>
      </c>
      <c r="Z338" s="36"/>
      <c r="AA338" s="37">
        <v>3.0</v>
      </c>
      <c r="AB338" s="36"/>
      <c r="AC338" s="36"/>
      <c r="AD338" s="36"/>
      <c r="AE338" s="36"/>
      <c r="AF338" s="36"/>
      <c r="AG338" s="36"/>
      <c r="AH338" s="36" t="s">
        <v>789</v>
      </c>
      <c r="AI338" s="37">
        <v>-10000.0</v>
      </c>
      <c r="AJ338" s="37">
        <v>-150.0</v>
      </c>
      <c r="AK338" s="6" t="s">
        <v>100</v>
      </c>
      <c r="AL338" s="6" t="s">
        <v>76</v>
      </c>
      <c r="AM338" s="33" t="s">
        <v>238</v>
      </c>
      <c r="AN338" s="6" t="s">
        <v>60</v>
      </c>
      <c r="AO338" s="33"/>
      <c r="AP338" s="6" t="s">
        <v>102</v>
      </c>
      <c r="AQ338" s="33"/>
      <c r="AR338" s="33"/>
      <c r="AS338" s="33"/>
      <c r="AT338" s="6" t="s">
        <v>76</v>
      </c>
      <c r="AU338" s="33"/>
      <c r="AV338" s="33"/>
      <c r="AW338" s="33"/>
      <c r="AX338" s="33"/>
      <c r="AY338" s="33"/>
      <c r="AZ338" s="6" t="s">
        <v>76</v>
      </c>
      <c r="BA338" s="33"/>
      <c r="BB338" s="33">
        <f>VLOOKUP(O338,Eco_DEM_Data!$D$1:$AC$643,20,False)</f>
        <v>1420</v>
      </c>
      <c r="BC338" s="33">
        <f>VLOOKUP($O338,Eco_DEM_Data!$D$1:$AC$643,20,False)</f>
        <v>1420</v>
      </c>
      <c r="BD338" s="33">
        <f>VLOOKUP($O338,Eco_DEM_Data!$D$1:$AC$643,25,False)</f>
        <v>672</v>
      </c>
      <c r="BE338" s="33">
        <f>VLOOKUP($O338,Eco_DEM_Data!$D$1:$AC$643,22,False)</f>
        <v>10</v>
      </c>
      <c r="BF338" s="33">
        <f>VLOOKUP($O338,Eco_DEM_Data!$D$1:$AC$643,23,False)</f>
        <v>40</v>
      </c>
      <c r="BG338" s="33">
        <f>VLOOKUP($O338,Eco_DEM_Data!$D$1:$AC$643,21,False)</f>
        <v>8358</v>
      </c>
      <c r="BH338" s="33">
        <f>VLOOKUP($O338,Eco_DEM_Data!$D$1:$AC$643,26,False)</f>
        <v>3077</v>
      </c>
      <c r="BI338" s="33" t="str">
        <f>VLOOKUP($O338,Eco_DEM_Data!$D$1:$AC$643,9,False)</f>
        <v>Central American montane forests</v>
      </c>
      <c r="BJ338" s="33" t="str">
        <f>VLOOKUP($O338,Eco_DEM_Data!$D$1:$AC$643,11,False)</f>
        <v>Tropical &amp; Subtropical Moist Broadleaf Forests</v>
      </c>
    </row>
    <row r="339">
      <c r="A339" s="33" t="s">
        <v>779</v>
      </c>
      <c r="B339" s="33" t="s">
        <v>2258</v>
      </c>
      <c r="C339" s="34">
        <v>6.0</v>
      </c>
      <c r="D339" s="33" t="s">
        <v>53</v>
      </c>
      <c r="E339" s="34">
        <v>2011.0</v>
      </c>
      <c r="F339" s="33" t="s">
        <v>780</v>
      </c>
      <c r="G339" s="33" t="s">
        <v>781</v>
      </c>
      <c r="H339" s="33" t="s">
        <v>782</v>
      </c>
      <c r="I339" s="33" t="s">
        <v>783</v>
      </c>
      <c r="J339" s="33" t="s">
        <v>784</v>
      </c>
      <c r="K339" s="34">
        <v>10.0</v>
      </c>
      <c r="L339" s="34">
        <v>2.0</v>
      </c>
      <c r="M339" s="6" t="s">
        <v>785</v>
      </c>
      <c r="N339" s="35" t="s">
        <v>60</v>
      </c>
      <c r="O339" s="33" t="s">
        <v>802</v>
      </c>
      <c r="P339" s="36" t="s">
        <v>62</v>
      </c>
      <c r="Q339" s="36" t="s">
        <v>167</v>
      </c>
      <c r="R339" s="36" t="s">
        <v>787</v>
      </c>
      <c r="S339" s="37">
        <v>15.423444</v>
      </c>
      <c r="T339" s="37">
        <v>-91.438694</v>
      </c>
      <c r="U339" s="36" t="s">
        <v>148</v>
      </c>
      <c r="V339" s="38" t="s">
        <v>66</v>
      </c>
      <c r="W339" s="5" t="s">
        <v>803</v>
      </c>
      <c r="X339" s="7" t="s">
        <v>804</v>
      </c>
      <c r="Y339" s="41" t="s">
        <v>70</v>
      </c>
      <c r="Z339" s="43"/>
      <c r="AA339" s="42">
        <v>3.0</v>
      </c>
      <c r="AB339" s="43"/>
      <c r="AC339" s="43"/>
      <c r="AD339" s="43"/>
      <c r="AE339" s="43"/>
      <c r="AF339" s="43"/>
      <c r="AG339" s="43"/>
      <c r="AH339" s="43" t="s">
        <v>789</v>
      </c>
      <c r="AI339" s="42">
        <v>-10000.0</v>
      </c>
      <c r="AJ339" s="42">
        <v>1950.0</v>
      </c>
      <c r="AK339" s="5" t="s">
        <v>100</v>
      </c>
      <c r="AL339" s="5" t="s">
        <v>76</v>
      </c>
      <c r="AM339" s="33" t="s">
        <v>238</v>
      </c>
      <c r="AN339" s="5" t="s">
        <v>60</v>
      </c>
      <c r="AO339" s="41"/>
      <c r="AP339" s="5" t="s">
        <v>102</v>
      </c>
      <c r="AQ339" s="41"/>
      <c r="AR339" s="41"/>
      <c r="AS339" s="41"/>
      <c r="AT339" s="5" t="s">
        <v>76</v>
      </c>
      <c r="AU339" s="33"/>
      <c r="AV339" s="33"/>
      <c r="AW339" s="33"/>
      <c r="AX339" s="33"/>
      <c r="AY339" s="33"/>
      <c r="AZ339" s="6" t="s">
        <v>76</v>
      </c>
      <c r="BA339" s="33"/>
      <c r="BB339" s="33">
        <f>VLOOKUP(O339,Eco_DEM_Data!$D$1:$AC$643,20,False)</f>
        <v>1420</v>
      </c>
      <c r="BC339" s="33">
        <f>VLOOKUP($O339,Eco_DEM_Data!$D$1:$AC$643,20,False)</f>
        <v>1420</v>
      </c>
      <c r="BD339" s="33">
        <f>VLOOKUP($O339,Eco_DEM_Data!$D$1:$AC$643,25,False)</f>
        <v>672</v>
      </c>
      <c r="BE339" s="33">
        <f>VLOOKUP($O339,Eco_DEM_Data!$D$1:$AC$643,22,False)</f>
        <v>10</v>
      </c>
      <c r="BF339" s="33">
        <f>VLOOKUP($O339,Eco_DEM_Data!$D$1:$AC$643,23,False)</f>
        <v>40</v>
      </c>
      <c r="BG339" s="33">
        <f>VLOOKUP($O339,Eco_DEM_Data!$D$1:$AC$643,21,False)</f>
        <v>8358</v>
      </c>
      <c r="BH339" s="33">
        <f>VLOOKUP($O339,Eco_DEM_Data!$D$1:$AC$643,26,False)</f>
        <v>3077</v>
      </c>
      <c r="BI339" s="33" t="str">
        <f>VLOOKUP($O339,Eco_DEM_Data!$D$1:$AC$643,9,False)</f>
        <v>Central American montane forests</v>
      </c>
      <c r="BJ339" s="33" t="str">
        <f>VLOOKUP($O339,Eco_DEM_Data!$D$1:$AC$643,11,False)</f>
        <v>Tropical &amp; Subtropical Moist Broadleaf Forests</v>
      </c>
    </row>
    <row r="340">
      <c r="A340" s="33" t="s">
        <v>944</v>
      </c>
      <c r="B340" s="33" t="s">
        <v>2259</v>
      </c>
      <c r="C340" s="34">
        <v>1.0</v>
      </c>
      <c r="D340" s="33" t="s">
        <v>53</v>
      </c>
      <c r="E340" s="34">
        <v>2011.0</v>
      </c>
      <c r="F340" s="33" t="s">
        <v>945</v>
      </c>
      <c r="G340" s="33" t="s">
        <v>946</v>
      </c>
      <c r="H340" s="33" t="s">
        <v>732</v>
      </c>
      <c r="I340" s="33" t="s">
        <v>947</v>
      </c>
      <c r="J340" s="33" t="s">
        <v>948</v>
      </c>
      <c r="K340" s="34">
        <v>45.0</v>
      </c>
      <c r="L340" s="34">
        <v>3.0</v>
      </c>
      <c r="M340" s="6" t="s">
        <v>949</v>
      </c>
      <c r="N340" s="35" t="s">
        <v>76</v>
      </c>
      <c r="O340" s="33" t="s">
        <v>944</v>
      </c>
      <c r="P340" s="36" t="s">
        <v>62</v>
      </c>
      <c r="Q340" s="36" t="s">
        <v>112</v>
      </c>
      <c r="R340" s="36" t="s">
        <v>308</v>
      </c>
      <c r="S340" s="37">
        <v>9.494444</v>
      </c>
      <c r="T340" s="37">
        <v>-83.487222</v>
      </c>
      <c r="U340" s="36" t="s">
        <v>148</v>
      </c>
      <c r="V340" s="6" t="s">
        <v>135</v>
      </c>
      <c r="W340" s="41" t="s">
        <v>823</v>
      </c>
      <c r="X340" s="7" t="s">
        <v>547</v>
      </c>
      <c r="Y340" s="41" t="s">
        <v>265</v>
      </c>
      <c r="Z340" s="43"/>
      <c r="AA340" s="42">
        <v>6.0</v>
      </c>
      <c r="AB340" s="43"/>
      <c r="AC340" s="43"/>
      <c r="AD340" s="43"/>
      <c r="AE340" s="43"/>
      <c r="AF340" s="43"/>
      <c r="AG340" s="43"/>
      <c r="AH340" s="38" t="s">
        <v>72</v>
      </c>
      <c r="AI340" s="42">
        <v>-9050.0</v>
      </c>
      <c r="AJ340" s="42">
        <v>1989.0</v>
      </c>
      <c r="AK340" s="5" t="s">
        <v>153</v>
      </c>
      <c r="AL340" s="5" t="s">
        <v>60</v>
      </c>
      <c r="AM340" s="33" t="s">
        <v>238</v>
      </c>
      <c r="AN340" s="5" t="s">
        <v>72</v>
      </c>
      <c r="AO340" s="41"/>
      <c r="AP340" s="5" t="s">
        <v>102</v>
      </c>
      <c r="AQ340" s="41"/>
      <c r="AR340" s="41"/>
      <c r="AS340" s="41"/>
      <c r="AT340" s="5" t="s">
        <v>76</v>
      </c>
      <c r="AU340" s="33"/>
      <c r="AV340" s="33"/>
      <c r="AW340" s="33"/>
      <c r="AX340" s="33"/>
      <c r="AY340" s="33"/>
      <c r="AZ340" s="6" t="s">
        <v>76</v>
      </c>
      <c r="BA340" s="33"/>
      <c r="BB340" s="33">
        <f>VLOOKUP(O340,Eco_DEM_Data!$D$1:$AC$643,20,False)</f>
        <v>2202</v>
      </c>
      <c r="BC340" s="33">
        <f>VLOOKUP($O340,Eco_DEM_Data!$D$1:$AC$643,20,False)</f>
        <v>2202</v>
      </c>
      <c r="BD340" s="33">
        <f>VLOOKUP($O340,Eco_DEM_Data!$D$1:$AC$643,25,False)</f>
        <v>957</v>
      </c>
      <c r="BE340" s="33">
        <f>VLOOKUP($O340,Eco_DEM_Data!$D$1:$AC$643,22,False)</f>
        <v>11</v>
      </c>
      <c r="BF340" s="33">
        <f>VLOOKUP($O340,Eco_DEM_Data!$D$1:$AC$643,23,False)</f>
        <v>65</v>
      </c>
      <c r="BG340" s="33">
        <f>VLOOKUP($O340,Eco_DEM_Data!$D$1:$AC$643,21,False)</f>
        <v>7181</v>
      </c>
      <c r="BH340" s="33">
        <f>VLOOKUP($O340,Eco_DEM_Data!$D$1:$AC$643,26,False)</f>
        <v>3509</v>
      </c>
      <c r="BI340" s="33" t="str">
        <f>VLOOKUP($O340,Eco_DEM_Data!$D$1:$AC$643,9,False)</f>
        <v>Talamancan montane forests</v>
      </c>
      <c r="BJ340" s="33" t="str">
        <f>VLOOKUP($O340,Eco_DEM_Data!$D$1:$AC$643,11,False)</f>
        <v>Tropical &amp; Subtropical Moist Broadleaf Forests</v>
      </c>
    </row>
    <row r="341">
      <c r="A341" s="33" t="s">
        <v>2106</v>
      </c>
      <c r="B341" s="33" t="s">
        <v>2259</v>
      </c>
      <c r="C341" s="34">
        <v>5.0</v>
      </c>
      <c r="D341" s="33" t="s">
        <v>268</v>
      </c>
      <c r="E341" s="34">
        <v>2011.0</v>
      </c>
      <c r="F341" s="33" t="s">
        <v>2051</v>
      </c>
      <c r="G341" s="45" t="s">
        <v>2107</v>
      </c>
      <c r="H341" s="46"/>
      <c r="I341" s="33"/>
      <c r="J341" s="33" t="s">
        <v>2108</v>
      </c>
      <c r="K341" s="34">
        <v>76.0</v>
      </c>
      <c r="L341" s="33"/>
      <c r="M341" s="6" t="s">
        <v>2109</v>
      </c>
      <c r="N341" s="35" t="s">
        <v>60</v>
      </c>
      <c r="O341" s="33" t="s">
        <v>2110</v>
      </c>
      <c r="P341" s="36" t="s">
        <v>62</v>
      </c>
      <c r="Q341" s="36" t="s">
        <v>187</v>
      </c>
      <c r="R341" s="36" t="s">
        <v>2111</v>
      </c>
      <c r="S341" s="37">
        <v>17.472047</v>
      </c>
      <c r="T341" s="37">
        <v>-88.260859</v>
      </c>
      <c r="U341" s="36" t="s">
        <v>65</v>
      </c>
      <c r="V341" s="38" t="s">
        <v>66</v>
      </c>
      <c r="W341" s="5" t="s">
        <v>2112</v>
      </c>
      <c r="X341" s="7" t="s">
        <v>1594</v>
      </c>
      <c r="Y341" s="41" t="s">
        <v>70</v>
      </c>
      <c r="Z341" s="43"/>
      <c r="AA341" s="42">
        <v>5.0</v>
      </c>
      <c r="AB341" s="43"/>
      <c r="AC341" s="43"/>
      <c r="AD341" s="43"/>
      <c r="AE341" s="43"/>
      <c r="AF341" s="43"/>
      <c r="AG341" s="43"/>
      <c r="AH341" s="43" t="s">
        <v>2113</v>
      </c>
      <c r="AI341" s="42">
        <v>-6780.0</v>
      </c>
      <c r="AJ341" s="42">
        <v>2005.0</v>
      </c>
      <c r="AK341" s="5" t="s">
        <v>73</v>
      </c>
      <c r="AL341" s="5" t="s">
        <v>72</v>
      </c>
      <c r="AM341" s="33" t="s">
        <v>238</v>
      </c>
      <c r="AN341" s="5" t="s">
        <v>72</v>
      </c>
      <c r="AO341" s="41"/>
      <c r="AP341" s="5" t="s">
        <v>75</v>
      </c>
      <c r="AQ341" s="41"/>
      <c r="AR341" s="41"/>
      <c r="AS341" s="41"/>
      <c r="AT341" s="5" t="s">
        <v>76</v>
      </c>
      <c r="AU341" s="33"/>
      <c r="AV341" s="33"/>
      <c r="AW341" s="33"/>
      <c r="AX341" s="33"/>
      <c r="AY341" s="33"/>
      <c r="AZ341" s="6" t="s">
        <v>76</v>
      </c>
      <c r="BA341" s="33"/>
      <c r="BB341" s="33">
        <f>VLOOKUP(O341,Eco_DEM_Data!$D$1:$AC$643,20,False)</f>
        <v>1875</v>
      </c>
      <c r="BC341" s="33">
        <f>VLOOKUP($O341,Eco_DEM_Data!$D$1:$AC$643,20,False)</f>
        <v>1875</v>
      </c>
      <c r="BD341" s="33">
        <f>VLOOKUP($O341,Eco_DEM_Data!$D$1:$AC$643,25,False)</f>
        <v>687</v>
      </c>
      <c r="BE341" s="33">
        <f>VLOOKUP($O341,Eco_DEM_Data!$D$1:$AC$643,22,False)</f>
        <v>48</v>
      </c>
      <c r="BF341" s="33">
        <f>VLOOKUP($O341,Eco_DEM_Data!$D$1:$AC$643,23,False)</f>
        <v>161</v>
      </c>
      <c r="BG341" s="33">
        <f>VLOOKUP($O341,Eco_DEM_Data!$D$1:$AC$643,21,False)</f>
        <v>5008</v>
      </c>
      <c r="BH341" s="33">
        <f>VLOOKUP($O341,Eco_DEM_Data!$D$1:$AC$643,26,False)</f>
        <v>4</v>
      </c>
      <c r="BI341" s="33" t="str">
        <f>VLOOKUP($O341,Eco_DEM_Data!$D$1:$AC$643,9,False)</f>
        <v>Mesoamerican Gulf-Caribbean mangroves</v>
      </c>
      <c r="BJ341" s="33" t="str">
        <f>VLOOKUP($O341,Eco_DEM_Data!$D$1:$AC$643,11,False)</f>
        <v>Mangroves</v>
      </c>
    </row>
    <row r="342">
      <c r="A342" s="33" t="s">
        <v>2106</v>
      </c>
      <c r="B342" s="33" t="s">
        <v>2259</v>
      </c>
      <c r="C342" s="34">
        <v>5.0</v>
      </c>
      <c r="D342" s="33" t="s">
        <v>268</v>
      </c>
      <c r="E342" s="34">
        <v>2011.0</v>
      </c>
      <c r="F342" s="33" t="s">
        <v>2051</v>
      </c>
      <c r="G342" s="45" t="s">
        <v>2107</v>
      </c>
      <c r="H342" s="46"/>
      <c r="I342" s="33"/>
      <c r="J342" s="33" t="s">
        <v>2108</v>
      </c>
      <c r="K342" s="34">
        <v>76.0</v>
      </c>
      <c r="L342" s="33"/>
      <c r="M342" s="6" t="s">
        <v>2109</v>
      </c>
      <c r="N342" s="35" t="s">
        <v>60</v>
      </c>
      <c r="O342" s="33" t="s">
        <v>2114</v>
      </c>
      <c r="P342" s="36" t="s">
        <v>62</v>
      </c>
      <c r="Q342" s="36" t="s">
        <v>187</v>
      </c>
      <c r="R342" s="36" t="s">
        <v>2111</v>
      </c>
      <c r="S342" s="37">
        <v>17.472047</v>
      </c>
      <c r="T342" s="37">
        <v>-88.260859</v>
      </c>
      <c r="U342" s="36" t="s">
        <v>65</v>
      </c>
      <c r="V342" s="6" t="s">
        <v>189</v>
      </c>
      <c r="W342" s="6" t="s">
        <v>170</v>
      </c>
      <c r="X342" s="1" t="s">
        <v>2056</v>
      </c>
      <c r="Y342" s="33" t="s">
        <v>70</v>
      </c>
      <c r="Z342" s="36"/>
      <c r="AA342" s="37">
        <v>5.0</v>
      </c>
      <c r="AB342" s="36"/>
      <c r="AC342" s="36"/>
      <c r="AD342" s="36"/>
      <c r="AE342" s="36"/>
      <c r="AF342" s="36"/>
      <c r="AG342" s="36"/>
      <c r="AH342" s="36" t="s">
        <v>2113</v>
      </c>
      <c r="AI342" s="37">
        <v>-6780.0</v>
      </c>
      <c r="AJ342" s="37">
        <v>2005.0</v>
      </c>
      <c r="AK342" s="6" t="s">
        <v>73</v>
      </c>
      <c r="AL342" s="6" t="s">
        <v>72</v>
      </c>
      <c r="AM342" s="33" t="s">
        <v>238</v>
      </c>
      <c r="AN342" s="6" t="s">
        <v>72</v>
      </c>
      <c r="AO342" s="33"/>
      <c r="AP342" s="6" t="s">
        <v>75</v>
      </c>
      <c r="AQ342" s="33"/>
      <c r="AR342" s="33"/>
      <c r="AS342" s="33"/>
      <c r="AT342" s="6" t="s">
        <v>76</v>
      </c>
      <c r="AU342" s="33"/>
      <c r="AV342" s="33"/>
      <c r="AW342" s="33"/>
      <c r="AX342" s="33"/>
      <c r="AY342" s="33"/>
      <c r="AZ342" s="6" t="s">
        <v>76</v>
      </c>
      <c r="BA342" s="33"/>
      <c r="BB342" s="33">
        <f>VLOOKUP(O342,Eco_DEM_Data!$D$1:$AC$643,20,False)</f>
        <v>1875</v>
      </c>
      <c r="BC342" s="33">
        <f>VLOOKUP($O342,Eco_DEM_Data!$D$1:$AC$643,20,False)</f>
        <v>1875</v>
      </c>
      <c r="BD342" s="33">
        <f>VLOOKUP($O342,Eco_DEM_Data!$D$1:$AC$643,25,False)</f>
        <v>687</v>
      </c>
      <c r="BE342" s="33">
        <f>VLOOKUP($O342,Eco_DEM_Data!$D$1:$AC$643,22,False)</f>
        <v>48</v>
      </c>
      <c r="BF342" s="33">
        <f>VLOOKUP($O342,Eco_DEM_Data!$D$1:$AC$643,23,False)</f>
        <v>161</v>
      </c>
      <c r="BG342" s="33">
        <f>VLOOKUP($O342,Eco_DEM_Data!$D$1:$AC$643,21,False)</f>
        <v>5008</v>
      </c>
      <c r="BH342" s="33">
        <f>VLOOKUP($O342,Eco_DEM_Data!$D$1:$AC$643,26,False)</f>
        <v>4</v>
      </c>
      <c r="BI342" s="33" t="str">
        <f>VLOOKUP($O342,Eco_DEM_Data!$D$1:$AC$643,9,False)</f>
        <v>Mesoamerican Gulf-Caribbean mangroves</v>
      </c>
      <c r="BJ342" s="33" t="str">
        <f>VLOOKUP($O342,Eco_DEM_Data!$D$1:$AC$643,11,False)</f>
        <v>Mangroves</v>
      </c>
    </row>
    <row r="343">
      <c r="A343" s="33" t="s">
        <v>2106</v>
      </c>
      <c r="B343" s="33" t="s">
        <v>2259</v>
      </c>
      <c r="C343" s="34">
        <v>5.0</v>
      </c>
      <c r="D343" s="33" t="s">
        <v>268</v>
      </c>
      <c r="E343" s="34">
        <v>2011.0</v>
      </c>
      <c r="F343" s="33" t="s">
        <v>2051</v>
      </c>
      <c r="G343" s="45" t="s">
        <v>2107</v>
      </c>
      <c r="H343" s="46"/>
      <c r="I343" s="33"/>
      <c r="J343" s="33" t="s">
        <v>2108</v>
      </c>
      <c r="K343" s="34">
        <v>76.0</v>
      </c>
      <c r="L343" s="33"/>
      <c r="M343" s="6" t="s">
        <v>2109</v>
      </c>
      <c r="N343" s="35" t="s">
        <v>60</v>
      </c>
      <c r="O343" s="33" t="s">
        <v>2115</v>
      </c>
      <c r="P343" s="36" t="s">
        <v>62</v>
      </c>
      <c r="Q343" s="36" t="s">
        <v>187</v>
      </c>
      <c r="R343" s="36" t="s">
        <v>2111</v>
      </c>
      <c r="S343" s="37">
        <v>17.472047</v>
      </c>
      <c r="T343" s="37">
        <v>-88.260859</v>
      </c>
      <c r="U343" s="36" t="s">
        <v>65</v>
      </c>
      <c r="V343" s="6" t="s">
        <v>135</v>
      </c>
      <c r="W343" s="33" t="s">
        <v>173</v>
      </c>
      <c r="X343" s="1" t="s">
        <v>547</v>
      </c>
      <c r="Y343" s="55" t="s">
        <v>256</v>
      </c>
      <c r="Z343" s="36"/>
      <c r="AA343" s="37">
        <v>5.0</v>
      </c>
      <c r="AB343" s="36"/>
      <c r="AC343" s="36"/>
      <c r="AD343" s="36"/>
      <c r="AE343" s="36"/>
      <c r="AF343" s="36"/>
      <c r="AG343" s="36"/>
      <c r="AH343" s="36" t="s">
        <v>2113</v>
      </c>
      <c r="AI343" s="37">
        <v>-6780.0</v>
      </c>
      <c r="AJ343" s="37">
        <v>2005.0</v>
      </c>
      <c r="AK343" s="6" t="s">
        <v>73</v>
      </c>
      <c r="AL343" s="6" t="s">
        <v>72</v>
      </c>
      <c r="AM343" s="33" t="s">
        <v>238</v>
      </c>
      <c r="AN343" s="6" t="s">
        <v>72</v>
      </c>
      <c r="AO343" s="33"/>
      <c r="AP343" s="6" t="s">
        <v>75</v>
      </c>
      <c r="AQ343" s="33"/>
      <c r="AR343" s="33"/>
      <c r="AS343" s="33"/>
      <c r="AT343" s="6" t="s">
        <v>76</v>
      </c>
      <c r="AU343" s="33"/>
      <c r="AV343" s="33"/>
      <c r="AW343" s="33"/>
      <c r="AX343" s="33"/>
      <c r="AY343" s="33"/>
      <c r="AZ343" s="6" t="s">
        <v>76</v>
      </c>
      <c r="BA343" s="33"/>
      <c r="BB343" s="33">
        <f>VLOOKUP(O343,Eco_DEM_Data!$D$1:$AC$643,20,False)</f>
        <v>1875</v>
      </c>
      <c r="BC343" s="33">
        <f>VLOOKUP($O343,Eco_DEM_Data!$D$1:$AC$643,20,False)</f>
        <v>1875</v>
      </c>
      <c r="BD343" s="33">
        <f>VLOOKUP($O343,Eco_DEM_Data!$D$1:$AC$643,25,False)</f>
        <v>687</v>
      </c>
      <c r="BE343" s="33">
        <f>VLOOKUP($O343,Eco_DEM_Data!$D$1:$AC$643,22,False)</f>
        <v>48</v>
      </c>
      <c r="BF343" s="33">
        <f>VLOOKUP($O343,Eco_DEM_Data!$D$1:$AC$643,23,False)</f>
        <v>161</v>
      </c>
      <c r="BG343" s="33">
        <f>VLOOKUP($O343,Eco_DEM_Data!$D$1:$AC$643,21,False)</f>
        <v>5008</v>
      </c>
      <c r="BH343" s="33">
        <f>VLOOKUP($O343,Eco_DEM_Data!$D$1:$AC$643,26,False)</f>
        <v>4</v>
      </c>
      <c r="BI343" s="33" t="str">
        <f>VLOOKUP($O343,Eco_DEM_Data!$D$1:$AC$643,9,False)</f>
        <v>Mesoamerican Gulf-Caribbean mangroves</v>
      </c>
      <c r="BJ343" s="33" t="str">
        <f>VLOOKUP($O343,Eco_DEM_Data!$D$1:$AC$643,11,False)</f>
        <v>Mangroves</v>
      </c>
    </row>
    <row r="344">
      <c r="A344" s="33" t="s">
        <v>2106</v>
      </c>
      <c r="B344" s="33" t="s">
        <v>2259</v>
      </c>
      <c r="C344" s="34">
        <v>5.0</v>
      </c>
      <c r="D344" s="33" t="s">
        <v>268</v>
      </c>
      <c r="E344" s="34">
        <v>2011.0</v>
      </c>
      <c r="F344" s="33" t="s">
        <v>2051</v>
      </c>
      <c r="G344" s="45" t="s">
        <v>2107</v>
      </c>
      <c r="H344" s="46"/>
      <c r="I344" s="33"/>
      <c r="J344" s="33" t="s">
        <v>2108</v>
      </c>
      <c r="K344" s="34">
        <v>76.0</v>
      </c>
      <c r="L344" s="33"/>
      <c r="M344" s="6" t="s">
        <v>2109</v>
      </c>
      <c r="N344" s="35" t="s">
        <v>60</v>
      </c>
      <c r="O344" s="33" t="s">
        <v>2116</v>
      </c>
      <c r="P344" s="36" t="s">
        <v>62</v>
      </c>
      <c r="Q344" s="36" t="s">
        <v>187</v>
      </c>
      <c r="R344" s="36" t="s">
        <v>2111</v>
      </c>
      <c r="S344" s="37">
        <v>17.472047</v>
      </c>
      <c r="T344" s="37">
        <v>-88.260859</v>
      </c>
      <c r="U344" s="36" t="s">
        <v>65</v>
      </c>
      <c r="V344" s="6" t="s">
        <v>388</v>
      </c>
      <c r="W344" s="33" t="s">
        <v>173</v>
      </c>
      <c r="X344" s="1" t="s">
        <v>547</v>
      </c>
      <c r="Y344" s="55" t="s">
        <v>256</v>
      </c>
      <c r="Z344" s="36"/>
      <c r="AA344" s="37">
        <v>5.0</v>
      </c>
      <c r="AB344" s="36"/>
      <c r="AC344" s="36"/>
      <c r="AD344" s="36"/>
      <c r="AE344" s="36"/>
      <c r="AF344" s="36"/>
      <c r="AG344" s="36"/>
      <c r="AH344" s="36" t="s">
        <v>2113</v>
      </c>
      <c r="AI344" s="37">
        <v>-6780.0</v>
      </c>
      <c r="AJ344" s="37">
        <v>2005.0</v>
      </c>
      <c r="AK344" s="6" t="s">
        <v>73</v>
      </c>
      <c r="AL344" s="6" t="s">
        <v>72</v>
      </c>
      <c r="AM344" s="33" t="s">
        <v>238</v>
      </c>
      <c r="AN344" s="6" t="s">
        <v>72</v>
      </c>
      <c r="AO344" s="33"/>
      <c r="AP344" s="6" t="s">
        <v>75</v>
      </c>
      <c r="AQ344" s="33"/>
      <c r="AR344" s="33"/>
      <c r="AS344" s="33"/>
      <c r="AT344" s="6" t="s">
        <v>76</v>
      </c>
      <c r="AU344" s="33"/>
      <c r="AV344" s="33"/>
      <c r="AW344" s="33"/>
      <c r="AX344" s="33"/>
      <c r="AY344" s="33"/>
      <c r="AZ344" s="6" t="s">
        <v>76</v>
      </c>
      <c r="BA344" s="33"/>
      <c r="BB344" s="33">
        <f>VLOOKUP(O344,Eco_DEM_Data!$D$1:$AC$643,20,False)</f>
        <v>1875</v>
      </c>
      <c r="BC344" s="33">
        <f>VLOOKUP($O344,Eco_DEM_Data!$D$1:$AC$643,20,False)</f>
        <v>1875</v>
      </c>
      <c r="BD344" s="33">
        <f>VLOOKUP($O344,Eco_DEM_Data!$D$1:$AC$643,25,False)</f>
        <v>687</v>
      </c>
      <c r="BE344" s="33">
        <f>VLOOKUP($O344,Eco_DEM_Data!$D$1:$AC$643,22,False)</f>
        <v>48</v>
      </c>
      <c r="BF344" s="33">
        <f>VLOOKUP($O344,Eco_DEM_Data!$D$1:$AC$643,23,False)</f>
        <v>161</v>
      </c>
      <c r="BG344" s="33">
        <f>VLOOKUP($O344,Eco_DEM_Data!$D$1:$AC$643,21,False)</f>
        <v>5008</v>
      </c>
      <c r="BH344" s="33">
        <f>VLOOKUP($O344,Eco_DEM_Data!$D$1:$AC$643,26,False)</f>
        <v>4</v>
      </c>
      <c r="BI344" s="33" t="str">
        <f>VLOOKUP($O344,Eco_DEM_Data!$D$1:$AC$643,9,False)</f>
        <v>Mesoamerican Gulf-Caribbean mangroves</v>
      </c>
      <c r="BJ344" s="33" t="str">
        <f>VLOOKUP($O344,Eco_DEM_Data!$D$1:$AC$643,11,False)</f>
        <v>Mangroves</v>
      </c>
    </row>
    <row r="345">
      <c r="A345" s="33" t="s">
        <v>2106</v>
      </c>
      <c r="B345" s="33" t="s">
        <v>2259</v>
      </c>
      <c r="C345" s="34">
        <v>5.0</v>
      </c>
      <c r="D345" s="33" t="s">
        <v>268</v>
      </c>
      <c r="E345" s="34">
        <v>2011.0</v>
      </c>
      <c r="F345" s="33" t="s">
        <v>2051</v>
      </c>
      <c r="G345" s="45" t="s">
        <v>2107</v>
      </c>
      <c r="H345" s="46"/>
      <c r="I345" s="33"/>
      <c r="J345" s="33" t="s">
        <v>2108</v>
      </c>
      <c r="K345" s="34">
        <v>76.0</v>
      </c>
      <c r="L345" s="33"/>
      <c r="M345" s="6" t="s">
        <v>2109</v>
      </c>
      <c r="N345" s="35" t="s">
        <v>60</v>
      </c>
      <c r="O345" s="33" t="s">
        <v>2117</v>
      </c>
      <c r="P345" s="36" t="s">
        <v>62</v>
      </c>
      <c r="Q345" s="36" t="s">
        <v>187</v>
      </c>
      <c r="R345" s="36" t="s">
        <v>2111</v>
      </c>
      <c r="S345" s="37">
        <v>17.472047</v>
      </c>
      <c r="T345" s="37">
        <v>-88.260859</v>
      </c>
      <c r="U345" s="36" t="s">
        <v>65</v>
      </c>
      <c r="V345" s="38" t="s">
        <v>382</v>
      </c>
      <c r="W345" s="33" t="s">
        <v>173</v>
      </c>
      <c r="X345" s="3" t="s">
        <v>72</v>
      </c>
      <c r="Y345" s="33" t="s">
        <v>968</v>
      </c>
      <c r="Z345" s="36"/>
      <c r="AA345" s="37">
        <v>5.0</v>
      </c>
      <c r="AB345" s="36"/>
      <c r="AC345" s="36"/>
      <c r="AD345" s="36"/>
      <c r="AE345" s="36"/>
      <c r="AF345" s="36"/>
      <c r="AG345" s="36"/>
      <c r="AH345" s="36" t="s">
        <v>2113</v>
      </c>
      <c r="AI345" s="37">
        <v>-6780.0</v>
      </c>
      <c r="AJ345" s="37">
        <v>2005.0</v>
      </c>
      <c r="AK345" s="6" t="s">
        <v>73</v>
      </c>
      <c r="AL345" s="6" t="s">
        <v>72</v>
      </c>
      <c r="AM345" s="33" t="s">
        <v>238</v>
      </c>
      <c r="AN345" s="6" t="s">
        <v>72</v>
      </c>
      <c r="AO345" s="33"/>
      <c r="AP345" s="6" t="s">
        <v>75</v>
      </c>
      <c r="AQ345" s="33"/>
      <c r="AR345" s="33"/>
      <c r="AS345" s="33"/>
      <c r="AT345" s="6" t="s">
        <v>76</v>
      </c>
      <c r="AU345" s="33"/>
      <c r="AV345" s="33"/>
      <c r="AW345" s="33"/>
      <c r="AX345" s="33"/>
      <c r="AY345" s="33"/>
      <c r="AZ345" s="6" t="s">
        <v>76</v>
      </c>
      <c r="BA345" s="33"/>
      <c r="BB345" s="33">
        <f>VLOOKUP(O345,Eco_DEM_Data!$D$1:$AC$643,20,False)</f>
        <v>1875</v>
      </c>
      <c r="BC345" s="33">
        <f>VLOOKUP($O345,Eco_DEM_Data!$D$1:$AC$643,20,False)</f>
        <v>1875</v>
      </c>
      <c r="BD345" s="33">
        <f>VLOOKUP($O345,Eco_DEM_Data!$D$1:$AC$643,25,False)</f>
        <v>687</v>
      </c>
      <c r="BE345" s="33">
        <f>VLOOKUP($O345,Eco_DEM_Data!$D$1:$AC$643,22,False)</f>
        <v>48</v>
      </c>
      <c r="BF345" s="33">
        <f>VLOOKUP($O345,Eco_DEM_Data!$D$1:$AC$643,23,False)</f>
        <v>161</v>
      </c>
      <c r="BG345" s="33">
        <f>VLOOKUP($O345,Eco_DEM_Data!$D$1:$AC$643,21,False)</f>
        <v>5008</v>
      </c>
      <c r="BH345" s="33">
        <f>VLOOKUP($O345,Eco_DEM_Data!$D$1:$AC$643,26,False)</f>
        <v>4</v>
      </c>
      <c r="BI345" s="33" t="str">
        <f>VLOOKUP($O345,Eco_DEM_Data!$D$1:$AC$643,9,False)</f>
        <v>Mesoamerican Gulf-Caribbean mangroves</v>
      </c>
      <c r="BJ345" s="33" t="str">
        <f>VLOOKUP($O345,Eco_DEM_Data!$D$1:$AC$643,11,False)</f>
        <v>Mangroves</v>
      </c>
    </row>
    <row r="346">
      <c r="A346" s="33" t="s">
        <v>2106</v>
      </c>
      <c r="B346" s="33" t="s">
        <v>2259</v>
      </c>
      <c r="C346" s="34">
        <v>5.0</v>
      </c>
      <c r="D346" s="33" t="s">
        <v>268</v>
      </c>
      <c r="E346" s="34">
        <v>2011.0</v>
      </c>
      <c r="F346" s="33" t="s">
        <v>2051</v>
      </c>
      <c r="G346" s="45" t="s">
        <v>2107</v>
      </c>
      <c r="H346" s="46"/>
      <c r="I346" s="33"/>
      <c r="J346" s="33" t="s">
        <v>2108</v>
      </c>
      <c r="K346" s="34">
        <v>76.0</v>
      </c>
      <c r="L346" s="33"/>
      <c r="M346" s="6" t="s">
        <v>2109</v>
      </c>
      <c r="N346" s="35" t="s">
        <v>60</v>
      </c>
      <c r="O346" s="33" t="s">
        <v>2118</v>
      </c>
      <c r="P346" s="36" t="s">
        <v>62</v>
      </c>
      <c r="Q346" s="36" t="s">
        <v>187</v>
      </c>
      <c r="R346" s="36" t="s">
        <v>2111</v>
      </c>
      <c r="S346" s="37">
        <v>17.472047</v>
      </c>
      <c r="T346" s="37">
        <v>-88.260859</v>
      </c>
      <c r="U346" s="36" t="s">
        <v>65</v>
      </c>
      <c r="V346" s="38" t="s">
        <v>194</v>
      </c>
      <c r="W346" s="33" t="s">
        <v>173</v>
      </c>
      <c r="X346" s="1" t="s">
        <v>2056</v>
      </c>
      <c r="Y346" s="33" t="s">
        <v>70</v>
      </c>
      <c r="Z346" s="36"/>
      <c r="AA346" s="37">
        <v>5.0</v>
      </c>
      <c r="AB346" s="36"/>
      <c r="AC346" s="36"/>
      <c r="AD346" s="36"/>
      <c r="AE346" s="36"/>
      <c r="AF346" s="36"/>
      <c r="AG346" s="36"/>
      <c r="AH346" s="36" t="s">
        <v>2113</v>
      </c>
      <c r="AI346" s="37">
        <v>-6780.0</v>
      </c>
      <c r="AJ346" s="37">
        <v>2005.0</v>
      </c>
      <c r="AK346" s="6" t="s">
        <v>73</v>
      </c>
      <c r="AL346" s="6" t="s">
        <v>72</v>
      </c>
      <c r="AM346" s="33" t="s">
        <v>238</v>
      </c>
      <c r="AN346" s="6" t="s">
        <v>72</v>
      </c>
      <c r="AO346" s="33"/>
      <c r="AP346" s="6" t="s">
        <v>75</v>
      </c>
      <c r="AQ346" s="33"/>
      <c r="AR346" s="33"/>
      <c r="AS346" s="33"/>
      <c r="AT346" s="6" t="s">
        <v>76</v>
      </c>
      <c r="AU346" s="33"/>
      <c r="AV346" s="33"/>
      <c r="AW346" s="33"/>
      <c r="AX346" s="33"/>
      <c r="AY346" s="33"/>
      <c r="AZ346" s="6" t="s">
        <v>76</v>
      </c>
      <c r="BA346" s="33"/>
      <c r="BB346" s="33">
        <f>VLOOKUP(O346,Eco_DEM_Data!$D$1:$AC$643,20,False)</f>
        <v>1875</v>
      </c>
      <c r="BC346" s="33">
        <f>VLOOKUP($O346,Eco_DEM_Data!$D$1:$AC$643,20,False)</f>
        <v>1875</v>
      </c>
      <c r="BD346" s="33">
        <f>VLOOKUP($O346,Eco_DEM_Data!$D$1:$AC$643,25,False)</f>
        <v>687</v>
      </c>
      <c r="BE346" s="33">
        <f>VLOOKUP($O346,Eco_DEM_Data!$D$1:$AC$643,22,False)</f>
        <v>48</v>
      </c>
      <c r="BF346" s="33">
        <f>VLOOKUP($O346,Eco_DEM_Data!$D$1:$AC$643,23,False)</f>
        <v>161</v>
      </c>
      <c r="BG346" s="33">
        <f>VLOOKUP($O346,Eco_DEM_Data!$D$1:$AC$643,21,False)</f>
        <v>5008</v>
      </c>
      <c r="BH346" s="33">
        <f>VLOOKUP($O346,Eco_DEM_Data!$D$1:$AC$643,26,False)</f>
        <v>4</v>
      </c>
      <c r="BI346" s="33" t="str">
        <f>VLOOKUP($O346,Eco_DEM_Data!$D$1:$AC$643,9,False)</f>
        <v>Mesoamerican Gulf-Caribbean mangroves</v>
      </c>
      <c r="BJ346" s="33" t="str">
        <f>VLOOKUP($O346,Eco_DEM_Data!$D$1:$AC$643,11,False)</f>
        <v>Mangroves</v>
      </c>
    </row>
    <row r="347">
      <c r="A347" s="33" t="s">
        <v>369</v>
      </c>
      <c r="B347" s="33" t="s">
        <v>2259</v>
      </c>
      <c r="C347" s="34">
        <v>4.0</v>
      </c>
      <c r="D347" s="33" t="s">
        <v>53</v>
      </c>
      <c r="E347" s="34">
        <v>2011.0</v>
      </c>
      <c r="F347" s="33" t="s">
        <v>370</v>
      </c>
      <c r="G347" s="33" t="s">
        <v>371</v>
      </c>
      <c r="H347" s="33" t="s">
        <v>359</v>
      </c>
      <c r="I347" s="33" t="s">
        <v>372</v>
      </c>
      <c r="J347" s="33" t="s">
        <v>373</v>
      </c>
      <c r="K347" s="34">
        <v>26.0</v>
      </c>
      <c r="L347" s="34">
        <v>3.0</v>
      </c>
      <c r="M347" s="6" t="s">
        <v>374</v>
      </c>
      <c r="N347" s="35" t="s">
        <v>60</v>
      </c>
      <c r="O347" s="33" t="s">
        <v>375</v>
      </c>
      <c r="P347" s="36" t="s">
        <v>62</v>
      </c>
      <c r="Q347" s="36" t="s">
        <v>167</v>
      </c>
      <c r="R347" s="36" t="s">
        <v>376</v>
      </c>
      <c r="S347" s="37">
        <v>14.456389</v>
      </c>
      <c r="T347" s="37">
        <v>-90.566111</v>
      </c>
      <c r="U347" s="36" t="s">
        <v>148</v>
      </c>
      <c r="V347" s="38" t="s">
        <v>66</v>
      </c>
      <c r="W347" s="41" t="s">
        <v>823</v>
      </c>
      <c r="X347" s="7" t="s">
        <v>377</v>
      </c>
      <c r="Y347" s="41" t="s">
        <v>70</v>
      </c>
      <c r="Z347" s="43"/>
      <c r="AA347" s="42">
        <v>5.0</v>
      </c>
      <c r="AB347" s="43"/>
      <c r="AC347" s="43"/>
      <c r="AD347" s="43"/>
      <c r="AE347" s="43"/>
      <c r="AF347" s="43"/>
      <c r="AG347" s="43"/>
      <c r="AH347" s="38" t="s">
        <v>72</v>
      </c>
      <c r="AI347" s="42">
        <v>-1000.0</v>
      </c>
      <c r="AJ347" s="42">
        <v>2000.0</v>
      </c>
      <c r="AK347" s="5" t="s">
        <v>73</v>
      </c>
      <c r="AL347" s="5" t="s">
        <v>72</v>
      </c>
      <c r="AM347" s="33" t="s">
        <v>238</v>
      </c>
      <c r="AN347" s="5" t="s">
        <v>72</v>
      </c>
      <c r="AO347" s="41"/>
      <c r="AP347" s="5" t="s">
        <v>75</v>
      </c>
      <c r="AQ347" s="41"/>
      <c r="AR347" s="41"/>
      <c r="AS347" s="41"/>
      <c r="AT347" s="5" t="s">
        <v>60</v>
      </c>
      <c r="AU347" s="33"/>
      <c r="AV347" s="33"/>
      <c r="AW347" s="33"/>
      <c r="AX347" s="33"/>
      <c r="AY347" s="33"/>
      <c r="AZ347" s="6" t="s">
        <v>76</v>
      </c>
      <c r="BA347" s="33"/>
      <c r="BB347" s="33">
        <f>VLOOKUP(O347,Eco_DEM_Data!$D$1:$AC$643,20,False)</f>
        <v>1344</v>
      </c>
      <c r="BC347" s="33">
        <f>VLOOKUP($O347,Eco_DEM_Data!$D$1:$AC$643,20,False)</f>
        <v>1344</v>
      </c>
      <c r="BD347" s="33">
        <f>VLOOKUP($O347,Eco_DEM_Data!$D$1:$AC$643,25,False)</f>
        <v>729</v>
      </c>
      <c r="BE347" s="33">
        <f>VLOOKUP($O347,Eco_DEM_Data!$D$1:$AC$643,22,False)</f>
        <v>1</v>
      </c>
      <c r="BF347" s="33">
        <f>VLOOKUP($O347,Eco_DEM_Data!$D$1:$AC$643,23,False)</f>
        <v>7</v>
      </c>
      <c r="BG347" s="33">
        <f>VLOOKUP($O347,Eco_DEM_Data!$D$1:$AC$643,21,False)</f>
        <v>10277</v>
      </c>
      <c r="BH347" s="33">
        <f>VLOOKUP($O347,Eco_DEM_Data!$D$1:$AC$643,26,False)</f>
        <v>1198</v>
      </c>
      <c r="BI347" s="33" t="str">
        <f>VLOOKUP($O347,Eco_DEM_Data!$D$1:$AC$643,9,False)</f>
        <v>Central American pine-oak forests</v>
      </c>
      <c r="BJ347" s="33" t="str">
        <f>VLOOKUP($O347,Eco_DEM_Data!$D$1:$AC$643,11,False)</f>
        <v>Tropical &amp; Subtropical Coniferous Forests</v>
      </c>
    </row>
    <row r="348">
      <c r="A348" s="33" t="s">
        <v>369</v>
      </c>
      <c r="B348" s="33" t="s">
        <v>2259</v>
      </c>
      <c r="C348" s="34">
        <v>4.0</v>
      </c>
      <c r="D348" s="33" t="s">
        <v>53</v>
      </c>
      <c r="E348" s="34">
        <v>2011.0</v>
      </c>
      <c r="F348" s="33" t="s">
        <v>370</v>
      </c>
      <c r="G348" s="33" t="s">
        <v>371</v>
      </c>
      <c r="H348" s="33" t="s">
        <v>359</v>
      </c>
      <c r="I348" s="33" t="s">
        <v>372</v>
      </c>
      <c r="J348" s="33" t="s">
        <v>373</v>
      </c>
      <c r="K348" s="34">
        <v>26.0</v>
      </c>
      <c r="L348" s="34">
        <v>3.0</v>
      </c>
      <c r="M348" s="6" t="s">
        <v>374</v>
      </c>
      <c r="N348" s="35" t="s">
        <v>60</v>
      </c>
      <c r="O348" s="33" t="s">
        <v>378</v>
      </c>
      <c r="P348" s="36" t="s">
        <v>62</v>
      </c>
      <c r="Q348" s="36" t="s">
        <v>167</v>
      </c>
      <c r="R348" s="36" t="s">
        <v>376</v>
      </c>
      <c r="S348" s="37">
        <v>14.456389</v>
      </c>
      <c r="T348" s="37">
        <v>-90.566111</v>
      </c>
      <c r="U348" s="36" t="s">
        <v>148</v>
      </c>
      <c r="V348" s="38" t="s">
        <v>149</v>
      </c>
      <c r="W348" s="6" t="s">
        <v>379</v>
      </c>
      <c r="X348" s="1" t="s">
        <v>264</v>
      </c>
      <c r="Y348" s="33" t="s">
        <v>70</v>
      </c>
      <c r="Z348" s="36"/>
      <c r="AA348" s="37">
        <v>5.0</v>
      </c>
      <c r="AB348" s="36"/>
      <c r="AC348" s="36"/>
      <c r="AD348" s="36"/>
      <c r="AE348" s="36"/>
      <c r="AF348" s="36"/>
      <c r="AG348" s="36"/>
      <c r="AH348" s="38" t="s">
        <v>72</v>
      </c>
      <c r="AI348" s="37">
        <v>-1000.0</v>
      </c>
      <c r="AJ348" s="37">
        <v>2000.0</v>
      </c>
      <c r="AK348" s="6" t="s">
        <v>73</v>
      </c>
      <c r="AL348" s="6" t="s">
        <v>72</v>
      </c>
      <c r="AM348" s="33" t="s">
        <v>238</v>
      </c>
      <c r="AN348" s="6" t="s">
        <v>72</v>
      </c>
      <c r="AO348" s="33"/>
      <c r="AP348" s="6" t="s">
        <v>75</v>
      </c>
      <c r="AQ348" s="33"/>
      <c r="AR348" s="33"/>
      <c r="AS348" s="33"/>
      <c r="AT348" s="6" t="s">
        <v>76</v>
      </c>
      <c r="AU348" s="33"/>
      <c r="AV348" s="33"/>
      <c r="AW348" s="33"/>
      <c r="AX348" s="33"/>
      <c r="AY348" s="33"/>
      <c r="AZ348" s="6" t="s">
        <v>76</v>
      </c>
      <c r="BA348" s="33"/>
      <c r="BB348" s="33">
        <f>VLOOKUP(O348,Eco_DEM_Data!$D$1:$AC$643,20,False)</f>
        <v>1344</v>
      </c>
      <c r="BC348" s="33">
        <f>VLOOKUP($O348,Eco_DEM_Data!$D$1:$AC$643,20,False)</f>
        <v>1344</v>
      </c>
      <c r="BD348" s="33">
        <f>VLOOKUP($O348,Eco_DEM_Data!$D$1:$AC$643,25,False)</f>
        <v>729</v>
      </c>
      <c r="BE348" s="33">
        <f>VLOOKUP($O348,Eco_DEM_Data!$D$1:$AC$643,22,False)</f>
        <v>1</v>
      </c>
      <c r="BF348" s="33">
        <f>VLOOKUP($O348,Eco_DEM_Data!$D$1:$AC$643,23,False)</f>
        <v>7</v>
      </c>
      <c r="BG348" s="33">
        <f>VLOOKUP($O348,Eco_DEM_Data!$D$1:$AC$643,21,False)</f>
        <v>10277</v>
      </c>
      <c r="BH348" s="33">
        <f>VLOOKUP($O348,Eco_DEM_Data!$D$1:$AC$643,26,False)</f>
        <v>1198</v>
      </c>
      <c r="BI348" s="33" t="str">
        <f>VLOOKUP($O348,Eco_DEM_Data!$D$1:$AC$643,9,False)</f>
        <v>Central American pine-oak forests</v>
      </c>
      <c r="BJ348" s="33" t="str">
        <f>VLOOKUP($O348,Eco_DEM_Data!$D$1:$AC$643,11,False)</f>
        <v>Tropical &amp; Subtropical Coniferous Forests</v>
      </c>
    </row>
    <row r="349">
      <c r="A349" s="33" t="s">
        <v>369</v>
      </c>
      <c r="B349" s="33" t="s">
        <v>2259</v>
      </c>
      <c r="C349" s="34">
        <v>4.0</v>
      </c>
      <c r="D349" s="33" t="s">
        <v>53</v>
      </c>
      <c r="E349" s="34">
        <v>2011.0</v>
      </c>
      <c r="F349" s="33" t="s">
        <v>370</v>
      </c>
      <c r="G349" s="33" t="s">
        <v>371</v>
      </c>
      <c r="H349" s="33" t="s">
        <v>359</v>
      </c>
      <c r="I349" s="33" t="s">
        <v>372</v>
      </c>
      <c r="J349" s="33" t="s">
        <v>373</v>
      </c>
      <c r="K349" s="34">
        <v>26.0</v>
      </c>
      <c r="L349" s="34">
        <v>3.0</v>
      </c>
      <c r="M349" s="6" t="s">
        <v>374</v>
      </c>
      <c r="N349" s="35" t="s">
        <v>60</v>
      </c>
      <c r="O349" s="33" t="s">
        <v>381</v>
      </c>
      <c r="P349" s="36" t="s">
        <v>62</v>
      </c>
      <c r="Q349" s="36" t="s">
        <v>167</v>
      </c>
      <c r="R349" s="36" t="s">
        <v>376</v>
      </c>
      <c r="S349" s="37">
        <v>14.456389</v>
      </c>
      <c r="T349" s="37">
        <v>-90.566111</v>
      </c>
      <c r="U349" s="36" t="s">
        <v>148</v>
      </c>
      <c r="V349" s="38" t="s">
        <v>382</v>
      </c>
      <c r="W349" s="6" t="s">
        <v>383</v>
      </c>
      <c r="X349" s="1" t="s">
        <v>384</v>
      </c>
      <c r="Y349" s="6" t="s">
        <v>72</v>
      </c>
      <c r="Z349" s="36"/>
      <c r="AA349" s="37">
        <v>5.0</v>
      </c>
      <c r="AB349" s="36"/>
      <c r="AC349" s="36"/>
      <c r="AD349" s="36"/>
      <c r="AE349" s="36"/>
      <c r="AF349" s="36"/>
      <c r="AG349" s="36"/>
      <c r="AH349" s="38" t="s">
        <v>72</v>
      </c>
      <c r="AI349" s="37">
        <v>-1000.0</v>
      </c>
      <c r="AJ349" s="37">
        <v>2000.0</v>
      </c>
      <c r="AK349" s="6" t="s">
        <v>73</v>
      </c>
      <c r="AL349" s="6" t="s">
        <v>72</v>
      </c>
      <c r="AM349" s="33" t="s">
        <v>238</v>
      </c>
      <c r="AN349" s="6" t="s">
        <v>72</v>
      </c>
      <c r="AO349" s="33"/>
      <c r="AP349" s="6" t="s">
        <v>75</v>
      </c>
      <c r="AQ349" s="33"/>
      <c r="AR349" s="33"/>
      <c r="AS349" s="33"/>
      <c r="AT349" s="6" t="s">
        <v>76</v>
      </c>
      <c r="AU349" s="33"/>
      <c r="AV349" s="33"/>
      <c r="AW349" s="33"/>
      <c r="AX349" s="33"/>
      <c r="AY349" s="33"/>
      <c r="AZ349" s="6" t="s">
        <v>76</v>
      </c>
      <c r="BA349" s="33"/>
      <c r="BB349" s="33">
        <f>VLOOKUP(O349,Eco_DEM_Data!$D$1:$AC$643,20,False)</f>
        <v>1344</v>
      </c>
      <c r="BC349" s="33">
        <f>VLOOKUP($O349,Eco_DEM_Data!$D$1:$AC$643,20,False)</f>
        <v>1344</v>
      </c>
      <c r="BD349" s="33">
        <f>VLOOKUP($O349,Eco_DEM_Data!$D$1:$AC$643,25,False)</f>
        <v>729</v>
      </c>
      <c r="BE349" s="33">
        <f>VLOOKUP($O349,Eco_DEM_Data!$D$1:$AC$643,22,False)</f>
        <v>1</v>
      </c>
      <c r="BF349" s="33">
        <f>VLOOKUP($O349,Eco_DEM_Data!$D$1:$AC$643,23,False)</f>
        <v>7</v>
      </c>
      <c r="BG349" s="33">
        <f>VLOOKUP($O349,Eco_DEM_Data!$D$1:$AC$643,21,False)</f>
        <v>10277</v>
      </c>
      <c r="BH349" s="33">
        <f>VLOOKUP($O349,Eco_DEM_Data!$D$1:$AC$643,26,False)</f>
        <v>1198</v>
      </c>
      <c r="BI349" s="33" t="str">
        <f>VLOOKUP($O349,Eco_DEM_Data!$D$1:$AC$643,9,False)</f>
        <v>Central American pine-oak forests</v>
      </c>
      <c r="BJ349" s="33" t="str">
        <f>VLOOKUP($O349,Eco_DEM_Data!$D$1:$AC$643,11,False)</f>
        <v>Tropical &amp; Subtropical Coniferous Forests</v>
      </c>
    </row>
    <row r="350">
      <c r="A350" s="33" t="s">
        <v>369</v>
      </c>
      <c r="B350" s="33" t="s">
        <v>2259</v>
      </c>
      <c r="C350" s="34">
        <v>4.0</v>
      </c>
      <c r="D350" s="33" t="s">
        <v>53</v>
      </c>
      <c r="E350" s="34">
        <v>2011.0</v>
      </c>
      <c r="F350" s="33" t="s">
        <v>370</v>
      </c>
      <c r="G350" s="33" t="s">
        <v>371</v>
      </c>
      <c r="H350" s="33" t="s">
        <v>359</v>
      </c>
      <c r="I350" s="33" t="s">
        <v>372</v>
      </c>
      <c r="J350" s="33" t="s">
        <v>373</v>
      </c>
      <c r="K350" s="34">
        <v>26.0</v>
      </c>
      <c r="L350" s="34">
        <v>3.0</v>
      </c>
      <c r="M350" s="6" t="s">
        <v>374</v>
      </c>
      <c r="N350" s="35" t="s">
        <v>60</v>
      </c>
      <c r="O350" s="33" t="s">
        <v>385</v>
      </c>
      <c r="P350" s="36" t="s">
        <v>62</v>
      </c>
      <c r="Q350" s="36" t="s">
        <v>167</v>
      </c>
      <c r="R350" s="36" t="s">
        <v>376</v>
      </c>
      <c r="S350" s="37">
        <v>14.456389</v>
      </c>
      <c r="T350" s="37">
        <v>-90.566111</v>
      </c>
      <c r="U350" s="36" t="s">
        <v>148</v>
      </c>
      <c r="V350" s="38" t="s">
        <v>194</v>
      </c>
      <c r="W350" s="33" t="s">
        <v>173</v>
      </c>
      <c r="X350" s="1" t="s">
        <v>386</v>
      </c>
      <c r="Y350" s="33" t="s">
        <v>70</v>
      </c>
      <c r="Z350" s="36"/>
      <c r="AA350" s="37">
        <v>5.0</v>
      </c>
      <c r="AB350" s="36"/>
      <c r="AC350" s="36"/>
      <c r="AD350" s="36"/>
      <c r="AE350" s="36"/>
      <c r="AF350" s="36"/>
      <c r="AG350" s="36"/>
      <c r="AH350" s="38" t="s">
        <v>72</v>
      </c>
      <c r="AI350" s="37">
        <v>-1000.0</v>
      </c>
      <c r="AJ350" s="37">
        <v>2000.0</v>
      </c>
      <c r="AK350" s="6" t="s">
        <v>73</v>
      </c>
      <c r="AL350" s="6" t="s">
        <v>72</v>
      </c>
      <c r="AM350" s="33" t="s">
        <v>238</v>
      </c>
      <c r="AN350" s="6" t="s">
        <v>72</v>
      </c>
      <c r="AO350" s="33"/>
      <c r="AP350" s="6" t="s">
        <v>75</v>
      </c>
      <c r="AQ350" s="33"/>
      <c r="AR350" s="33"/>
      <c r="AS350" s="33"/>
      <c r="AT350" s="6" t="s">
        <v>76</v>
      </c>
      <c r="AU350" s="33"/>
      <c r="AV350" s="33"/>
      <c r="AW350" s="33"/>
      <c r="AX350" s="33"/>
      <c r="AY350" s="33"/>
      <c r="AZ350" s="6" t="s">
        <v>76</v>
      </c>
      <c r="BA350" s="33"/>
      <c r="BB350" s="33">
        <f>VLOOKUP(O350,Eco_DEM_Data!$D$1:$AC$643,20,False)</f>
        <v>1344</v>
      </c>
      <c r="BC350" s="33">
        <f>VLOOKUP($O350,Eco_DEM_Data!$D$1:$AC$643,20,False)</f>
        <v>1344</v>
      </c>
      <c r="BD350" s="33">
        <f>VLOOKUP($O350,Eco_DEM_Data!$D$1:$AC$643,25,False)</f>
        <v>729</v>
      </c>
      <c r="BE350" s="33">
        <f>VLOOKUP($O350,Eco_DEM_Data!$D$1:$AC$643,22,False)</f>
        <v>1</v>
      </c>
      <c r="BF350" s="33">
        <f>VLOOKUP($O350,Eco_DEM_Data!$D$1:$AC$643,23,False)</f>
        <v>7</v>
      </c>
      <c r="BG350" s="33">
        <f>VLOOKUP($O350,Eco_DEM_Data!$D$1:$AC$643,21,False)</f>
        <v>10277</v>
      </c>
      <c r="BH350" s="33">
        <f>VLOOKUP($O350,Eco_DEM_Data!$D$1:$AC$643,26,False)</f>
        <v>1198</v>
      </c>
      <c r="BI350" s="33" t="str">
        <f>VLOOKUP($O350,Eco_DEM_Data!$D$1:$AC$643,9,False)</f>
        <v>Central American pine-oak forests</v>
      </c>
      <c r="BJ350" s="33" t="str">
        <f>VLOOKUP($O350,Eco_DEM_Data!$D$1:$AC$643,11,False)</f>
        <v>Tropical &amp; Subtropical Coniferous Forests</v>
      </c>
    </row>
    <row r="351">
      <c r="A351" s="33" t="s">
        <v>369</v>
      </c>
      <c r="B351" s="33" t="s">
        <v>2259</v>
      </c>
      <c r="C351" s="34">
        <v>4.0</v>
      </c>
      <c r="D351" s="33" t="s">
        <v>53</v>
      </c>
      <c r="E351" s="34">
        <v>2011.0</v>
      </c>
      <c r="F351" s="33" t="s">
        <v>370</v>
      </c>
      <c r="G351" s="33" t="s">
        <v>371</v>
      </c>
      <c r="H351" s="33" t="s">
        <v>359</v>
      </c>
      <c r="I351" s="33" t="s">
        <v>372</v>
      </c>
      <c r="J351" s="33" t="s">
        <v>373</v>
      </c>
      <c r="K351" s="34">
        <v>26.0</v>
      </c>
      <c r="L351" s="34">
        <v>3.0</v>
      </c>
      <c r="M351" s="6" t="s">
        <v>374</v>
      </c>
      <c r="N351" s="35" t="s">
        <v>60</v>
      </c>
      <c r="O351" s="33" t="s">
        <v>387</v>
      </c>
      <c r="P351" s="36" t="s">
        <v>62</v>
      </c>
      <c r="Q351" s="36" t="s">
        <v>167</v>
      </c>
      <c r="R351" s="36" t="s">
        <v>376</v>
      </c>
      <c r="S351" s="37">
        <v>14.456389</v>
      </c>
      <c r="T351" s="37">
        <v>-90.566111</v>
      </c>
      <c r="U351" s="36" t="s">
        <v>148</v>
      </c>
      <c r="V351" s="6" t="s">
        <v>388</v>
      </c>
      <c r="W351" s="33" t="s">
        <v>173</v>
      </c>
      <c r="X351" s="1" t="s">
        <v>389</v>
      </c>
      <c r="Y351" s="33" t="s">
        <v>70</v>
      </c>
      <c r="Z351" s="36"/>
      <c r="AA351" s="37">
        <v>5.0</v>
      </c>
      <c r="AB351" s="36"/>
      <c r="AC351" s="36"/>
      <c r="AD351" s="36"/>
      <c r="AE351" s="36"/>
      <c r="AF351" s="36"/>
      <c r="AG351" s="36"/>
      <c r="AH351" s="38" t="s">
        <v>72</v>
      </c>
      <c r="AI351" s="37">
        <v>-1000.0</v>
      </c>
      <c r="AJ351" s="37">
        <v>2000.0</v>
      </c>
      <c r="AK351" s="6" t="s">
        <v>73</v>
      </c>
      <c r="AL351" s="6" t="s">
        <v>72</v>
      </c>
      <c r="AM351" s="33" t="s">
        <v>238</v>
      </c>
      <c r="AN351" s="6" t="s">
        <v>72</v>
      </c>
      <c r="AO351" s="33"/>
      <c r="AP351" s="6" t="s">
        <v>75</v>
      </c>
      <c r="AQ351" s="33"/>
      <c r="AR351" s="33"/>
      <c r="AS351" s="33"/>
      <c r="AT351" s="6" t="s">
        <v>76</v>
      </c>
      <c r="AU351" s="33"/>
      <c r="AV351" s="33"/>
      <c r="AW351" s="33"/>
      <c r="AX351" s="33"/>
      <c r="AY351" s="33"/>
      <c r="AZ351" s="6" t="s">
        <v>76</v>
      </c>
      <c r="BA351" s="33"/>
      <c r="BB351" s="33">
        <f>VLOOKUP(O351,Eco_DEM_Data!$D$1:$AC$643,20,False)</f>
        <v>1344</v>
      </c>
      <c r="BC351" s="33">
        <f>VLOOKUP($O351,Eco_DEM_Data!$D$1:$AC$643,20,False)</f>
        <v>1344</v>
      </c>
      <c r="BD351" s="33">
        <f>VLOOKUP($O351,Eco_DEM_Data!$D$1:$AC$643,25,False)</f>
        <v>729</v>
      </c>
      <c r="BE351" s="33">
        <f>VLOOKUP($O351,Eco_DEM_Data!$D$1:$AC$643,22,False)</f>
        <v>1</v>
      </c>
      <c r="BF351" s="33">
        <f>VLOOKUP($O351,Eco_DEM_Data!$D$1:$AC$643,23,False)</f>
        <v>7</v>
      </c>
      <c r="BG351" s="33">
        <f>VLOOKUP($O351,Eco_DEM_Data!$D$1:$AC$643,21,False)</f>
        <v>10277</v>
      </c>
      <c r="BH351" s="33">
        <f>VLOOKUP($O351,Eco_DEM_Data!$D$1:$AC$643,26,False)</f>
        <v>1198</v>
      </c>
      <c r="BI351" s="33" t="str">
        <f>VLOOKUP($O351,Eco_DEM_Data!$D$1:$AC$643,9,False)</f>
        <v>Central American pine-oak forests</v>
      </c>
      <c r="BJ351" s="33" t="str">
        <f>VLOOKUP($O351,Eco_DEM_Data!$D$1:$AC$643,11,False)</f>
        <v>Tropical &amp; Subtropical Coniferous Forests</v>
      </c>
    </row>
    <row r="352">
      <c r="A352" s="33" t="s">
        <v>1769</v>
      </c>
      <c r="B352" s="33" t="s">
        <v>2258</v>
      </c>
      <c r="C352" s="34">
        <v>2.0</v>
      </c>
      <c r="D352" s="33" t="s">
        <v>53</v>
      </c>
      <c r="E352" s="34">
        <v>2012.0</v>
      </c>
      <c r="F352" s="33" t="s">
        <v>1770</v>
      </c>
      <c r="G352" s="33" t="s">
        <v>1771</v>
      </c>
      <c r="H352" s="33" t="s">
        <v>1772</v>
      </c>
      <c r="I352" s="33" t="s">
        <v>1773</v>
      </c>
      <c r="J352" s="33" t="s">
        <v>1774</v>
      </c>
      <c r="K352" s="34">
        <v>178.0</v>
      </c>
      <c r="L352" s="33"/>
      <c r="M352" s="6" t="s">
        <v>1775</v>
      </c>
      <c r="N352" s="35" t="s">
        <v>60</v>
      </c>
      <c r="O352" s="33" t="s">
        <v>1776</v>
      </c>
      <c r="P352" s="36" t="s">
        <v>62</v>
      </c>
      <c r="Q352" s="36" t="s">
        <v>92</v>
      </c>
      <c r="R352" s="36" t="s">
        <v>1777</v>
      </c>
      <c r="S352" s="37">
        <v>21.579444</v>
      </c>
      <c r="T352" s="37">
        <v>-88.072222</v>
      </c>
      <c r="U352" s="36" t="s">
        <v>148</v>
      </c>
      <c r="V352" s="38" t="s">
        <v>66</v>
      </c>
      <c r="W352" s="5" t="s">
        <v>1455</v>
      </c>
      <c r="X352" s="7" t="s">
        <v>1778</v>
      </c>
      <c r="Y352" s="41" t="s">
        <v>70</v>
      </c>
      <c r="Z352" s="43"/>
      <c r="AA352" s="42">
        <v>4.0</v>
      </c>
      <c r="AB352" s="43"/>
      <c r="AC352" s="43"/>
      <c r="AD352" s="43"/>
      <c r="AE352" s="43"/>
      <c r="AF352" s="43"/>
      <c r="AG352" s="43"/>
      <c r="AH352" s="43" t="s">
        <v>1684</v>
      </c>
      <c r="AI352" s="42">
        <v>-1800.0</v>
      </c>
      <c r="AJ352" s="42">
        <v>2000.0</v>
      </c>
      <c r="AK352" s="5" t="s">
        <v>73</v>
      </c>
      <c r="AL352" s="5" t="s">
        <v>72</v>
      </c>
      <c r="AM352" s="5" t="s">
        <v>72</v>
      </c>
      <c r="AN352" s="5" t="s">
        <v>72</v>
      </c>
      <c r="AO352" s="41"/>
      <c r="AP352" s="5" t="s">
        <v>75</v>
      </c>
      <c r="AQ352" s="41"/>
      <c r="AR352" s="41"/>
      <c r="AS352" s="41"/>
      <c r="AT352" s="5" t="s">
        <v>60</v>
      </c>
      <c r="AU352" s="33"/>
      <c r="AV352" s="33"/>
      <c r="AW352" s="33"/>
      <c r="AX352" s="33"/>
      <c r="AY352" s="33"/>
      <c r="AZ352" s="6" t="s">
        <v>76</v>
      </c>
      <c r="BA352" s="33"/>
      <c r="BB352" s="33">
        <f>VLOOKUP(O352,Eco_DEM_Data!$D$1:$AC$643,20,False)</f>
        <v>755</v>
      </c>
      <c r="BC352" s="33">
        <f>VLOOKUP($O352,Eco_DEM_Data!$D$1:$AC$643,20,False)</f>
        <v>755</v>
      </c>
      <c r="BD352" s="33">
        <f>VLOOKUP($O352,Eco_DEM_Data!$D$1:$AC$643,25,False)</f>
        <v>314</v>
      </c>
      <c r="BE352" s="33">
        <f>VLOOKUP($O352,Eco_DEM_Data!$D$1:$AC$643,22,False)</f>
        <v>20</v>
      </c>
      <c r="BF352" s="33">
        <f>VLOOKUP($O352,Eco_DEM_Data!$D$1:$AC$643,23,False)</f>
        <v>75</v>
      </c>
      <c r="BG352" s="33">
        <f>VLOOKUP($O352,Eco_DEM_Data!$D$1:$AC$643,21,False)</f>
        <v>5510</v>
      </c>
      <c r="BH352" s="33">
        <f>VLOOKUP($O352,Eco_DEM_Data!$D$1:$AC$643,26,False)</f>
        <v>1</v>
      </c>
      <c r="BI352" s="33" t="str">
        <f>VLOOKUP($O352,Eco_DEM_Data!$D$1:$AC$643,9,False)</f>
        <v>Mesoamerican Gulf-Caribbean mangroves</v>
      </c>
      <c r="BJ352" s="33" t="str">
        <f>VLOOKUP($O352,Eco_DEM_Data!$D$1:$AC$643,11,False)</f>
        <v>Mangroves</v>
      </c>
    </row>
    <row r="353">
      <c r="A353" s="33" t="s">
        <v>1769</v>
      </c>
      <c r="B353" s="33" t="s">
        <v>2258</v>
      </c>
      <c r="C353" s="34">
        <v>2.0</v>
      </c>
      <c r="D353" s="33" t="s">
        <v>53</v>
      </c>
      <c r="E353" s="34">
        <v>2012.0</v>
      </c>
      <c r="F353" s="33" t="s">
        <v>1770</v>
      </c>
      <c r="G353" s="33" t="s">
        <v>1771</v>
      </c>
      <c r="H353" s="33" t="s">
        <v>1772</v>
      </c>
      <c r="I353" s="33" t="s">
        <v>1773</v>
      </c>
      <c r="J353" s="33" t="s">
        <v>1774</v>
      </c>
      <c r="K353" s="34">
        <v>178.0</v>
      </c>
      <c r="L353" s="33"/>
      <c r="M353" s="6" t="s">
        <v>1775</v>
      </c>
      <c r="N353" s="35" t="s">
        <v>60</v>
      </c>
      <c r="O353" s="33" t="s">
        <v>1779</v>
      </c>
      <c r="P353" s="36" t="s">
        <v>62</v>
      </c>
      <c r="Q353" s="36" t="s">
        <v>92</v>
      </c>
      <c r="R353" s="36" t="s">
        <v>1777</v>
      </c>
      <c r="S353" s="37">
        <v>21.579444</v>
      </c>
      <c r="T353" s="37">
        <v>-88.072222</v>
      </c>
      <c r="U353" s="36" t="s">
        <v>148</v>
      </c>
      <c r="V353" s="6" t="s">
        <v>80</v>
      </c>
      <c r="W353" s="33" t="s">
        <v>156</v>
      </c>
      <c r="X353" s="1" t="s">
        <v>1780</v>
      </c>
      <c r="Y353" s="6" t="s">
        <v>83</v>
      </c>
      <c r="Z353" s="36"/>
      <c r="AA353" s="37">
        <v>4.0</v>
      </c>
      <c r="AB353" s="36"/>
      <c r="AC353" s="36"/>
      <c r="AD353" s="36"/>
      <c r="AE353" s="36"/>
      <c r="AF353" s="36"/>
      <c r="AG353" s="36"/>
      <c r="AH353" s="36" t="s">
        <v>1684</v>
      </c>
      <c r="AI353" s="37">
        <v>-1800.0</v>
      </c>
      <c r="AJ353" s="37">
        <v>2000.0</v>
      </c>
      <c r="AK353" s="6" t="s">
        <v>73</v>
      </c>
      <c r="AL353" s="6" t="s">
        <v>72</v>
      </c>
      <c r="AM353" s="6" t="s">
        <v>524</v>
      </c>
      <c r="AN353" s="6" t="s">
        <v>72</v>
      </c>
      <c r="AO353" s="33"/>
      <c r="AP353" s="6" t="s">
        <v>75</v>
      </c>
      <c r="AQ353" s="33"/>
      <c r="AR353" s="33"/>
      <c r="AS353" s="33"/>
      <c r="AT353" s="6" t="s">
        <v>76</v>
      </c>
      <c r="AU353" s="33"/>
      <c r="AV353" s="33"/>
      <c r="AW353" s="33"/>
      <c r="AX353" s="33"/>
      <c r="AY353" s="33"/>
      <c r="AZ353" s="6" t="s">
        <v>76</v>
      </c>
      <c r="BA353" s="33"/>
      <c r="BB353" s="33">
        <f>VLOOKUP(O353,Eco_DEM_Data!$D$1:$AC$643,20,False)</f>
        <v>755</v>
      </c>
      <c r="BC353" s="33">
        <f>VLOOKUP($O353,Eco_DEM_Data!$D$1:$AC$643,20,False)</f>
        <v>755</v>
      </c>
      <c r="BD353" s="33">
        <f>VLOOKUP($O353,Eco_DEM_Data!$D$1:$AC$643,25,False)</f>
        <v>314</v>
      </c>
      <c r="BE353" s="33">
        <f>VLOOKUP($O353,Eco_DEM_Data!$D$1:$AC$643,22,False)</f>
        <v>20</v>
      </c>
      <c r="BF353" s="33">
        <f>VLOOKUP($O353,Eco_DEM_Data!$D$1:$AC$643,23,False)</f>
        <v>75</v>
      </c>
      <c r="BG353" s="33">
        <f>VLOOKUP($O353,Eco_DEM_Data!$D$1:$AC$643,21,False)</f>
        <v>5510</v>
      </c>
      <c r="BH353" s="33">
        <f>VLOOKUP($O353,Eco_DEM_Data!$D$1:$AC$643,26,False)</f>
        <v>1</v>
      </c>
      <c r="BI353" s="33" t="str">
        <f>VLOOKUP($O353,Eco_DEM_Data!$D$1:$AC$643,9,False)</f>
        <v>Mesoamerican Gulf-Caribbean mangroves</v>
      </c>
      <c r="BJ353" s="33" t="str">
        <f>VLOOKUP($O353,Eco_DEM_Data!$D$1:$AC$643,11,False)</f>
        <v>Mangroves</v>
      </c>
    </row>
    <row r="354">
      <c r="A354" s="33" t="s">
        <v>1383</v>
      </c>
      <c r="B354" s="33" t="s">
        <v>2258</v>
      </c>
      <c r="C354" s="34">
        <v>4.0</v>
      </c>
      <c r="D354" s="33" t="s">
        <v>53</v>
      </c>
      <c r="E354" s="34">
        <v>2012.0</v>
      </c>
      <c r="F354" s="33" t="s">
        <v>1384</v>
      </c>
      <c r="G354" s="33" t="s">
        <v>1385</v>
      </c>
      <c r="H354" s="33" t="s">
        <v>1386</v>
      </c>
      <c r="I354" s="33" t="s">
        <v>1387</v>
      </c>
      <c r="J354" s="33" t="s">
        <v>1388</v>
      </c>
      <c r="K354" s="34">
        <v>38.0</v>
      </c>
      <c r="L354" s="33"/>
      <c r="M354" s="6" t="s">
        <v>1389</v>
      </c>
      <c r="N354" s="35" t="s">
        <v>60</v>
      </c>
      <c r="O354" s="33" t="s">
        <v>1390</v>
      </c>
      <c r="P354" s="36" t="s">
        <v>62</v>
      </c>
      <c r="Q354" s="36" t="s">
        <v>167</v>
      </c>
      <c r="R354" s="36" t="s">
        <v>512</v>
      </c>
      <c r="S354" s="37">
        <v>17.0</v>
      </c>
      <c r="T354" s="37">
        <v>-89.5</v>
      </c>
      <c r="U354" s="36" t="s">
        <v>148</v>
      </c>
      <c r="V354" s="38" t="s">
        <v>382</v>
      </c>
      <c r="W354" s="33" t="s">
        <v>72</v>
      </c>
      <c r="X354" s="3" t="s">
        <v>72</v>
      </c>
      <c r="Y354" s="6" t="s">
        <v>72</v>
      </c>
      <c r="Z354" s="36"/>
      <c r="AA354" s="37">
        <v>21.0</v>
      </c>
      <c r="AB354" s="36"/>
      <c r="AC354" s="36"/>
      <c r="AD354" s="36"/>
      <c r="AE354" s="36"/>
      <c r="AF354" s="36"/>
      <c r="AG354" s="36"/>
      <c r="AH354" s="36" t="s">
        <v>523</v>
      </c>
      <c r="AI354" s="37">
        <v>-82000.0</v>
      </c>
      <c r="AJ354" s="37">
        <v>1950.0</v>
      </c>
      <c r="AK354" s="6" t="s">
        <v>100</v>
      </c>
      <c r="AL354" s="6" t="s">
        <v>76</v>
      </c>
      <c r="AM354" s="33" t="s">
        <v>1391</v>
      </c>
      <c r="AN354" s="6" t="s">
        <v>76</v>
      </c>
      <c r="AO354" s="33"/>
      <c r="AP354" s="6" t="s">
        <v>102</v>
      </c>
      <c r="AQ354" s="33"/>
      <c r="AR354" s="33"/>
      <c r="AS354" s="33"/>
      <c r="AT354" s="6" t="s">
        <v>76</v>
      </c>
      <c r="AU354" s="33"/>
      <c r="AV354" s="33"/>
      <c r="AW354" s="33"/>
      <c r="AX354" s="33"/>
      <c r="AY354" s="33"/>
      <c r="AZ354" s="6" t="s">
        <v>76</v>
      </c>
      <c r="BA354" s="33"/>
      <c r="BB354" s="33">
        <f>VLOOKUP(O354,Eco_DEM_Data!$D$1:$AC$643,20,False)</f>
        <v>1860</v>
      </c>
      <c r="BC354" s="33">
        <f>VLOOKUP($O354,Eco_DEM_Data!$D$1:$AC$643,20,False)</f>
        <v>1860</v>
      </c>
      <c r="BD354" s="33">
        <f>VLOOKUP($O354,Eco_DEM_Data!$D$1:$AC$643,25,False)</f>
        <v>756</v>
      </c>
      <c r="BE354" s="33">
        <f>VLOOKUP($O354,Eco_DEM_Data!$D$1:$AC$643,22,False)</f>
        <v>41</v>
      </c>
      <c r="BF354" s="33">
        <f>VLOOKUP($O354,Eco_DEM_Data!$D$1:$AC$643,23,False)</f>
        <v>153</v>
      </c>
      <c r="BG354" s="33">
        <f>VLOOKUP($O354,Eco_DEM_Data!$D$1:$AC$643,21,False)</f>
        <v>5571</v>
      </c>
      <c r="BH354" s="33">
        <f>VLOOKUP($O354,Eco_DEM_Data!$D$1:$AC$643,26,False)</f>
        <v>226</v>
      </c>
      <c r="BI354" s="33" t="str">
        <f>VLOOKUP($O354,Eco_DEM_Data!$D$1:$AC$643,9,False)</f>
        <v>Petén-Veracruz moist forests</v>
      </c>
      <c r="BJ354" s="33" t="str">
        <f>VLOOKUP($O354,Eco_DEM_Data!$D$1:$AC$643,11,False)</f>
        <v>Tropical &amp; Subtropical Moist Broadleaf Forests</v>
      </c>
    </row>
    <row r="355">
      <c r="A355" s="33" t="s">
        <v>1383</v>
      </c>
      <c r="B355" s="33" t="s">
        <v>2258</v>
      </c>
      <c r="C355" s="34">
        <v>4.0</v>
      </c>
      <c r="D355" s="33" t="s">
        <v>53</v>
      </c>
      <c r="E355" s="34">
        <v>2012.0</v>
      </c>
      <c r="F355" s="33" t="s">
        <v>1384</v>
      </c>
      <c r="G355" s="33" t="s">
        <v>1385</v>
      </c>
      <c r="H355" s="33" t="s">
        <v>1386</v>
      </c>
      <c r="I355" s="33" t="s">
        <v>1387</v>
      </c>
      <c r="J355" s="33" t="s">
        <v>1388</v>
      </c>
      <c r="K355" s="34">
        <v>38.0</v>
      </c>
      <c r="L355" s="33"/>
      <c r="M355" s="6" t="s">
        <v>1389</v>
      </c>
      <c r="N355" s="35" t="s">
        <v>60</v>
      </c>
      <c r="O355" s="33" t="s">
        <v>1705</v>
      </c>
      <c r="P355" s="36" t="s">
        <v>62</v>
      </c>
      <c r="Q355" s="36" t="s">
        <v>167</v>
      </c>
      <c r="R355" s="36" t="s">
        <v>512</v>
      </c>
      <c r="S355" s="37">
        <v>17.0</v>
      </c>
      <c r="T355" s="37">
        <v>-89.5</v>
      </c>
      <c r="U355" s="36" t="s">
        <v>148</v>
      </c>
      <c r="V355" s="6" t="s">
        <v>80</v>
      </c>
      <c r="W355" s="33" t="s">
        <v>156</v>
      </c>
      <c r="X355" s="1" t="s">
        <v>1706</v>
      </c>
      <c r="Y355" s="6" t="s">
        <v>1707</v>
      </c>
      <c r="Z355" s="36"/>
      <c r="AA355" s="37">
        <v>21.0</v>
      </c>
      <c r="AB355" s="36"/>
      <c r="AC355" s="36"/>
      <c r="AD355" s="36"/>
      <c r="AE355" s="36"/>
      <c r="AF355" s="36"/>
      <c r="AG355" s="36"/>
      <c r="AH355" s="36" t="s">
        <v>523</v>
      </c>
      <c r="AI355" s="37">
        <v>-82000.0</v>
      </c>
      <c r="AJ355" s="37">
        <v>1950.0</v>
      </c>
      <c r="AK355" s="6" t="s">
        <v>100</v>
      </c>
      <c r="AL355" s="6" t="s">
        <v>76</v>
      </c>
      <c r="AM355" s="33" t="s">
        <v>1391</v>
      </c>
      <c r="AN355" s="6" t="s">
        <v>76</v>
      </c>
      <c r="AO355" s="33"/>
      <c r="AP355" s="6" t="s">
        <v>102</v>
      </c>
      <c r="AQ355" s="33"/>
      <c r="AR355" s="33"/>
      <c r="AS355" s="33"/>
      <c r="AT355" s="6" t="s">
        <v>76</v>
      </c>
      <c r="AU355" s="33"/>
      <c r="AV355" s="33"/>
      <c r="AW355" s="33"/>
      <c r="AX355" s="33"/>
      <c r="AY355" s="33"/>
      <c r="AZ355" s="6" t="s">
        <v>76</v>
      </c>
      <c r="BA355" s="33"/>
      <c r="BB355" s="33">
        <f>VLOOKUP(O355,Eco_DEM_Data!$D$1:$AC$643,20,False)</f>
        <v>1860</v>
      </c>
      <c r="BC355" s="33">
        <f>VLOOKUP($O355,Eco_DEM_Data!$D$1:$AC$643,20,False)</f>
        <v>1860</v>
      </c>
      <c r="BD355" s="33">
        <f>VLOOKUP($O355,Eco_DEM_Data!$D$1:$AC$643,25,False)</f>
        <v>756</v>
      </c>
      <c r="BE355" s="33">
        <f>VLOOKUP($O355,Eco_DEM_Data!$D$1:$AC$643,22,False)</f>
        <v>41</v>
      </c>
      <c r="BF355" s="33">
        <f>VLOOKUP($O355,Eco_DEM_Data!$D$1:$AC$643,23,False)</f>
        <v>153</v>
      </c>
      <c r="BG355" s="33">
        <f>VLOOKUP($O355,Eco_DEM_Data!$D$1:$AC$643,21,False)</f>
        <v>5571</v>
      </c>
      <c r="BH355" s="33">
        <f>VLOOKUP($O355,Eco_DEM_Data!$D$1:$AC$643,26,False)</f>
        <v>226</v>
      </c>
      <c r="BI355" s="33" t="str">
        <f>VLOOKUP($O355,Eco_DEM_Data!$D$1:$AC$643,9,False)</f>
        <v>Petén-Veracruz moist forests</v>
      </c>
      <c r="BJ355" s="33" t="str">
        <f>VLOOKUP($O355,Eco_DEM_Data!$D$1:$AC$643,11,False)</f>
        <v>Tropical &amp; Subtropical Moist Broadleaf Forests</v>
      </c>
    </row>
    <row r="356">
      <c r="A356" s="33" t="s">
        <v>1383</v>
      </c>
      <c r="B356" s="33" t="s">
        <v>2258</v>
      </c>
      <c r="C356" s="34">
        <v>4.0</v>
      </c>
      <c r="D356" s="33" t="s">
        <v>53</v>
      </c>
      <c r="E356" s="34">
        <v>2012.0</v>
      </c>
      <c r="F356" s="33" t="s">
        <v>1384</v>
      </c>
      <c r="G356" s="33" t="s">
        <v>1385</v>
      </c>
      <c r="H356" s="33" t="s">
        <v>1386</v>
      </c>
      <c r="I356" s="33" t="s">
        <v>1387</v>
      </c>
      <c r="J356" s="33" t="s">
        <v>1388</v>
      </c>
      <c r="K356" s="34">
        <v>38.0</v>
      </c>
      <c r="L356" s="33"/>
      <c r="M356" s="6" t="s">
        <v>1389</v>
      </c>
      <c r="N356" s="35" t="s">
        <v>60</v>
      </c>
      <c r="O356" s="33" t="s">
        <v>1708</v>
      </c>
      <c r="P356" s="36" t="s">
        <v>62</v>
      </c>
      <c r="Q356" s="36" t="s">
        <v>167</v>
      </c>
      <c r="R356" s="36" t="s">
        <v>512</v>
      </c>
      <c r="S356" s="37">
        <v>17.0</v>
      </c>
      <c r="T356" s="37">
        <v>-89.5</v>
      </c>
      <c r="U356" s="36" t="s">
        <v>148</v>
      </c>
      <c r="V356" s="38" t="s">
        <v>66</v>
      </c>
      <c r="W356" s="5" t="s">
        <v>1455</v>
      </c>
      <c r="X356" s="7" t="s">
        <v>1594</v>
      </c>
      <c r="Y356" s="41" t="s">
        <v>70</v>
      </c>
      <c r="Z356" s="43"/>
      <c r="AA356" s="42">
        <v>21.0</v>
      </c>
      <c r="AB356" s="43"/>
      <c r="AC356" s="43"/>
      <c r="AD356" s="43"/>
      <c r="AE356" s="43"/>
      <c r="AF356" s="43"/>
      <c r="AG356" s="43"/>
      <c r="AH356" s="43" t="s">
        <v>1709</v>
      </c>
      <c r="AI356" s="42">
        <v>-84000.0</v>
      </c>
      <c r="AJ356" s="42">
        <v>1950.0</v>
      </c>
      <c r="AK356" s="5" t="s">
        <v>100</v>
      </c>
      <c r="AL356" s="5" t="s">
        <v>76</v>
      </c>
      <c r="AM356" s="41" t="s">
        <v>1391</v>
      </c>
      <c r="AN356" s="5" t="s">
        <v>76</v>
      </c>
      <c r="AO356" s="41"/>
      <c r="AP356" s="5" t="s">
        <v>102</v>
      </c>
      <c r="AQ356" s="41"/>
      <c r="AR356" s="41"/>
      <c r="AS356" s="41"/>
      <c r="AT356" s="5" t="s">
        <v>76</v>
      </c>
      <c r="AU356" s="33"/>
      <c r="AV356" s="33"/>
      <c r="AW356" s="33"/>
      <c r="AX356" s="33"/>
      <c r="AY356" s="33"/>
      <c r="AZ356" s="6" t="s">
        <v>76</v>
      </c>
      <c r="BA356" s="33"/>
      <c r="BB356" s="33">
        <f>VLOOKUP(O356,Eco_DEM_Data!$D$1:$AC$643,20,False)</f>
        <v>1860</v>
      </c>
      <c r="BC356" s="33">
        <f>VLOOKUP($O356,Eco_DEM_Data!$D$1:$AC$643,20,False)</f>
        <v>1860</v>
      </c>
      <c r="BD356" s="33">
        <f>VLOOKUP($O356,Eco_DEM_Data!$D$1:$AC$643,25,False)</f>
        <v>756</v>
      </c>
      <c r="BE356" s="33">
        <f>VLOOKUP($O356,Eco_DEM_Data!$D$1:$AC$643,22,False)</f>
        <v>41</v>
      </c>
      <c r="BF356" s="33">
        <f>VLOOKUP($O356,Eco_DEM_Data!$D$1:$AC$643,23,False)</f>
        <v>153</v>
      </c>
      <c r="BG356" s="33">
        <f>VLOOKUP($O356,Eco_DEM_Data!$D$1:$AC$643,21,False)</f>
        <v>5571</v>
      </c>
      <c r="BH356" s="33">
        <f>VLOOKUP($O356,Eco_DEM_Data!$D$1:$AC$643,26,False)</f>
        <v>226</v>
      </c>
      <c r="BI356" s="33" t="str">
        <f>VLOOKUP($O356,Eco_DEM_Data!$D$1:$AC$643,9,False)</f>
        <v>Petén-Veracruz moist forests</v>
      </c>
      <c r="BJ356" s="33" t="str">
        <f>VLOOKUP($O356,Eco_DEM_Data!$D$1:$AC$643,11,False)</f>
        <v>Tropical &amp; Subtropical Moist Broadleaf Forests</v>
      </c>
    </row>
    <row r="357">
      <c r="A357" s="33" t="s">
        <v>1418</v>
      </c>
      <c r="B357" s="33" t="s">
        <v>2258</v>
      </c>
      <c r="C357" s="34">
        <v>4.0</v>
      </c>
      <c r="D357" s="33" t="s">
        <v>53</v>
      </c>
      <c r="E357" s="34">
        <v>2012.0</v>
      </c>
      <c r="F357" s="33" t="s">
        <v>1419</v>
      </c>
      <c r="G357" s="33" t="s">
        <v>1420</v>
      </c>
      <c r="H357" s="33" t="s">
        <v>1386</v>
      </c>
      <c r="I357" s="33" t="s">
        <v>1421</v>
      </c>
      <c r="J357" s="33" t="s">
        <v>1422</v>
      </c>
      <c r="K357" s="34">
        <v>37.0</v>
      </c>
      <c r="L357" s="33"/>
      <c r="M357" s="6" t="s">
        <v>1423</v>
      </c>
      <c r="N357" s="35" t="s">
        <v>60</v>
      </c>
      <c r="O357" s="33" t="s">
        <v>1710</v>
      </c>
      <c r="P357" s="36" t="s">
        <v>62</v>
      </c>
      <c r="Q357" s="36" t="s">
        <v>167</v>
      </c>
      <c r="R357" s="36" t="s">
        <v>512</v>
      </c>
      <c r="S357" s="37">
        <v>16.916667</v>
      </c>
      <c r="T357" s="37">
        <v>-89.833333</v>
      </c>
      <c r="U357" s="36" t="s">
        <v>148</v>
      </c>
      <c r="V357" s="6" t="s">
        <v>135</v>
      </c>
      <c r="W357" s="62" t="s">
        <v>615</v>
      </c>
      <c r="X357" s="3" t="s">
        <v>264</v>
      </c>
      <c r="Y357" s="6" t="s">
        <v>72</v>
      </c>
      <c r="Z357" s="36"/>
      <c r="AA357" s="37">
        <v>64.0</v>
      </c>
      <c r="AB357" s="36"/>
      <c r="AC357" s="36"/>
      <c r="AD357" s="36"/>
      <c r="AE357" s="36"/>
      <c r="AF357" s="36"/>
      <c r="AG357" s="36"/>
      <c r="AH357" s="36" t="s">
        <v>194</v>
      </c>
      <c r="AI357" s="37">
        <v>-41000.0</v>
      </c>
      <c r="AJ357" s="37">
        <v>1950.0</v>
      </c>
      <c r="AK357" s="6" t="s">
        <v>100</v>
      </c>
      <c r="AL357" s="6" t="s">
        <v>60</v>
      </c>
      <c r="AM357" s="6" t="s">
        <v>524</v>
      </c>
      <c r="AN357" s="6" t="s">
        <v>76</v>
      </c>
      <c r="AO357" s="33"/>
      <c r="AP357" s="6" t="s">
        <v>102</v>
      </c>
      <c r="AQ357" s="33"/>
      <c r="AR357" s="33"/>
      <c r="AS357" s="33"/>
      <c r="AT357" s="6" t="s">
        <v>76</v>
      </c>
      <c r="AU357" s="33"/>
      <c r="AV357" s="33"/>
      <c r="AW357" s="33"/>
      <c r="AX357" s="33"/>
      <c r="AY357" s="33"/>
      <c r="AZ357" s="6" t="s">
        <v>76</v>
      </c>
      <c r="BA357" s="33"/>
      <c r="BB357" s="33">
        <f>VLOOKUP(O357,Eco_DEM_Data!$D$1:$AC$643,20,False)</f>
        <v>1738</v>
      </c>
      <c r="BC357" s="33">
        <f>VLOOKUP($O357,Eco_DEM_Data!$D$1:$AC$643,20,False)</f>
        <v>1738</v>
      </c>
      <c r="BD357" s="33">
        <f>VLOOKUP($O357,Eco_DEM_Data!$D$1:$AC$643,25,False)</f>
        <v>690</v>
      </c>
      <c r="BE357" s="33">
        <f>VLOOKUP($O357,Eco_DEM_Data!$D$1:$AC$643,22,False)</f>
        <v>36</v>
      </c>
      <c r="BF357" s="33">
        <f>VLOOKUP($O357,Eco_DEM_Data!$D$1:$AC$643,23,False)</f>
        <v>144</v>
      </c>
      <c r="BG357" s="33">
        <f>VLOOKUP($O357,Eco_DEM_Data!$D$1:$AC$643,21,False)</f>
        <v>5677</v>
      </c>
      <c r="BH357" s="33">
        <f>VLOOKUP($O357,Eco_DEM_Data!$D$1:$AC$643,26,False)</f>
        <v>131</v>
      </c>
      <c r="BI357" s="33" t="str">
        <f>VLOOKUP($O357,Eco_DEM_Data!$D$1:$AC$643,9,False)</f>
        <v>Petén-Veracruz moist forests</v>
      </c>
      <c r="BJ357" s="33" t="str">
        <f>VLOOKUP($O357,Eco_DEM_Data!$D$1:$AC$643,11,False)</f>
        <v>Tropical &amp; Subtropical Moist Broadleaf Forests</v>
      </c>
    </row>
    <row r="358">
      <c r="A358" s="33" t="s">
        <v>1418</v>
      </c>
      <c r="B358" s="33" t="s">
        <v>2258</v>
      </c>
      <c r="C358" s="34">
        <v>4.0</v>
      </c>
      <c r="D358" s="33" t="s">
        <v>53</v>
      </c>
      <c r="E358" s="34">
        <v>2012.0</v>
      </c>
      <c r="F358" s="33" t="s">
        <v>1419</v>
      </c>
      <c r="G358" s="33" t="s">
        <v>1420</v>
      </c>
      <c r="H358" s="33" t="s">
        <v>1386</v>
      </c>
      <c r="I358" s="33" t="s">
        <v>1421</v>
      </c>
      <c r="J358" s="33" t="s">
        <v>1422</v>
      </c>
      <c r="K358" s="34">
        <v>37.0</v>
      </c>
      <c r="L358" s="33"/>
      <c r="M358" s="6" t="s">
        <v>1423</v>
      </c>
      <c r="N358" s="35" t="s">
        <v>60</v>
      </c>
      <c r="O358" s="33" t="s">
        <v>1711</v>
      </c>
      <c r="P358" s="36" t="s">
        <v>62</v>
      </c>
      <c r="Q358" s="36" t="s">
        <v>167</v>
      </c>
      <c r="R358" s="36" t="s">
        <v>512</v>
      </c>
      <c r="S358" s="37">
        <v>16.916667</v>
      </c>
      <c r="T358" s="37">
        <v>-89.833333</v>
      </c>
      <c r="U358" s="36" t="s">
        <v>148</v>
      </c>
      <c r="V358" s="38" t="s">
        <v>382</v>
      </c>
      <c r="W358" s="33" t="s">
        <v>173</v>
      </c>
      <c r="X358" s="3" t="s">
        <v>72</v>
      </c>
      <c r="Y358" s="33" t="s">
        <v>968</v>
      </c>
      <c r="Z358" s="36"/>
      <c r="AA358" s="37">
        <v>64.0</v>
      </c>
      <c r="AB358" s="36"/>
      <c r="AC358" s="36"/>
      <c r="AD358" s="36"/>
      <c r="AE358" s="36"/>
      <c r="AF358" s="36"/>
      <c r="AG358" s="36"/>
      <c r="AH358" s="36" t="s">
        <v>194</v>
      </c>
      <c r="AI358" s="37">
        <v>-41000.0</v>
      </c>
      <c r="AJ358" s="37">
        <v>1950.0</v>
      </c>
      <c r="AK358" s="6" t="s">
        <v>100</v>
      </c>
      <c r="AL358" s="6" t="s">
        <v>60</v>
      </c>
      <c r="AM358" s="6" t="s">
        <v>524</v>
      </c>
      <c r="AN358" s="6" t="s">
        <v>76</v>
      </c>
      <c r="AO358" s="33"/>
      <c r="AP358" s="6" t="s">
        <v>102</v>
      </c>
      <c r="AQ358" s="33"/>
      <c r="AR358" s="33"/>
      <c r="AS358" s="33"/>
      <c r="AT358" s="6" t="s">
        <v>76</v>
      </c>
      <c r="AU358" s="33"/>
      <c r="AV358" s="33"/>
      <c r="AW358" s="33"/>
      <c r="AX358" s="33"/>
      <c r="AY358" s="33"/>
      <c r="AZ358" s="6" t="s">
        <v>76</v>
      </c>
      <c r="BA358" s="33"/>
      <c r="BB358" s="33">
        <f>VLOOKUP(O358,Eco_DEM_Data!$D$1:$AC$643,20,False)</f>
        <v>1738</v>
      </c>
      <c r="BC358" s="33">
        <f>VLOOKUP($O358,Eco_DEM_Data!$D$1:$AC$643,20,False)</f>
        <v>1738</v>
      </c>
      <c r="BD358" s="33">
        <f>VLOOKUP($O358,Eco_DEM_Data!$D$1:$AC$643,25,False)</f>
        <v>690</v>
      </c>
      <c r="BE358" s="33">
        <f>VLOOKUP($O358,Eco_DEM_Data!$D$1:$AC$643,22,False)</f>
        <v>36</v>
      </c>
      <c r="BF358" s="33">
        <f>VLOOKUP($O358,Eco_DEM_Data!$D$1:$AC$643,23,False)</f>
        <v>144</v>
      </c>
      <c r="BG358" s="33">
        <f>VLOOKUP($O358,Eco_DEM_Data!$D$1:$AC$643,21,False)</f>
        <v>5677</v>
      </c>
      <c r="BH358" s="33">
        <f>VLOOKUP($O358,Eco_DEM_Data!$D$1:$AC$643,26,False)</f>
        <v>131</v>
      </c>
      <c r="BI358" s="33" t="str">
        <f>VLOOKUP($O358,Eco_DEM_Data!$D$1:$AC$643,9,False)</f>
        <v>Petén-Veracruz moist forests</v>
      </c>
      <c r="BJ358" s="33" t="str">
        <f>VLOOKUP($O358,Eco_DEM_Data!$D$1:$AC$643,11,False)</f>
        <v>Tropical &amp; Subtropical Moist Broadleaf Forests</v>
      </c>
    </row>
    <row r="359">
      <c r="A359" s="33" t="s">
        <v>1418</v>
      </c>
      <c r="B359" s="33" t="s">
        <v>2258</v>
      </c>
      <c r="C359" s="34">
        <v>4.0</v>
      </c>
      <c r="D359" s="33" t="s">
        <v>53</v>
      </c>
      <c r="E359" s="34">
        <v>2012.0</v>
      </c>
      <c r="F359" s="33" t="s">
        <v>1419</v>
      </c>
      <c r="G359" s="33" t="s">
        <v>1420</v>
      </c>
      <c r="H359" s="33" t="s">
        <v>1386</v>
      </c>
      <c r="I359" s="33" t="s">
        <v>1421</v>
      </c>
      <c r="J359" s="33" t="s">
        <v>1422</v>
      </c>
      <c r="K359" s="34">
        <v>37.0</v>
      </c>
      <c r="L359" s="33"/>
      <c r="M359" s="6" t="s">
        <v>1423</v>
      </c>
      <c r="N359" s="35" t="s">
        <v>60</v>
      </c>
      <c r="O359" s="33" t="s">
        <v>1424</v>
      </c>
      <c r="P359" s="36" t="s">
        <v>62</v>
      </c>
      <c r="Q359" s="36" t="s">
        <v>167</v>
      </c>
      <c r="R359" s="36" t="s">
        <v>512</v>
      </c>
      <c r="S359" s="37">
        <v>16.916667</v>
      </c>
      <c r="T359" s="37">
        <v>-89.833333</v>
      </c>
      <c r="U359" s="36" t="s">
        <v>148</v>
      </c>
      <c r="V359" s="6" t="s">
        <v>275</v>
      </c>
      <c r="W359" s="33" t="s">
        <v>72</v>
      </c>
      <c r="X359" s="1" t="s">
        <v>1425</v>
      </c>
      <c r="Y359" s="6" t="s">
        <v>72</v>
      </c>
      <c r="Z359" s="36"/>
      <c r="AA359" s="37">
        <v>64.0</v>
      </c>
      <c r="AB359" s="36"/>
      <c r="AC359" s="36"/>
      <c r="AD359" s="36"/>
      <c r="AE359" s="36"/>
      <c r="AF359" s="36"/>
      <c r="AG359" s="36"/>
      <c r="AH359" s="36" t="s">
        <v>194</v>
      </c>
      <c r="AI359" s="37">
        <v>-41000.0</v>
      </c>
      <c r="AJ359" s="37">
        <v>1950.0</v>
      </c>
      <c r="AK359" s="6" t="s">
        <v>100</v>
      </c>
      <c r="AL359" s="6" t="s">
        <v>60</v>
      </c>
      <c r="AM359" s="6" t="s">
        <v>524</v>
      </c>
      <c r="AN359" s="6" t="s">
        <v>76</v>
      </c>
      <c r="AO359" s="33"/>
      <c r="AP359" s="6" t="s">
        <v>102</v>
      </c>
      <c r="AQ359" s="33"/>
      <c r="AR359" s="33"/>
      <c r="AS359" s="33"/>
      <c r="AT359" s="6" t="s">
        <v>76</v>
      </c>
      <c r="AU359" s="33"/>
      <c r="AV359" s="33"/>
      <c r="AW359" s="33"/>
      <c r="AX359" s="33"/>
      <c r="AY359" s="33"/>
      <c r="AZ359" s="6" t="s">
        <v>76</v>
      </c>
      <c r="BA359" s="33"/>
      <c r="BB359" s="33">
        <f>VLOOKUP(O359,Eco_DEM_Data!$D$1:$AC$643,20,False)</f>
        <v>1738</v>
      </c>
      <c r="BC359" s="33">
        <f>VLOOKUP($O359,Eco_DEM_Data!$D$1:$AC$643,20,False)</f>
        <v>1738</v>
      </c>
      <c r="BD359" s="33">
        <f>VLOOKUP($O359,Eco_DEM_Data!$D$1:$AC$643,25,False)</f>
        <v>690</v>
      </c>
      <c r="BE359" s="33">
        <f>VLOOKUP($O359,Eco_DEM_Data!$D$1:$AC$643,22,False)</f>
        <v>36</v>
      </c>
      <c r="BF359" s="33">
        <f>VLOOKUP($O359,Eco_DEM_Data!$D$1:$AC$643,23,False)</f>
        <v>144</v>
      </c>
      <c r="BG359" s="33">
        <f>VLOOKUP($O359,Eco_DEM_Data!$D$1:$AC$643,21,False)</f>
        <v>5677</v>
      </c>
      <c r="BH359" s="33">
        <f>VLOOKUP($O359,Eco_DEM_Data!$D$1:$AC$643,26,False)</f>
        <v>131</v>
      </c>
      <c r="BI359" s="33" t="str">
        <f>VLOOKUP($O359,Eco_DEM_Data!$D$1:$AC$643,9,False)</f>
        <v>Petén-Veracruz moist forests</v>
      </c>
      <c r="BJ359" s="33" t="str">
        <f>VLOOKUP($O359,Eco_DEM_Data!$D$1:$AC$643,11,False)</f>
        <v>Tropical &amp; Subtropical Moist Broadleaf Forests</v>
      </c>
    </row>
    <row r="360">
      <c r="A360" s="33" t="s">
        <v>1418</v>
      </c>
      <c r="B360" s="33" t="s">
        <v>2258</v>
      </c>
      <c r="C360" s="34">
        <v>4.0</v>
      </c>
      <c r="D360" s="33" t="s">
        <v>53</v>
      </c>
      <c r="E360" s="34">
        <v>2012.0</v>
      </c>
      <c r="F360" s="33" t="s">
        <v>1419</v>
      </c>
      <c r="G360" s="33" t="s">
        <v>1420</v>
      </c>
      <c r="H360" s="33" t="s">
        <v>1386</v>
      </c>
      <c r="I360" s="33" t="s">
        <v>1421</v>
      </c>
      <c r="J360" s="33" t="s">
        <v>1422</v>
      </c>
      <c r="K360" s="34">
        <v>37.0</v>
      </c>
      <c r="L360" s="33"/>
      <c r="M360" s="6" t="s">
        <v>1423</v>
      </c>
      <c r="N360" s="35" t="s">
        <v>60</v>
      </c>
      <c r="O360" s="33" t="s">
        <v>1712</v>
      </c>
      <c r="P360" s="36" t="s">
        <v>62</v>
      </c>
      <c r="Q360" s="36" t="s">
        <v>167</v>
      </c>
      <c r="R360" s="36" t="s">
        <v>512</v>
      </c>
      <c r="S360" s="37">
        <v>16.916667</v>
      </c>
      <c r="T360" s="37">
        <v>-89.833333</v>
      </c>
      <c r="U360" s="36" t="s">
        <v>148</v>
      </c>
      <c r="V360" s="6" t="s">
        <v>95</v>
      </c>
      <c r="W360" s="62" t="s">
        <v>615</v>
      </c>
      <c r="X360" s="3" t="s">
        <v>264</v>
      </c>
      <c r="Y360" s="6" t="s">
        <v>72</v>
      </c>
      <c r="Z360" s="36"/>
      <c r="AA360" s="37">
        <v>64.0</v>
      </c>
      <c r="AB360" s="36"/>
      <c r="AC360" s="36"/>
      <c r="AD360" s="36"/>
      <c r="AE360" s="36"/>
      <c r="AF360" s="36"/>
      <c r="AG360" s="36"/>
      <c r="AH360" s="36" t="s">
        <v>194</v>
      </c>
      <c r="AI360" s="37">
        <v>-41000.0</v>
      </c>
      <c r="AJ360" s="37">
        <v>1950.0</v>
      </c>
      <c r="AK360" s="6" t="s">
        <v>100</v>
      </c>
      <c r="AL360" s="6" t="s">
        <v>60</v>
      </c>
      <c r="AM360" s="6" t="s">
        <v>524</v>
      </c>
      <c r="AN360" s="6" t="s">
        <v>76</v>
      </c>
      <c r="AO360" s="33"/>
      <c r="AP360" s="6" t="s">
        <v>102</v>
      </c>
      <c r="AQ360" s="33"/>
      <c r="AR360" s="33"/>
      <c r="AS360" s="33"/>
      <c r="AT360" s="6" t="s">
        <v>76</v>
      </c>
      <c r="AU360" s="33"/>
      <c r="AV360" s="33"/>
      <c r="AW360" s="33"/>
      <c r="AX360" s="33"/>
      <c r="AY360" s="33"/>
      <c r="AZ360" s="6" t="s">
        <v>76</v>
      </c>
      <c r="BA360" s="33"/>
      <c r="BB360" s="33">
        <f>VLOOKUP(O360,Eco_DEM_Data!$D$1:$AC$643,20,False)</f>
        <v>1738</v>
      </c>
      <c r="BC360" s="33">
        <f>VLOOKUP($O360,Eco_DEM_Data!$D$1:$AC$643,20,False)</f>
        <v>1738</v>
      </c>
      <c r="BD360" s="33">
        <f>VLOOKUP($O360,Eco_DEM_Data!$D$1:$AC$643,25,False)</f>
        <v>690</v>
      </c>
      <c r="BE360" s="33">
        <f>VLOOKUP($O360,Eco_DEM_Data!$D$1:$AC$643,22,False)</f>
        <v>36</v>
      </c>
      <c r="BF360" s="33">
        <f>VLOOKUP($O360,Eco_DEM_Data!$D$1:$AC$643,23,False)</f>
        <v>144</v>
      </c>
      <c r="BG360" s="33">
        <f>VLOOKUP($O360,Eco_DEM_Data!$D$1:$AC$643,21,False)</f>
        <v>5677</v>
      </c>
      <c r="BH360" s="33">
        <f>VLOOKUP($O360,Eco_DEM_Data!$D$1:$AC$643,26,False)</f>
        <v>131</v>
      </c>
      <c r="BI360" s="33" t="str">
        <f>VLOOKUP($O360,Eco_DEM_Data!$D$1:$AC$643,9,False)</f>
        <v>Petén-Veracruz moist forests</v>
      </c>
      <c r="BJ360" s="33" t="str">
        <f>VLOOKUP($O360,Eco_DEM_Data!$D$1:$AC$643,11,False)</f>
        <v>Tropical &amp; Subtropical Moist Broadleaf Forests</v>
      </c>
    </row>
    <row r="361">
      <c r="A361" s="33" t="s">
        <v>1801</v>
      </c>
      <c r="B361" s="33" t="s">
        <v>2258</v>
      </c>
      <c r="C361" s="34">
        <v>4.0</v>
      </c>
      <c r="D361" s="33" t="s">
        <v>53</v>
      </c>
      <c r="E361" s="34">
        <v>2012.0</v>
      </c>
      <c r="F361" s="33" t="s">
        <v>1802</v>
      </c>
      <c r="G361" s="33" t="s">
        <v>1803</v>
      </c>
      <c r="H361" s="45" t="s">
        <v>1804</v>
      </c>
      <c r="I361" s="33"/>
      <c r="J361" s="33" t="s">
        <v>1805</v>
      </c>
      <c r="K361" s="34">
        <v>29.0</v>
      </c>
      <c r="L361" s="34">
        <v>3.0</v>
      </c>
      <c r="M361" s="6" t="s">
        <v>1806</v>
      </c>
      <c r="N361" s="35" t="s">
        <v>60</v>
      </c>
      <c r="O361" s="33" t="s">
        <v>1807</v>
      </c>
      <c r="P361" s="36" t="s">
        <v>1808</v>
      </c>
      <c r="Q361" s="36" t="s">
        <v>92</v>
      </c>
      <c r="R361" s="36" t="s">
        <v>1809</v>
      </c>
      <c r="S361" s="37">
        <v>20.13125</v>
      </c>
      <c r="T361" s="37">
        <v>-90.454556</v>
      </c>
      <c r="U361" s="36" t="s">
        <v>148</v>
      </c>
      <c r="V361" s="38" t="s">
        <v>66</v>
      </c>
      <c r="W361" s="41" t="s">
        <v>823</v>
      </c>
      <c r="X361" s="3" t="s">
        <v>1810</v>
      </c>
      <c r="Y361" s="7" t="s">
        <v>70</v>
      </c>
      <c r="Z361" s="43"/>
      <c r="AA361" s="42">
        <v>3.0</v>
      </c>
      <c r="AB361" s="43"/>
      <c r="AC361" s="43"/>
      <c r="AD361" s="43"/>
      <c r="AE361" s="43"/>
      <c r="AF361" s="43"/>
      <c r="AG361" s="43"/>
      <c r="AH361" s="38" t="s">
        <v>72</v>
      </c>
      <c r="AI361" s="42">
        <v>-2000.0</v>
      </c>
      <c r="AJ361" s="42">
        <v>2000.0</v>
      </c>
      <c r="AK361" s="5" t="s">
        <v>73</v>
      </c>
      <c r="AL361" s="5" t="s">
        <v>72</v>
      </c>
      <c r="AM361" s="6" t="s">
        <v>524</v>
      </c>
      <c r="AN361" s="5" t="s">
        <v>72</v>
      </c>
      <c r="AO361" s="41"/>
      <c r="AP361" s="5" t="s">
        <v>576</v>
      </c>
      <c r="AQ361" s="41"/>
      <c r="AR361" s="41"/>
      <c r="AS361" s="41"/>
      <c r="AT361" s="5" t="s">
        <v>60</v>
      </c>
      <c r="AU361" s="33"/>
      <c r="AV361" s="33"/>
      <c r="AW361" s="33"/>
      <c r="AX361" s="33"/>
      <c r="AY361" s="33"/>
      <c r="AZ361" s="6" t="s">
        <v>76</v>
      </c>
      <c r="BA361" s="33"/>
      <c r="BB361" s="33">
        <f>VLOOKUP(O361,Eco_DEM_Data!$D$1:$AC$643,20,False)</f>
        <v>1050</v>
      </c>
      <c r="BC361" s="33">
        <f>VLOOKUP($O361,Eco_DEM_Data!$D$1:$AC$643,20,False)</f>
        <v>1050</v>
      </c>
      <c r="BD361" s="33">
        <f>VLOOKUP($O361,Eco_DEM_Data!$D$1:$AC$643,25,False)</f>
        <v>546</v>
      </c>
      <c r="BE361" s="33">
        <f>VLOOKUP($O361,Eco_DEM_Data!$D$1:$AC$643,22,False)</f>
        <v>15</v>
      </c>
      <c r="BF361" s="33">
        <f>VLOOKUP($O361,Eco_DEM_Data!$D$1:$AC$643,23,False)</f>
        <v>50</v>
      </c>
      <c r="BG361" s="33">
        <f>VLOOKUP($O361,Eco_DEM_Data!$D$1:$AC$643,21,False)</f>
        <v>8249</v>
      </c>
      <c r="BH361" s="33">
        <f>VLOOKUP($O361,Eco_DEM_Data!$D$1:$AC$643,26,False)</f>
        <v>1</v>
      </c>
      <c r="BI361" s="33" t="str">
        <f>VLOOKUP($O361,Eco_DEM_Data!$D$1:$AC$643,9,False)</f>
        <v>Mesoamerican Gulf-Caribbean mangroves</v>
      </c>
      <c r="BJ361" s="33" t="str">
        <f>VLOOKUP($O361,Eco_DEM_Data!$D$1:$AC$643,11,False)</f>
        <v>Mangroves</v>
      </c>
    </row>
    <row r="362">
      <c r="A362" s="33" t="s">
        <v>1801</v>
      </c>
      <c r="B362" s="33" t="s">
        <v>2258</v>
      </c>
      <c r="C362" s="34">
        <v>4.0</v>
      </c>
      <c r="D362" s="33" t="s">
        <v>53</v>
      </c>
      <c r="E362" s="34">
        <v>2012.0</v>
      </c>
      <c r="F362" s="33" t="s">
        <v>1802</v>
      </c>
      <c r="G362" s="33" t="s">
        <v>1803</v>
      </c>
      <c r="H362" s="45" t="s">
        <v>1804</v>
      </c>
      <c r="I362" s="33"/>
      <c r="J362" s="33" t="s">
        <v>1805</v>
      </c>
      <c r="K362" s="34">
        <v>29.0</v>
      </c>
      <c r="L362" s="34">
        <v>3.0</v>
      </c>
      <c r="M362" s="6" t="s">
        <v>1806</v>
      </c>
      <c r="N362" s="35" t="s">
        <v>60</v>
      </c>
      <c r="O362" s="33" t="s">
        <v>1811</v>
      </c>
      <c r="P362" s="36" t="s">
        <v>1808</v>
      </c>
      <c r="Q362" s="36" t="s">
        <v>92</v>
      </c>
      <c r="R362" s="36" t="s">
        <v>1809</v>
      </c>
      <c r="S362" s="37">
        <v>20.13125</v>
      </c>
      <c r="T362" s="37">
        <v>-90.454556</v>
      </c>
      <c r="U362" s="36" t="s">
        <v>148</v>
      </c>
      <c r="V362" s="6" t="s">
        <v>189</v>
      </c>
      <c r="W362" s="6" t="s">
        <v>1683</v>
      </c>
      <c r="X362" s="3" t="s">
        <v>191</v>
      </c>
      <c r="Y362" s="6" t="s">
        <v>70</v>
      </c>
      <c r="Z362" s="36"/>
      <c r="AA362" s="37">
        <v>3.0</v>
      </c>
      <c r="AB362" s="36"/>
      <c r="AC362" s="36"/>
      <c r="AD362" s="36"/>
      <c r="AE362" s="36"/>
      <c r="AF362" s="36"/>
      <c r="AG362" s="36"/>
      <c r="AH362" s="38" t="s">
        <v>72</v>
      </c>
      <c r="AI362" s="37">
        <v>-2000.0</v>
      </c>
      <c r="AJ362" s="37">
        <v>2000.0</v>
      </c>
      <c r="AK362" s="6" t="s">
        <v>73</v>
      </c>
      <c r="AL362" s="6" t="s">
        <v>72</v>
      </c>
      <c r="AM362" s="6" t="s">
        <v>524</v>
      </c>
      <c r="AN362" s="6" t="s">
        <v>72</v>
      </c>
      <c r="AO362" s="33"/>
      <c r="AP362" s="6" t="s">
        <v>576</v>
      </c>
      <c r="AQ362" s="33"/>
      <c r="AR362" s="33"/>
      <c r="AS362" s="33"/>
      <c r="AT362" s="6" t="s">
        <v>76</v>
      </c>
      <c r="AU362" s="33"/>
      <c r="AV362" s="33"/>
      <c r="AW362" s="33"/>
      <c r="AX362" s="33"/>
      <c r="AY362" s="33"/>
      <c r="AZ362" s="6" t="s">
        <v>76</v>
      </c>
      <c r="BA362" s="33"/>
      <c r="BB362" s="33">
        <f>VLOOKUP(O362,Eco_DEM_Data!$D$1:$AC$643,20,False)</f>
        <v>1050</v>
      </c>
      <c r="BC362" s="33">
        <f>VLOOKUP($O362,Eco_DEM_Data!$D$1:$AC$643,20,False)</f>
        <v>1050</v>
      </c>
      <c r="BD362" s="33">
        <f>VLOOKUP($O362,Eco_DEM_Data!$D$1:$AC$643,25,False)</f>
        <v>546</v>
      </c>
      <c r="BE362" s="33">
        <f>VLOOKUP($O362,Eco_DEM_Data!$D$1:$AC$643,22,False)</f>
        <v>15</v>
      </c>
      <c r="BF362" s="33">
        <f>VLOOKUP($O362,Eco_DEM_Data!$D$1:$AC$643,23,False)</f>
        <v>50</v>
      </c>
      <c r="BG362" s="33">
        <f>VLOOKUP($O362,Eco_DEM_Data!$D$1:$AC$643,21,False)</f>
        <v>8249</v>
      </c>
      <c r="BH362" s="33">
        <f>VLOOKUP($O362,Eco_DEM_Data!$D$1:$AC$643,26,False)</f>
        <v>1</v>
      </c>
      <c r="BI362" s="33" t="str">
        <f>VLOOKUP($O362,Eco_DEM_Data!$D$1:$AC$643,9,False)</f>
        <v>Mesoamerican Gulf-Caribbean mangroves</v>
      </c>
      <c r="BJ362" s="33" t="str">
        <f>VLOOKUP($O362,Eco_DEM_Data!$D$1:$AC$643,11,False)</f>
        <v>Mangroves</v>
      </c>
    </row>
    <row r="363">
      <c r="A363" s="33" t="s">
        <v>1801</v>
      </c>
      <c r="B363" s="33" t="s">
        <v>2258</v>
      </c>
      <c r="C363" s="34">
        <v>4.0</v>
      </c>
      <c r="D363" s="33" t="s">
        <v>53</v>
      </c>
      <c r="E363" s="34">
        <v>2012.0</v>
      </c>
      <c r="F363" s="33" t="s">
        <v>1802</v>
      </c>
      <c r="G363" s="33" t="s">
        <v>1803</v>
      </c>
      <c r="H363" s="45" t="s">
        <v>1804</v>
      </c>
      <c r="I363" s="33"/>
      <c r="J363" s="33" t="s">
        <v>1805</v>
      </c>
      <c r="K363" s="34">
        <v>29.0</v>
      </c>
      <c r="L363" s="34">
        <v>3.0</v>
      </c>
      <c r="M363" s="6" t="s">
        <v>1806</v>
      </c>
      <c r="N363" s="35" t="s">
        <v>60</v>
      </c>
      <c r="O363" s="33" t="s">
        <v>1812</v>
      </c>
      <c r="P363" s="36" t="s">
        <v>1808</v>
      </c>
      <c r="Q363" s="36" t="s">
        <v>92</v>
      </c>
      <c r="R363" s="36" t="s">
        <v>1809</v>
      </c>
      <c r="S363" s="37">
        <v>20.13125</v>
      </c>
      <c r="T363" s="37">
        <v>-90.454556</v>
      </c>
      <c r="U363" s="36" t="s">
        <v>148</v>
      </c>
      <c r="V363" s="6" t="s">
        <v>275</v>
      </c>
      <c r="W363" s="33" t="s">
        <v>1597</v>
      </c>
      <c r="X363" s="6" t="s">
        <v>275</v>
      </c>
      <c r="Y363" s="1" t="s">
        <v>279</v>
      </c>
      <c r="Z363" s="36"/>
      <c r="AA363" s="37">
        <v>3.0</v>
      </c>
      <c r="AB363" s="36"/>
      <c r="AC363" s="36"/>
      <c r="AD363" s="36"/>
      <c r="AE363" s="36"/>
      <c r="AF363" s="36"/>
      <c r="AG363" s="36"/>
      <c r="AH363" s="38" t="s">
        <v>72</v>
      </c>
      <c r="AI363" s="37">
        <v>-2000.0</v>
      </c>
      <c r="AJ363" s="37">
        <v>2000.0</v>
      </c>
      <c r="AK363" s="6" t="s">
        <v>73</v>
      </c>
      <c r="AL363" s="6" t="s">
        <v>72</v>
      </c>
      <c r="AM363" s="6" t="s">
        <v>524</v>
      </c>
      <c r="AN363" s="6" t="s">
        <v>72</v>
      </c>
      <c r="AO363" s="33"/>
      <c r="AP363" s="6" t="s">
        <v>576</v>
      </c>
      <c r="AQ363" s="33"/>
      <c r="AR363" s="33"/>
      <c r="AS363" s="33"/>
      <c r="AT363" s="6" t="s">
        <v>76</v>
      </c>
      <c r="AU363" s="33"/>
      <c r="AV363" s="33"/>
      <c r="AW363" s="33"/>
      <c r="AX363" s="33"/>
      <c r="AY363" s="33"/>
      <c r="AZ363" s="6" t="s">
        <v>76</v>
      </c>
      <c r="BA363" s="33"/>
      <c r="BB363" s="33">
        <f>VLOOKUP(O363,Eco_DEM_Data!$D$1:$AC$643,20,False)</f>
        <v>1050</v>
      </c>
      <c r="BC363" s="33">
        <f>VLOOKUP($O363,Eco_DEM_Data!$D$1:$AC$643,20,False)</f>
        <v>1050</v>
      </c>
      <c r="BD363" s="33">
        <f>VLOOKUP($O363,Eco_DEM_Data!$D$1:$AC$643,25,False)</f>
        <v>546</v>
      </c>
      <c r="BE363" s="33">
        <f>VLOOKUP($O363,Eco_DEM_Data!$D$1:$AC$643,22,False)</f>
        <v>15</v>
      </c>
      <c r="BF363" s="33">
        <f>VLOOKUP($O363,Eco_DEM_Data!$D$1:$AC$643,23,False)</f>
        <v>50</v>
      </c>
      <c r="BG363" s="33">
        <f>VLOOKUP($O363,Eco_DEM_Data!$D$1:$AC$643,21,False)</f>
        <v>8249</v>
      </c>
      <c r="BH363" s="33">
        <f>VLOOKUP($O363,Eco_DEM_Data!$D$1:$AC$643,26,False)</f>
        <v>1</v>
      </c>
      <c r="BI363" s="33" t="str">
        <f>VLOOKUP($O363,Eco_DEM_Data!$D$1:$AC$643,9,False)</f>
        <v>Mesoamerican Gulf-Caribbean mangroves</v>
      </c>
      <c r="BJ363" s="33" t="str">
        <f>VLOOKUP($O363,Eco_DEM_Data!$D$1:$AC$643,11,False)</f>
        <v>Mangroves</v>
      </c>
    </row>
    <row r="364">
      <c r="A364" s="33" t="s">
        <v>1801</v>
      </c>
      <c r="B364" s="33" t="s">
        <v>2258</v>
      </c>
      <c r="C364" s="34">
        <v>4.0</v>
      </c>
      <c r="D364" s="33" t="s">
        <v>53</v>
      </c>
      <c r="E364" s="34">
        <v>2012.0</v>
      </c>
      <c r="F364" s="33" t="s">
        <v>1802</v>
      </c>
      <c r="G364" s="33" t="s">
        <v>1803</v>
      </c>
      <c r="H364" s="45" t="s">
        <v>1804</v>
      </c>
      <c r="I364" s="33"/>
      <c r="J364" s="33" t="s">
        <v>1805</v>
      </c>
      <c r="K364" s="34">
        <v>29.0</v>
      </c>
      <c r="L364" s="34">
        <v>3.0</v>
      </c>
      <c r="M364" s="6" t="s">
        <v>1806</v>
      </c>
      <c r="N364" s="35" t="s">
        <v>60</v>
      </c>
      <c r="O364" s="33" t="s">
        <v>1813</v>
      </c>
      <c r="P364" s="36" t="s">
        <v>1808</v>
      </c>
      <c r="Q364" s="36" t="s">
        <v>92</v>
      </c>
      <c r="R364" s="36" t="s">
        <v>1809</v>
      </c>
      <c r="S364" s="37">
        <v>20.13125</v>
      </c>
      <c r="T364" s="37">
        <v>-90.454556</v>
      </c>
      <c r="U364" s="36" t="s">
        <v>148</v>
      </c>
      <c r="V364" s="38" t="s">
        <v>194</v>
      </c>
      <c r="W364" s="6" t="s">
        <v>1683</v>
      </c>
      <c r="X364" s="3" t="s">
        <v>1814</v>
      </c>
      <c r="Y364" s="6" t="s">
        <v>70</v>
      </c>
      <c r="Z364" s="36"/>
      <c r="AA364" s="37">
        <v>3.0</v>
      </c>
      <c r="AB364" s="36"/>
      <c r="AC364" s="36"/>
      <c r="AD364" s="36"/>
      <c r="AE364" s="36"/>
      <c r="AF364" s="36"/>
      <c r="AG364" s="36"/>
      <c r="AH364" s="38" t="s">
        <v>72</v>
      </c>
      <c r="AI364" s="37">
        <v>-2000.0</v>
      </c>
      <c r="AJ364" s="37">
        <v>2000.0</v>
      </c>
      <c r="AK364" s="6" t="s">
        <v>73</v>
      </c>
      <c r="AL364" s="6" t="s">
        <v>72</v>
      </c>
      <c r="AM364" s="6" t="s">
        <v>524</v>
      </c>
      <c r="AN364" s="6" t="s">
        <v>72</v>
      </c>
      <c r="AO364" s="33"/>
      <c r="AP364" s="6" t="s">
        <v>576</v>
      </c>
      <c r="AQ364" s="33"/>
      <c r="AR364" s="33"/>
      <c r="AS364" s="33"/>
      <c r="AT364" s="6" t="s">
        <v>76</v>
      </c>
      <c r="AU364" s="33"/>
      <c r="AV364" s="33"/>
      <c r="AW364" s="33"/>
      <c r="AX364" s="33"/>
      <c r="AY364" s="33"/>
      <c r="AZ364" s="6" t="s">
        <v>76</v>
      </c>
      <c r="BA364" s="33"/>
      <c r="BB364" s="33">
        <f>VLOOKUP(O364,Eco_DEM_Data!$D$1:$AC$643,20,False)</f>
        <v>1050</v>
      </c>
      <c r="BC364" s="33">
        <f>VLOOKUP($O364,Eco_DEM_Data!$D$1:$AC$643,20,False)</f>
        <v>1050</v>
      </c>
      <c r="BD364" s="33">
        <f>VLOOKUP($O364,Eco_DEM_Data!$D$1:$AC$643,25,False)</f>
        <v>546</v>
      </c>
      <c r="BE364" s="33">
        <f>VLOOKUP($O364,Eco_DEM_Data!$D$1:$AC$643,22,False)</f>
        <v>15</v>
      </c>
      <c r="BF364" s="33">
        <f>VLOOKUP($O364,Eco_DEM_Data!$D$1:$AC$643,23,False)</f>
        <v>50</v>
      </c>
      <c r="BG364" s="33">
        <f>VLOOKUP($O364,Eco_DEM_Data!$D$1:$AC$643,21,False)</f>
        <v>8249</v>
      </c>
      <c r="BH364" s="33">
        <f>VLOOKUP($O364,Eco_DEM_Data!$D$1:$AC$643,26,False)</f>
        <v>1</v>
      </c>
      <c r="BI364" s="33" t="str">
        <f>VLOOKUP($O364,Eco_DEM_Data!$D$1:$AC$643,9,False)</f>
        <v>Mesoamerican Gulf-Caribbean mangroves</v>
      </c>
      <c r="BJ364" s="33" t="str">
        <f>VLOOKUP($O364,Eco_DEM_Data!$D$1:$AC$643,11,False)</f>
        <v>Mangroves</v>
      </c>
    </row>
    <row r="365">
      <c r="A365" s="33" t="s">
        <v>1846</v>
      </c>
      <c r="B365" s="33" t="s">
        <v>2259</v>
      </c>
      <c r="C365" s="34">
        <v>2.0</v>
      </c>
      <c r="D365" s="33" t="s">
        <v>53</v>
      </c>
      <c r="E365" s="34">
        <v>2012.0</v>
      </c>
      <c r="F365" s="33" t="s">
        <v>1847</v>
      </c>
      <c r="G365" s="33" t="s">
        <v>1848</v>
      </c>
      <c r="H365" s="33" t="s">
        <v>1818</v>
      </c>
      <c r="I365" s="33" t="s">
        <v>1849</v>
      </c>
      <c r="J365" s="33" t="s">
        <v>1850</v>
      </c>
      <c r="K365" s="34">
        <v>338.0</v>
      </c>
      <c r="L365" s="34">
        <v>6108.0</v>
      </c>
      <c r="M365" s="6" t="s">
        <v>1851</v>
      </c>
      <c r="N365" s="35" t="s">
        <v>60</v>
      </c>
      <c r="O365" s="33" t="s">
        <v>1852</v>
      </c>
      <c r="P365" s="36" t="s">
        <v>62</v>
      </c>
      <c r="Q365" s="36" t="s">
        <v>187</v>
      </c>
      <c r="R365" s="36" t="s">
        <v>1251</v>
      </c>
      <c r="S365" s="37">
        <v>16.208333</v>
      </c>
      <c r="T365" s="37">
        <v>-89.073333</v>
      </c>
      <c r="U365" s="36" t="s">
        <v>94</v>
      </c>
      <c r="V365" s="6" t="s">
        <v>135</v>
      </c>
      <c r="W365" s="6" t="s">
        <v>96</v>
      </c>
      <c r="X365" s="1" t="s">
        <v>1853</v>
      </c>
      <c r="Y365" s="6" t="s">
        <v>99</v>
      </c>
      <c r="Z365" s="36"/>
      <c r="AA365" s="37"/>
      <c r="AB365" s="36"/>
      <c r="AC365" s="36"/>
      <c r="AD365" s="36"/>
      <c r="AE365" s="37">
        <v>40.0</v>
      </c>
      <c r="AF365" s="36"/>
      <c r="AG365" s="36"/>
      <c r="AH365" s="36"/>
      <c r="AI365" s="37">
        <v>-40.0</v>
      </c>
      <c r="AJ365" s="37">
        <v>2006.0</v>
      </c>
      <c r="AK365" s="6" t="s">
        <v>153</v>
      </c>
      <c r="AL365" s="6" t="s">
        <v>60</v>
      </c>
      <c r="AM365" s="5" t="s">
        <v>72</v>
      </c>
      <c r="AN365" s="6" t="s">
        <v>101</v>
      </c>
      <c r="AO365" s="33"/>
      <c r="AP365" s="6" t="s">
        <v>102</v>
      </c>
      <c r="AQ365" s="33"/>
      <c r="AR365" s="33"/>
      <c r="AS365" s="33"/>
      <c r="AT365" s="6" t="s">
        <v>76</v>
      </c>
      <c r="AU365" s="33"/>
      <c r="AV365" s="33"/>
      <c r="AW365" s="33"/>
      <c r="AX365" s="33"/>
      <c r="AY365" s="33"/>
      <c r="AZ365" s="6" t="s">
        <v>60</v>
      </c>
      <c r="BA365" s="33"/>
      <c r="BB365" s="33">
        <f>VLOOKUP(O365,Eco_DEM_Data!$D$1:$AC$643,20,False)</f>
        <v>3337</v>
      </c>
      <c r="BC365" s="33">
        <f>VLOOKUP($O365,Eco_DEM_Data!$D$1:$AC$643,20,False)</f>
        <v>3337</v>
      </c>
      <c r="BD365" s="33">
        <f>VLOOKUP($O365,Eco_DEM_Data!$D$1:$AC$643,25,False)</f>
        <v>1668</v>
      </c>
      <c r="BE365" s="33">
        <f>VLOOKUP($O365,Eco_DEM_Data!$D$1:$AC$643,22,False)</f>
        <v>70</v>
      </c>
      <c r="BF365" s="33">
        <f>VLOOKUP($O365,Eco_DEM_Data!$D$1:$AC$643,23,False)</f>
        <v>252</v>
      </c>
      <c r="BG365" s="33">
        <f>VLOOKUP($O365,Eco_DEM_Data!$D$1:$AC$643,21,False)</f>
        <v>7076</v>
      </c>
      <c r="BH365" s="33">
        <f>VLOOKUP($O365,Eco_DEM_Data!$D$1:$AC$643,26,False)</f>
        <v>262</v>
      </c>
      <c r="BI365" s="33" t="str">
        <f>VLOOKUP($O365,Eco_DEM_Data!$D$1:$AC$643,9,False)</f>
        <v>Petén-Veracruz moist forests</v>
      </c>
      <c r="BJ365" s="33" t="str">
        <f>VLOOKUP($O365,Eco_DEM_Data!$D$1:$AC$643,11,False)</f>
        <v>Tropical &amp; Subtropical Moist Broadleaf Forests</v>
      </c>
    </row>
    <row r="366">
      <c r="A366" s="33" t="s">
        <v>1846</v>
      </c>
      <c r="B366" s="33" t="s">
        <v>2259</v>
      </c>
      <c r="C366" s="34">
        <v>2.0</v>
      </c>
      <c r="D366" s="33" t="s">
        <v>53</v>
      </c>
      <c r="E366" s="34">
        <v>2012.0</v>
      </c>
      <c r="F366" s="33" t="s">
        <v>1847</v>
      </c>
      <c r="G366" s="33" t="s">
        <v>1848</v>
      </c>
      <c r="H366" s="33" t="s">
        <v>1818</v>
      </c>
      <c r="I366" s="33" t="s">
        <v>1849</v>
      </c>
      <c r="J366" s="33" t="s">
        <v>1850</v>
      </c>
      <c r="K366" s="34">
        <v>338.0</v>
      </c>
      <c r="L366" s="34">
        <v>6108.0</v>
      </c>
      <c r="M366" s="6" t="s">
        <v>1851</v>
      </c>
      <c r="N366" s="35" t="s">
        <v>60</v>
      </c>
      <c r="O366" s="33" t="s">
        <v>1854</v>
      </c>
      <c r="P366" s="36" t="s">
        <v>62</v>
      </c>
      <c r="Q366" s="36" t="s">
        <v>187</v>
      </c>
      <c r="R366" s="36" t="s">
        <v>1251</v>
      </c>
      <c r="S366" s="37">
        <v>16.208333</v>
      </c>
      <c r="T366" s="37">
        <v>-89.073333</v>
      </c>
      <c r="U366" s="36" t="s">
        <v>94</v>
      </c>
      <c r="V366" s="6" t="s">
        <v>95</v>
      </c>
      <c r="W366" s="6" t="s">
        <v>96</v>
      </c>
      <c r="X366" s="1" t="s">
        <v>1853</v>
      </c>
      <c r="Y366" s="6" t="s">
        <v>99</v>
      </c>
      <c r="Z366" s="36"/>
      <c r="AA366" s="37"/>
      <c r="AB366" s="36"/>
      <c r="AC366" s="36"/>
      <c r="AD366" s="36"/>
      <c r="AE366" s="37">
        <v>40.0</v>
      </c>
      <c r="AF366" s="36"/>
      <c r="AG366" s="36"/>
      <c r="AH366" s="36"/>
      <c r="AI366" s="37">
        <v>-40.0</v>
      </c>
      <c r="AJ366" s="37">
        <v>2006.0</v>
      </c>
      <c r="AK366" s="6" t="s">
        <v>153</v>
      </c>
      <c r="AL366" s="6" t="s">
        <v>60</v>
      </c>
      <c r="AM366" s="5" t="s">
        <v>72</v>
      </c>
      <c r="AN366" s="6" t="s">
        <v>101</v>
      </c>
      <c r="AO366" s="33"/>
      <c r="AP366" s="6" t="s">
        <v>102</v>
      </c>
      <c r="AQ366" s="33"/>
      <c r="AR366" s="33"/>
      <c r="AS366" s="33"/>
      <c r="AT366" s="6" t="s">
        <v>76</v>
      </c>
      <c r="AU366" s="33"/>
      <c r="AV366" s="33"/>
      <c r="AW366" s="33"/>
      <c r="AX366" s="33"/>
      <c r="AY366" s="33"/>
      <c r="AZ366" s="6" t="s">
        <v>60</v>
      </c>
      <c r="BA366" s="33"/>
      <c r="BB366" s="33">
        <f>VLOOKUP(O366,Eco_DEM_Data!$D$1:$AC$643,20,False)</f>
        <v>3337</v>
      </c>
      <c r="BC366" s="33">
        <f>VLOOKUP($O366,Eco_DEM_Data!$D$1:$AC$643,20,False)</f>
        <v>3337</v>
      </c>
      <c r="BD366" s="33">
        <f>VLOOKUP($O366,Eco_DEM_Data!$D$1:$AC$643,25,False)</f>
        <v>1668</v>
      </c>
      <c r="BE366" s="33">
        <f>VLOOKUP($O366,Eco_DEM_Data!$D$1:$AC$643,22,False)</f>
        <v>70</v>
      </c>
      <c r="BF366" s="33">
        <f>VLOOKUP($O366,Eco_DEM_Data!$D$1:$AC$643,23,False)</f>
        <v>252</v>
      </c>
      <c r="BG366" s="33">
        <f>VLOOKUP($O366,Eco_DEM_Data!$D$1:$AC$643,21,False)</f>
        <v>7076</v>
      </c>
      <c r="BH366" s="33">
        <f>VLOOKUP($O366,Eco_DEM_Data!$D$1:$AC$643,26,False)</f>
        <v>262</v>
      </c>
      <c r="BI366" s="33" t="str">
        <f>VLOOKUP($O366,Eco_DEM_Data!$D$1:$AC$643,9,False)</f>
        <v>Petén-Veracruz moist forests</v>
      </c>
      <c r="BJ366" s="33" t="str">
        <f>VLOOKUP($O366,Eco_DEM_Data!$D$1:$AC$643,11,False)</f>
        <v>Tropical &amp; Subtropical Moist Broadleaf Forests</v>
      </c>
    </row>
    <row r="367">
      <c r="A367" s="33" t="s">
        <v>1585</v>
      </c>
      <c r="B367" s="33" t="s">
        <v>2259</v>
      </c>
      <c r="C367" s="34">
        <v>13.0</v>
      </c>
      <c r="D367" s="33" t="s">
        <v>53</v>
      </c>
      <c r="E367" s="34">
        <v>2012.0</v>
      </c>
      <c r="F367" s="33" t="s">
        <v>1586</v>
      </c>
      <c r="G367" s="33" t="s">
        <v>1587</v>
      </c>
      <c r="H367" s="33" t="s">
        <v>1610</v>
      </c>
      <c r="I367" s="33" t="s">
        <v>1588</v>
      </c>
      <c r="J367" s="33" t="s">
        <v>1589</v>
      </c>
      <c r="K367" s="34">
        <v>78.0</v>
      </c>
      <c r="L367" s="34">
        <v>3.0</v>
      </c>
      <c r="M367" s="6" t="s">
        <v>1590</v>
      </c>
      <c r="N367" s="35" t="s">
        <v>60</v>
      </c>
      <c r="O367" s="33" t="s">
        <v>1591</v>
      </c>
      <c r="P367" s="36" t="s">
        <v>62</v>
      </c>
      <c r="Q367" s="36" t="s">
        <v>521</v>
      </c>
      <c r="R367" s="36" t="s">
        <v>1592</v>
      </c>
      <c r="S367" s="37">
        <v>12.087693</v>
      </c>
      <c r="T367" s="37">
        <v>-83.700095</v>
      </c>
      <c r="U367" s="36" t="s">
        <v>148</v>
      </c>
      <c r="V367" s="38" t="s">
        <v>66</v>
      </c>
      <c r="W367" s="41" t="s">
        <v>823</v>
      </c>
      <c r="X367" s="7" t="s">
        <v>1594</v>
      </c>
      <c r="Y367" s="41" t="s">
        <v>70</v>
      </c>
      <c r="Z367" s="43"/>
      <c r="AA367" s="42">
        <v>4.0</v>
      </c>
      <c r="AB367" s="43"/>
      <c r="AC367" s="43"/>
      <c r="AD367" s="43"/>
      <c r="AE367" s="43"/>
      <c r="AF367" s="43"/>
      <c r="AG367" s="43"/>
      <c r="AH367" s="43" t="s">
        <v>1595</v>
      </c>
      <c r="AI367" s="42">
        <v>-4300.0</v>
      </c>
      <c r="AJ367" s="42">
        <v>2000.0</v>
      </c>
      <c r="AK367" s="5" t="s">
        <v>100</v>
      </c>
      <c r="AL367" s="5" t="s">
        <v>72</v>
      </c>
      <c r="AM367" s="6" t="s">
        <v>524</v>
      </c>
      <c r="AN367" s="5" t="s">
        <v>72</v>
      </c>
      <c r="AO367" s="41"/>
      <c r="AP367" s="5" t="s">
        <v>75</v>
      </c>
      <c r="AQ367" s="41"/>
      <c r="AR367" s="41"/>
      <c r="AS367" s="41"/>
      <c r="AT367" s="5" t="s">
        <v>76</v>
      </c>
      <c r="AU367" s="33"/>
      <c r="AV367" s="33"/>
      <c r="AW367" s="33"/>
      <c r="AX367" s="33"/>
      <c r="AY367" s="33"/>
      <c r="AZ367" s="6" t="s">
        <v>76</v>
      </c>
      <c r="BA367" s="33"/>
      <c r="BB367" s="33">
        <f>VLOOKUP(O367,Eco_DEM_Data!$D$1:$AC$643,20,False)</f>
        <v>2915</v>
      </c>
      <c r="BC367" s="33">
        <f>VLOOKUP($O367,Eco_DEM_Data!$D$1:$AC$643,20,False)</f>
        <v>2915</v>
      </c>
      <c r="BD367" s="33">
        <f>VLOOKUP($O367,Eco_DEM_Data!$D$1:$AC$643,25,False)</f>
        <v>1355</v>
      </c>
      <c r="BE367" s="33">
        <f>VLOOKUP($O367,Eco_DEM_Data!$D$1:$AC$643,22,False)</f>
        <v>37</v>
      </c>
      <c r="BF367" s="33">
        <f>VLOOKUP($O367,Eco_DEM_Data!$D$1:$AC$643,23,False)</f>
        <v>151</v>
      </c>
      <c r="BG367" s="33">
        <f>VLOOKUP($O367,Eco_DEM_Data!$D$1:$AC$643,21,False)</f>
        <v>6555</v>
      </c>
      <c r="BH367" s="33">
        <f>VLOOKUP($O367,Eco_DEM_Data!$D$1:$AC$643,26,False)</f>
        <v>1</v>
      </c>
      <c r="BI367" s="33" t="str">
        <f>VLOOKUP($O367,Eco_DEM_Data!$D$1:$AC$643,9,False)</f>
        <v>Mesoamerican Gulf-Caribbean mangroves</v>
      </c>
      <c r="BJ367" s="33" t="str">
        <f>VLOOKUP($O367,Eco_DEM_Data!$D$1:$AC$643,11,False)</f>
        <v>Mangroves</v>
      </c>
    </row>
    <row r="368">
      <c r="A368" s="33" t="s">
        <v>1585</v>
      </c>
      <c r="B368" s="33" t="s">
        <v>2259</v>
      </c>
      <c r="C368" s="34">
        <v>13.0</v>
      </c>
      <c r="D368" s="33" t="s">
        <v>53</v>
      </c>
      <c r="E368" s="34">
        <v>2012.0</v>
      </c>
      <c r="F368" s="33" t="s">
        <v>1586</v>
      </c>
      <c r="G368" s="33" t="s">
        <v>1587</v>
      </c>
      <c r="H368" s="33" t="s">
        <v>1610</v>
      </c>
      <c r="I368" s="33" t="s">
        <v>1588</v>
      </c>
      <c r="J368" s="33" t="s">
        <v>1589</v>
      </c>
      <c r="K368" s="34">
        <v>78.0</v>
      </c>
      <c r="L368" s="34">
        <v>3.0</v>
      </c>
      <c r="M368" s="6" t="s">
        <v>1590</v>
      </c>
      <c r="N368" s="35" t="s">
        <v>60</v>
      </c>
      <c r="O368" s="33" t="s">
        <v>1596</v>
      </c>
      <c r="P368" s="36" t="s">
        <v>62</v>
      </c>
      <c r="Q368" s="36" t="s">
        <v>521</v>
      </c>
      <c r="R368" s="36" t="s">
        <v>1592</v>
      </c>
      <c r="S368" s="37">
        <v>12.087693</v>
      </c>
      <c r="T368" s="37">
        <v>-83.700095</v>
      </c>
      <c r="U368" s="36" t="s">
        <v>148</v>
      </c>
      <c r="V368" s="6" t="s">
        <v>189</v>
      </c>
      <c r="W368" s="33" t="s">
        <v>1597</v>
      </c>
      <c r="X368" s="1" t="s">
        <v>1598</v>
      </c>
      <c r="Y368" s="33" t="s">
        <v>70</v>
      </c>
      <c r="Z368" s="36"/>
      <c r="AA368" s="37">
        <v>2.0</v>
      </c>
      <c r="AB368" s="36"/>
      <c r="AC368" s="36"/>
      <c r="AD368" s="36"/>
      <c r="AE368" s="36"/>
      <c r="AF368" s="36"/>
      <c r="AG368" s="36"/>
      <c r="AH368" s="36" t="s">
        <v>1595</v>
      </c>
      <c r="AI368" s="37">
        <v>-1000.0</v>
      </c>
      <c r="AJ368" s="37">
        <v>2000.0</v>
      </c>
      <c r="AK368" s="6" t="s">
        <v>100</v>
      </c>
      <c r="AL368" s="6" t="s">
        <v>72</v>
      </c>
      <c r="AM368" s="6" t="s">
        <v>524</v>
      </c>
      <c r="AN368" s="6" t="s">
        <v>72</v>
      </c>
      <c r="AO368" s="33"/>
      <c r="AP368" s="6" t="s">
        <v>75</v>
      </c>
      <c r="AQ368" s="33"/>
      <c r="AR368" s="33"/>
      <c r="AS368" s="33"/>
      <c r="AT368" s="6" t="s">
        <v>76</v>
      </c>
      <c r="AU368" s="33"/>
      <c r="AV368" s="33"/>
      <c r="AW368" s="33"/>
      <c r="AX368" s="33"/>
      <c r="AY368" s="33"/>
      <c r="AZ368" s="6" t="s">
        <v>76</v>
      </c>
      <c r="BA368" s="33"/>
      <c r="BB368" s="33">
        <f>VLOOKUP(O368,Eco_DEM_Data!$D$1:$AC$643,20,False)</f>
        <v>2915</v>
      </c>
      <c r="BC368" s="33">
        <f>VLOOKUP($O368,Eco_DEM_Data!$D$1:$AC$643,20,False)</f>
        <v>2915</v>
      </c>
      <c r="BD368" s="33">
        <f>VLOOKUP($O368,Eco_DEM_Data!$D$1:$AC$643,25,False)</f>
        <v>1355</v>
      </c>
      <c r="BE368" s="33">
        <f>VLOOKUP($O368,Eco_DEM_Data!$D$1:$AC$643,22,False)</f>
        <v>37</v>
      </c>
      <c r="BF368" s="33">
        <f>VLOOKUP($O368,Eco_DEM_Data!$D$1:$AC$643,23,False)</f>
        <v>151</v>
      </c>
      <c r="BG368" s="33">
        <f>VLOOKUP($O368,Eco_DEM_Data!$D$1:$AC$643,21,False)</f>
        <v>6555</v>
      </c>
      <c r="BH368" s="33">
        <f>VLOOKUP($O368,Eco_DEM_Data!$D$1:$AC$643,26,False)</f>
        <v>1</v>
      </c>
      <c r="BI368" s="33" t="str">
        <f>VLOOKUP($O368,Eco_DEM_Data!$D$1:$AC$643,9,False)</f>
        <v>Mesoamerican Gulf-Caribbean mangroves</v>
      </c>
      <c r="BJ368" s="33" t="str">
        <f>VLOOKUP($O368,Eco_DEM_Data!$D$1:$AC$643,11,False)</f>
        <v>Mangroves</v>
      </c>
    </row>
    <row r="369">
      <c r="A369" s="33" t="s">
        <v>1585</v>
      </c>
      <c r="B369" s="33" t="s">
        <v>2259</v>
      </c>
      <c r="C369" s="34">
        <v>13.0</v>
      </c>
      <c r="D369" s="33" t="s">
        <v>53</v>
      </c>
      <c r="E369" s="34">
        <v>2012.0</v>
      </c>
      <c r="F369" s="33" t="s">
        <v>1586</v>
      </c>
      <c r="G369" s="33" t="s">
        <v>1587</v>
      </c>
      <c r="H369" s="33" t="s">
        <v>1610</v>
      </c>
      <c r="I369" s="33" t="s">
        <v>1588</v>
      </c>
      <c r="J369" s="33" t="s">
        <v>1589</v>
      </c>
      <c r="K369" s="34">
        <v>78.0</v>
      </c>
      <c r="L369" s="34">
        <v>3.0</v>
      </c>
      <c r="M369" s="6" t="s">
        <v>1590</v>
      </c>
      <c r="N369" s="35" t="s">
        <v>60</v>
      </c>
      <c r="O369" s="33" t="s">
        <v>1599</v>
      </c>
      <c r="P369" s="36" t="s">
        <v>62</v>
      </c>
      <c r="Q369" s="36" t="s">
        <v>521</v>
      </c>
      <c r="R369" s="36" t="s">
        <v>1592</v>
      </c>
      <c r="S369" s="37">
        <v>12.087693</v>
      </c>
      <c r="T369" s="37">
        <v>-83.700095</v>
      </c>
      <c r="U369" s="36" t="s">
        <v>148</v>
      </c>
      <c r="V369" s="6" t="s">
        <v>189</v>
      </c>
      <c r="W369" s="33" t="s">
        <v>1597</v>
      </c>
      <c r="X369" s="1" t="s">
        <v>1600</v>
      </c>
      <c r="Y369" s="33" t="s">
        <v>70</v>
      </c>
      <c r="Z369" s="36"/>
      <c r="AA369" s="37">
        <v>1.0</v>
      </c>
      <c r="AB369" s="36"/>
      <c r="AC369" s="36"/>
      <c r="AD369" s="36"/>
      <c r="AE369" s="36"/>
      <c r="AF369" s="36"/>
      <c r="AG369" s="36"/>
      <c r="AH369" s="36" t="s">
        <v>1595</v>
      </c>
      <c r="AI369" s="37">
        <v>1000.0</v>
      </c>
      <c r="AJ369" s="37">
        <v>2000.0</v>
      </c>
      <c r="AK369" s="6" t="s">
        <v>100</v>
      </c>
      <c r="AL369" s="6" t="s">
        <v>72</v>
      </c>
      <c r="AM369" s="6" t="s">
        <v>524</v>
      </c>
      <c r="AN369" s="6" t="s">
        <v>72</v>
      </c>
      <c r="AO369" s="33"/>
      <c r="AP369" s="6" t="s">
        <v>75</v>
      </c>
      <c r="AQ369" s="33"/>
      <c r="AR369" s="33"/>
      <c r="AS369" s="33"/>
      <c r="AT369" s="6" t="s">
        <v>76</v>
      </c>
      <c r="AU369" s="33"/>
      <c r="AV369" s="33"/>
      <c r="AW369" s="33"/>
      <c r="AX369" s="33"/>
      <c r="AY369" s="33"/>
      <c r="AZ369" s="6" t="s">
        <v>76</v>
      </c>
      <c r="BA369" s="33"/>
      <c r="BB369" s="33">
        <f>VLOOKUP(O369,Eco_DEM_Data!$D$1:$AC$643,20,False)</f>
        <v>2915</v>
      </c>
      <c r="BC369" s="33">
        <f>VLOOKUP($O369,Eco_DEM_Data!$D$1:$AC$643,20,False)</f>
        <v>2915</v>
      </c>
      <c r="BD369" s="33">
        <f>VLOOKUP($O369,Eco_DEM_Data!$D$1:$AC$643,25,False)</f>
        <v>1355</v>
      </c>
      <c r="BE369" s="33">
        <f>VLOOKUP($O369,Eco_DEM_Data!$D$1:$AC$643,22,False)</f>
        <v>37</v>
      </c>
      <c r="BF369" s="33">
        <f>VLOOKUP($O369,Eco_DEM_Data!$D$1:$AC$643,23,False)</f>
        <v>151</v>
      </c>
      <c r="BG369" s="33">
        <f>VLOOKUP($O369,Eco_DEM_Data!$D$1:$AC$643,21,False)</f>
        <v>6555</v>
      </c>
      <c r="BH369" s="33">
        <f>VLOOKUP($O369,Eco_DEM_Data!$D$1:$AC$643,26,False)</f>
        <v>1</v>
      </c>
      <c r="BI369" s="33" t="str">
        <f>VLOOKUP($O369,Eco_DEM_Data!$D$1:$AC$643,9,False)</f>
        <v>Mesoamerican Gulf-Caribbean mangroves</v>
      </c>
      <c r="BJ369" s="33" t="str">
        <f>VLOOKUP($O369,Eco_DEM_Data!$D$1:$AC$643,11,False)</f>
        <v>Mangroves</v>
      </c>
    </row>
    <row r="370">
      <c r="A370" s="33" t="s">
        <v>1585</v>
      </c>
      <c r="B370" s="33" t="s">
        <v>2259</v>
      </c>
      <c r="C370" s="34">
        <v>13.0</v>
      </c>
      <c r="D370" s="33" t="s">
        <v>53</v>
      </c>
      <c r="E370" s="34">
        <v>2012.0</v>
      </c>
      <c r="F370" s="33" t="s">
        <v>1586</v>
      </c>
      <c r="G370" s="33" t="s">
        <v>1587</v>
      </c>
      <c r="H370" s="33" t="s">
        <v>1610</v>
      </c>
      <c r="I370" s="33" t="s">
        <v>1588</v>
      </c>
      <c r="J370" s="33" t="s">
        <v>1589</v>
      </c>
      <c r="K370" s="34">
        <v>78.0</v>
      </c>
      <c r="L370" s="34">
        <v>3.0</v>
      </c>
      <c r="M370" s="6" t="s">
        <v>1590</v>
      </c>
      <c r="N370" s="35" t="s">
        <v>60</v>
      </c>
      <c r="O370" s="33" t="s">
        <v>1601</v>
      </c>
      <c r="P370" s="36" t="s">
        <v>62</v>
      </c>
      <c r="Q370" s="36" t="s">
        <v>521</v>
      </c>
      <c r="R370" s="36" t="s">
        <v>1592</v>
      </c>
      <c r="S370" s="37">
        <v>12.087693</v>
      </c>
      <c r="T370" s="37">
        <v>-83.700095</v>
      </c>
      <c r="U370" s="36" t="s">
        <v>148</v>
      </c>
      <c r="V370" s="6" t="s">
        <v>189</v>
      </c>
      <c r="W370" s="33" t="s">
        <v>1597</v>
      </c>
      <c r="X370" s="1" t="s">
        <v>1602</v>
      </c>
      <c r="Y370" s="33" t="s">
        <v>70</v>
      </c>
      <c r="Z370" s="37">
        <v>1.0</v>
      </c>
      <c r="AA370" s="37"/>
      <c r="AB370" s="36"/>
      <c r="AC370" s="36"/>
      <c r="AD370" s="36"/>
      <c r="AE370" s="36"/>
      <c r="AF370" s="36"/>
      <c r="AG370" s="36"/>
      <c r="AH370" s="36"/>
      <c r="AI370" s="36" t="s">
        <v>470</v>
      </c>
      <c r="AJ370" s="36" t="s">
        <v>470</v>
      </c>
      <c r="AK370" s="6" t="s">
        <v>100</v>
      </c>
      <c r="AL370" s="6" t="s">
        <v>72</v>
      </c>
      <c r="AM370" s="6" t="s">
        <v>524</v>
      </c>
      <c r="AN370" s="6" t="s">
        <v>72</v>
      </c>
      <c r="AO370" s="33"/>
      <c r="AP370" s="6" t="s">
        <v>75</v>
      </c>
      <c r="AQ370" s="33"/>
      <c r="AR370" s="33"/>
      <c r="AS370" s="33"/>
      <c r="AT370" s="6" t="s">
        <v>76</v>
      </c>
      <c r="AU370" s="33"/>
      <c r="AV370" s="33"/>
      <c r="AW370" s="33"/>
      <c r="AX370" s="33"/>
      <c r="AY370" s="33"/>
      <c r="AZ370" s="6" t="s">
        <v>76</v>
      </c>
      <c r="BA370" s="33"/>
      <c r="BB370" s="33">
        <f>VLOOKUP(O370,Eco_DEM_Data!$D$1:$AC$643,20,False)</f>
        <v>2915</v>
      </c>
      <c r="BC370" s="33">
        <f>VLOOKUP($O370,Eco_DEM_Data!$D$1:$AC$643,20,False)</f>
        <v>2915</v>
      </c>
      <c r="BD370" s="33">
        <f>VLOOKUP($O370,Eco_DEM_Data!$D$1:$AC$643,25,False)</f>
        <v>1355</v>
      </c>
      <c r="BE370" s="33">
        <f>VLOOKUP($O370,Eco_DEM_Data!$D$1:$AC$643,22,False)</f>
        <v>37</v>
      </c>
      <c r="BF370" s="33">
        <f>VLOOKUP($O370,Eco_DEM_Data!$D$1:$AC$643,23,False)</f>
        <v>151</v>
      </c>
      <c r="BG370" s="33">
        <f>VLOOKUP($O370,Eco_DEM_Data!$D$1:$AC$643,21,False)</f>
        <v>6555</v>
      </c>
      <c r="BH370" s="33">
        <f>VLOOKUP($O370,Eco_DEM_Data!$D$1:$AC$643,26,False)</f>
        <v>1</v>
      </c>
      <c r="BI370" s="33" t="str">
        <f>VLOOKUP($O370,Eco_DEM_Data!$D$1:$AC$643,9,False)</f>
        <v>Mesoamerican Gulf-Caribbean mangroves</v>
      </c>
      <c r="BJ370" s="33" t="str">
        <f>VLOOKUP($O370,Eco_DEM_Data!$D$1:$AC$643,11,False)</f>
        <v>Mangroves</v>
      </c>
    </row>
    <row r="371">
      <c r="A371" s="33" t="s">
        <v>1585</v>
      </c>
      <c r="B371" s="33" t="s">
        <v>2259</v>
      </c>
      <c r="C371" s="34">
        <v>13.0</v>
      </c>
      <c r="D371" s="33" t="s">
        <v>53</v>
      </c>
      <c r="E371" s="34">
        <v>2012.0</v>
      </c>
      <c r="F371" s="33" t="s">
        <v>1586</v>
      </c>
      <c r="G371" s="33" t="s">
        <v>1587</v>
      </c>
      <c r="H371" s="33" t="s">
        <v>1610</v>
      </c>
      <c r="I371" s="33" t="s">
        <v>1588</v>
      </c>
      <c r="J371" s="33" t="s">
        <v>1589</v>
      </c>
      <c r="K371" s="34">
        <v>78.0</v>
      </c>
      <c r="L371" s="34">
        <v>3.0</v>
      </c>
      <c r="M371" s="6" t="s">
        <v>1590</v>
      </c>
      <c r="N371" s="35" t="s">
        <v>60</v>
      </c>
      <c r="O371" s="33" t="s">
        <v>1603</v>
      </c>
      <c r="P371" s="36" t="s">
        <v>62</v>
      </c>
      <c r="Q371" s="36" t="s">
        <v>521</v>
      </c>
      <c r="R371" s="36" t="s">
        <v>1592</v>
      </c>
      <c r="S371" s="37">
        <v>12.087693</v>
      </c>
      <c r="T371" s="37">
        <v>-83.700095</v>
      </c>
      <c r="U371" s="36" t="s">
        <v>148</v>
      </c>
      <c r="V371" s="6" t="s">
        <v>189</v>
      </c>
      <c r="W371" s="33" t="s">
        <v>1597</v>
      </c>
      <c r="X371" s="1" t="s">
        <v>1604</v>
      </c>
      <c r="Y371" s="33" t="s">
        <v>70</v>
      </c>
      <c r="Z371" s="36"/>
      <c r="AA371" s="37">
        <v>4.0</v>
      </c>
      <c r="AB371" s="36"/>
      <c r="AC371" s="36"/>
      <c r="AD371" s="36"/>
      <c r="AE371" s="36"/>
      <c r="AF371" s="36"/>
      <c r="AG371" s="36"/>
      <c r="AH371" s="36" t="s">
        <v>1595</v>
      </c>
      <c r="AI371" s="37">
        <v>-4300.0</v>
      </c>
      <c r="AJ371" s="37">
        <v>2000.0</v>
      </c>
      <c r="AK371" s="6" t="s">
        <v>100</v>
      </c>
      <c r="AL371" s="6" t="s">
        <v>72</v>
      </c>
      <c r="AM371" s="6" t="s">
        <v>524</v>
      </c>
      <c r="AN371" s="6" t="s">
        <v>72</v>
      </c>
      <c r="AO371" s="33"/>
      <c r="AP371" s="6" t="s">
        <v>75</v>
      </c>
      <c r="AQ371" s="33"/>
      <c r="AR371" s="33"/>
      <c r="AS371" s="33"/>
      <c r="AT371" s="6" t="s">
        <v>76</v>
      </c>
      <c r="AU371" s="33"/>
      <c r="AV371" s="33"/>
      <c r="AW371" s="33"/>
      <c r="AX371" s="33"/>
      <c r="AY371" s="33"/>
      <c r="AZ371" s="6" t="s">
        <v>76</v>
      </c>
      <c r="BA371" s="33"/>
      <c r="BB371" s="33">
        <f>VLOOKUP(O371,Eco_DEM_Data!$D$1:$AC$643,20,False)</f>
        <v>2915</v>
      </c>
      <c r="BC371" s="33">
        <f>VLOOKUP($O371,Eco_DEM_Data!$D$1:$AC$643,20,False)</f>
        <v>2915</v>
      </c>
      <c r="BD371" s="33">
        <f>VLOOKUP($O371,Eco_DEM_Data!$D$1:$AC$643,25,False)</f>
        <v>1355</v>
      </c>
      <c r="BE371" s="33">
        <f>VLOOKUP($O371,Eco_DEM_Data!$D$1:$AC$643,22,False)</f>
        <v>37</v>
      </c>
      <c r="BF371" s="33">
        <f>VLOOKUP($O371,Eco_DEM_Data!$D$1:$AC$643,23,False)</f>
        <v>151</v>
      </c>
      <c r="BG371" s="33">
        <f>VLOOKUP($O371,Eco_DEM_Data!$D$1:$AC$643,21,False)</f>
        <v>6555</v>
      </c>
      <c r="BH371" s="33">
        <f>VLOOKUP($O371,Eco_DEM_Data!$D$1:$AC$643,26,False)</f>
        <v>1</v>
      </c>
      <c r="BI371" s="33" t="str">
        <f>VLOOKUP($O371,Eco_DEM_Data!$D$1:$AC$643,9,False)</f>
        <v>Mesoamerican Gulf-Caribbean mangroves</v>
      </c>
      <c r="BJ371" s="33" t="str">
        <f>VLOOKUP($O371,Eco_DEM_Data!$D$1:$AC$643,11,False)</f>
        <v>Mangroves</v>
      </c>
    </row>
    <row r="372">
      <c r="A372" s="33" t="s">
        <v>1585</v>
      </c>
      <c r="B372" s="33" t="s">
        <v>2259</v>
      </c>
      <c r="C372" s="34">
        <v>13.0</v>
      </c>
      <c r="D372" s="33" t="s">
        <v>53</v>
      </c>
      <c r="E372" s="34">
        <v>2012.0</v>
      </c>
      <c r="F372" s="33" t="s">
        <v>1586</v>
      </c>
      <c r="G372" s="33" t="s">
        <v>1587</v>
      </c>
      <c r="H372" s="33" t="s">
        <v>1610</v>
      </c>
      <c r="I372" s="33" t="s">
        <v>1588</v>
      </c>
      <c r="J372" s="33" t="s">
        <v>1589</v>
      </c>
      <c r="K372" s="34">
        <v>78.0</v>
      </c>
      <c r="L372" s="34">
        <v>3.0</v>
      </c>
      <c r="M372" s="6" t="s">
        <v>1590</v>
      </c>
      <c r="N372" s="35" t="s">
        <v>60</v>
      </c>
      <c r="O372" s="33" t="s">
        <v>1605</v>
      </c>
      <c r="P372" s="36" t="s">
        <v>62</v>
      </c>
      <c r="Q372" s="36" t="s">
        <v>521</v>
      </c>
      <c r="R372" s="36" t="s">
        <v>1592</v>
      </c>
      <c r="S372" s="37">
        <v>12.087693</v>
      </c>
      <c r="T372" s="37">
        <v>-83.700095</v>
      </c>
      <c r="U372" s="36" t="s">
        <v>148</v>
      </c>
      <c r="V372" s="6" t="s">
        <v>275</v>
      </c>
      <c r="W372" s="33" t="s">
        <v>656</v>
      </c>
      <c r="X372" s="1" t="s">
        <v>278</v>
      </c>
      <c r="Y372" s="33" t="s">
        <v>279</v>
      </c>
      <c r="Z372" s="36"/>
      <c r="AA372" s="37">
        <v>2.0</v>
      </c>
      <c r="AB372" s="36"/>
      <c r="AC372" s="36"/>
      <c r="AD372" s="36"/>
      <c r="AE372" s="36"/>
      <c r="AF372" s="36"/>
      <c r="AG372" s="36"/>
      <c r="AH372" s="36" t="s">
        <v>1595</v>
      </c>
      <c r="AI372" s="37">
        <v>-1000.0</v>
      </c>
      <c r="AJ372" s="37">
        <v>2000.0</v>
      </c>
      <c r="AK372" s="6" t="s">
        <v>100</v>
      </c>
      <c r="AL372" s="6" t="s">
        <v>72</v>
      </c>
      <c r="AM372" s="6" t="s">
        <v>524</v>
      </c>
      <c r="AN372" s="6" t="s">
        <v>72</v>
      </c>
      <c r="AO372" s="33"/>
      <c r="AP372" s="6" t="s">
        <v>75</v>
      </c>
      <c r="AQ372" s="33"/>
      <c r="AR372" s="33"/>
      <c r="AS372" s="33"/>
      <c r="AT372" s="6" t="s">
        <v>76</v>
      </c>
      <c r="AU372" s="33"/>
      <c r="AV372" s="33"/>
      <c r="AW372" s="33"/>
      <c r="AX372" s="33"/>
      <c r="AY372" s="33"/>
      <c r="AZ372" s="6" t="s">
        <v>76</v>
      </c>
      <c r="BA372" s="33"/>
      <c r="BB372" s="33">
        <f>VLOOKUP(O372,Eco_DEM_Data!$D$1:$AC$643,20,False)</f>
        <v>2915</v>
      </c>
      <c r="BC372" s="33">
        <f>VLOOKUP($O372,Eco_DEM_Data!$D$1:$AC$643,20,False)</f>
        <v>2915</v>
      </c>
      <c r="BD372" s="33">
        <f>VLOOKUP($O372,Eco_DEM_Data!$D$1:$AC$643,25,False)</f>
        <v>1355</v>
      </c>
      <c r="BE372" s="33">
        <f>VLOOKUP($O372,Eco_DEM_Data!$D$1:$AC$643,22,False)</f>
        <v>37</v>
      </c>
      <c r="BF372" s="33">
        <f>VLOOKUP($O372,Eco_DEM_Data!$D$1:$AC$643,23,False)</f>
        <v>151</v>
      </c>
      <c r="BG372" s="33">
        <f>VLOOKUP($O372,Eco_DEM_Data!$D$1:$AC$643,21,False)</f>
        <v>6555</v>
      </c>
      <c r="BH372" s="33">
        <f>VLOOKUP($O372,Eco_DEM_Data!$D$1:$AC$643,26,False)</f>
        <v>1</v>
      </c>
      <c r="BI372" s="33" t="str">
        <f>VLOOKUP($O372,Eco_DEM_Data!$D$1:$AC$643,9,False)</f>
        <v>Mesoamerican Gulf-Caribbean mangroves</v>
      </c>
      <c r="BJ372" s="33" t="str">
        <f>VLOOKUP($O372,Eco_DEM_Data!$D$1:$AC$643,11,False)</f>
        <v>Mangroves</v>
      </c>
    </row>
    <row r="373">
      <c r="A373" s="33" t="s">
        <v>1585</v>
      </c>
      <c r="B373" s="33" t="s">
        <v>2259</v>
      </c>
      <c r="C373" s="34">
        <v>13.0</v>
      </c>
      <c r="D373" s="33" t="s">
        <v>53</v>
      </c>
      <c r="E373" s="34">
        <v>2012.0</v>
      </c>
      <c r="F373" s="33" t="s">
        <v>1586</v>
      </c>
      <c r="G373" s="33" t="s">
        <v>1587</v>
      </c>
      <c r="H373" s="33" t="s">
        <v>1610</v>
      </c>
      <c r="I373" s="33" t="s">
        <v>1588</v>
      </c>
      <c r="J373" s="33" t="s">
        <v>1589</v>
      </c>
      <c r="K373" s="34">
        <v>78.0</v>
      </c>
      <c r="L373" s="34">
        <v>3.0</v>
      </c>
      <c r="M373" s="6" t="s">
        <v>1590</v>
      </c>
      <c r="N373" s="35" t="s">
        <v>60</v>
      </c>
      <c r="O373" s="33" t="s">
        <v>1606</v>
      </c>
      <c r="P373" s="36" t="s">
        <v>62</v>
      </c>
      <c r="Q373" s="36" t="s">
        <v>521</v>
      </c>
      <c r="R373" s="36" t="s">
        <v>1592</v>
      </c>
      <c r="S373" s="37">
        <v>12.087693</v>
      </c>
      <c r="T373" s="37">
        <v>-83.700095</v>
      </c>
      <c r="U373" s="36" t="s">
        <v>148</v>
      </c>
      <c r="V373" s="6" t="s">
        <v>275</v>
      </c>
      <c r="W373" s="33" t="s">
        <v>656</v>
      </c>
      <c r="X373" s="1" t="s">
        <v>278</v>
      </c>
      <c r="Y373" s="33" t="s">
        <v>279</v>
      </c>
      <c r="Z373" s="36"/>
      <c r="AA373" s="37">
        <v>1.0</v>
      </c>
      <c r="AB373" s="36"/>
      <c r="AC373" s="36"/>
      <c r="AD373" s="36"/>
      <c r="AE373" s="36"/>
      <c r="AF373" s="36"/>
      <c r="AG373" s="36"/>
      <c r="AH373" s="36" t="s">
        <v>1595</v>
      </c>
      <c r="AI373" s="37">
        <v>1000.0</v>
      </c>
      <c r="AJ373" s="37">
        <v>2000.0</v>
      </c>
      <c r="AK373" s="6" t="s">
        <v>100</v>
      </c>
      <c r="AL373" s="6" t="s">
        <v>72</v>
      </c>
      <c r="AM373" s="6" t="s">
        <v>524</v>
      </c>
      <c r="AN373" s="6" t="s">
        <v>72</v>
      </c>
      <c r="AO373" s="33"/>
      <c r="AP373" s="6" t="s">
        <v>75</v>
      </c>
      <c r="AQ373" s="33"/>
      <c r="AR373" s="33"/>
      <c r="AS373" s="33"/>
      <c r="AT373" s="6" t="s">
        <v>76</v>
      </c>
      <c r="AU373" s="33"/>
      <c r="AV373" s="33"/>
      <c r="AW373" s="33"/>
      <c r="AX373" s="33"/>
      <c r="AY373" s="33"/>
      <c r="AZ373" s="6" t="s">
        <v>76</v>
      </c>
      <c r="BA373" s="33"/>
      <c r="BB373" s="33">
        <f>VLOOKUP(O373,Eco_DEM_Data!$D$1:$AC$643,20,False)</f>
        <v>2915</v>
      </c>
      <c r="BC373" s="33">
        <f>VLOOKUP($O373,Eco_DEM_Data!$D$1:$AC$643,20,False)</f>
        <v>2915</v>
      </c>
      <c r="BD373" s="33">
        <f>VLOOKUP($O373,Eco_DEM_Data!$D$1:$AC$643,25,False)</f>
        <v>1355</v>
      </c>
      <c r="BE373" s="33">
        <f>VLOOKUP($O373,Eco_DEM_Data!$D$1:$AC$643,22,False)</f>
        <v>37</v>
      </c>
      <c r="BF373" s="33">
        <f>VLOOKUP($O373,Eco_DEM_Data!$D$1:$AC$643,23,False)</f>
        <v>151</v>
      </c>
      <c r="BG373" s="33">
        <f>VLOOKUP($O373,Eco_DEM_Data!$D$1:$AC$643,21,False)</f>
        <v>6555</v>
      </c>
      <c r="BH373" s="33">
        <f>VLOOKUP($O373,Eco_DEM_Data!$D$1:$AC$643,26,False)</f>
        <v>1</v>
      </c>
      <c r="BI373" s="33" t="str">
        <f>VLOOKUP($O373,Eco_DEM_Data!$D$1:$AC$643,9,False)</f>
        <v>Mesoamerican Gulf-Caribbean mangroves</v>
      </c>
      <c r="BJ373" s="33" t="str">
        <f>VLOOKUP($O373,Eco_DEM_Data!$D$1:$AC$643,11,False)</f>
        <v>Mangroves</v>
      </c>
    </row>
    <row r="374">
      <c r="A374" s="33" t="s">
        <v>1585</v>
      </c>
      <c r="B374" s="33" t="s">
        <v>2259</v>
      </c>
      <c r="C374" s="34">
        <v>13.0</v>
      </c>
      <c r="D374" s="33" t="s">
        <v>53</v>
      </c>
      <c r="E374" s="34">
        <v>2012.0</v>
      </c>
      <c r="F374" s="33" t="s">
        <v>1586</v>
      </c>
      <c r="G374" s="33" t="s">
        <v>1587</v>
      </c>
      <c r="H374" s="33" t="s">
        <v>1610</v>
      </c>
      <c r="I374" s="33" t="s">
        <v>1588</v>
      </c>
      <c r="J374" s="33" t="s">
        <v>1589</v>
      </c>
      <c r="K374" s="34">
        <v>78.0</v>
      </c>
      <c r="L374" s="34">
        <v>3.0</v>
      </c>
      <c r="M374" s="6" t="s">
        <v>1590</v>
      </c>
      <c r="N374" s="35" t="s">
        <v>60</v>
      </c>
      <c r="O374" s="33" t="s">
        <v>1617</v>
      </c>
      <c r="P374" s="36" t="s">
        <v>62</v>
      </c>
      <c r="Q374" s="36" t="s">
        <v>521</v>
      </c>
      <c r="R374" s="36" t="s">
        <v>1592</v>
      </c>
      <c r="S374" s="37">
        <v>12.087693</v>
      </c>
      <c r="T374" s="37">
        <v>-83.700095</v>
      </c>
      <c r="U374" s="36" t="s">
        <v>148</v>
      </c>
      <c r="V374" s="6" t="s">
        <v>275</v>
      </c>
      <c r="W374" s="33" t="s">
        <v>656</v>
      </c>
      <c r="X374" s="1" t="s">
        <v>278</v>
      </c>
      <c r="Y374" s="33" t="s">
        <v>279</v>
      </c>
      <c r="Z374" s="37">
        <v>1.0</v>
      </c>
      <c r="AA374" s="37"/>
      <c r="AB374" s="36"/>
      <c r="AC374" s="36"/>
      <c r="AD374" s="36"/>
      <c r="AE374" s="36"/>
      <c r="AF374" s="36"/>
      <c r="AG374" s="36"/>
      <c r="AH374" s="36"/>
      <c r="AI374" s="36" t="s">
        <v>470</v>
      </c>
      <c r="AJ374" s="36" t="s">
        <v>470</v>
      </c>
      <c r="AK374" s="6" t="s">
        <v>100</v>
      </c>
      <c r="AL374" s="6" t="s">
        <v>72</v>
      </c>
      <c r="AM374" s="6" t="s">
        <v>524</v>
      </c>
      <c r="AN374" s="6" t="s">
        <v>72</v>
      </c>
      <c r="AO374" s="33"/>
      <c r="AP374" s="6" t="s">
        <v>75</v>
      </c>
      <c r="AQ374" s="33"/>
      <c r="AR374" s="33"/>
      <c r="AS374" s="33"/>
      <c r="AT374" s="6" t="s">
        <v>76</v>
      </c>
      <c r="AU374" s="33"/>
      <c r="AV374" s="33"/>
      <c r="AW374" s="33"/>
      <c r="AX374" s="33"/>
      <c r="AY374" s="33"/>
      <c r="AZ374" s="6" t="s">
        <v>76</v>
      </c>
      <c r="BA374" s="33"/>
      <c r="BB374" s="33">
        <f>VLOOKUP(O374,Eco_DEM_Data!$D$1:$AC$643,20,False)</f>
        <v>2915</v>
      </c>
      <c r="BC374" s="33">
        <f>VLOOKUP($O374,Eco_DEM_Data!$D$1:$AC$643,20,False)</f>
        <v>2915</v>
      </c>
      <c r="BD374" s="33">
        <f>VLOOKUP($O374,Eco_DEM_Data!$D$1:$AC$643,25,False)</f>
        <v>1355</v>
      </c>
      <c r="BE374" s="33">
        <f>VLOOKUP($O374,Eco_DEM_Data!$D$1:$AC$643,22,False)</f>
        <v>37</v>
      </c>
      <c r="BF374" s="33">
        <f>VLOOKUP($O374,Eco_DEM_Data!$D$1:$AC$643,23,False)</f>
        <v>151</v>
      </c>
      <c r="BG374" s="33">
        <f>VLOOKUP($O374,Eco_DEM_Data!$D$1:$AC$643,21,False)</f>
        <v>6555</v>
      </c>
      <c r="BH374" s="33">
        <f>VLOOKUP($O374,Eco_DEM_Data!$D$1:$AC$643,26,False)</f>
        <v>1</v>
      </c>
      <c r="BI374" s="33" t="str">
        <f>VLOOKUP($O374,Eco_DEM_Data!$D$1:$AC$643,9,False)</f>
        <v>Mesoamerican Gulf-Caribbean mangroves</v>
      </c>
      <c r="BJ374" s="33" t="str">
        <f>VLOOKUP($O374,Eco_DEM_Data!$D$1:$AC$643,11,False)</f>
        <v>Mangroves</v>
      </c>
    </row>
    <row r="375">
      <c r="A375" s="33" t="s">
        <v>1585</v>
      </c>
      <c r="B375" s="33" t="s">
        <v>2259</v>
      </c>
      <c r="C375" s="34">
        <v>13.0</v>
      </c>
      <c r="D375" s="33" t="s">
        <v>53</v>
      </c>
      <c r="E375" s="34">
        <v>2012.0</v>
      </c>
      <c r="F375" s="33" t="s">
        <v>1586</v>
      </c>
      <c r="G375" s="33" t="s">
        <v>1587</v>
      </c>
      <c r="H375" s="33" t="s">
        <v>1610</v>
      </c>
      <c r="I375" s="33" t="s">
        <v>1588</v>
      </c>
      <c r="J375" s="33" t="s">
        <v>1589</v>
      </c>
      <c r="K375" s="34">
        <v>78.0</v>
      </c>
      <c r="L375" s="34">
        <v>3.0</v>
      </c>
      <c r="M375" s="6" t="s">
        <v>1590</v>
      </c>
      <c r="N375" s="35" t="s">
        <v>60</v>
      </c>
      <c r="O375" s="33" t="s">
        <v>1619</v>
      </c>
      <c r="P375" s="36" t="s">
        <v>62</v>
      </c>
      <c r="Q375" s="36" t="s">
        <v>521</v>
      </c>
      <c r="R375" s="36" t="s">
        <v>1592</v>
      </c>
      <c r="S375" s="37">
        <v>12.087693</v>
      </c>
      <c r="T375" s="37">
        <v>-83.700095</v>
      </c>
      <c r="U375" s="36" t="s">
        <v>148</v>
      </c>
      <c r="V375" s="6" t="s">
        <v>275</v>
      </c>
      <c r="W375" s="33" t="s">
        <v>656</v>
      </c>
      <c r="X375" s="1" t="s">
        <v>278</v>
      </c>
      <c r="Y375" s="33" t="s">
        <v>279</v>
      </c>
      <c r="Z375" s="36"/>
      <c r="AA375" s="37">
        <v>4.0</v>
      </c>
      <c r="AB375" s="36"/>
      <c r="AC375" s="36"/>
      <c r="AD375" s="36"/>
      <c r="AE375" s="36"/>
      <c r="AF375" s="36"/>
      <c r="AG375" s="36"/>
      <c r="AH375" s="36" t="s">
        <v>1595</v>
      </c>
      <c r="AI375" s="37">
        <v>-4300.0</v>
      </c>
      <c r="AJ375" s="37">
        <v>2000.0</v>
      </c>
      <c r="AK375" s="6" t="s">
        <v>100</v>
      </c>
      <c r="AL375" s="6" t="s">
        <v>72</v>
      </c>
      <c r="AM375" s="6" t="s">
        <v>524</v>
      </c>
      <c r="AN375" s="6" t="s">
        <v>72</v>
      </c>
      <c r="AO375" s="33"/>
      <c r="AP375" s="6" t="s">
        <v>75</v>
      </c>
      <c r="AQ375" s="33"/>
      <c r="AR375" s="33"/>
      <c r="AS375" s="33"/>
      <c r="AT375" s="6" t="s">
        <v>76</v>
      </c>
      <c r="AU375" s="33"/>
      <c r="AV375" s="33"/>
      <c r="AW375" s="33"/>
      <c r="AX375" s="33"/>
      <c r="AY375" s="33"/>
      <c r="AZ375" s="6" t="s">
        <v>76</v>
      </c>
      <c r="BA375" s="33"/>
      <c r="BB375" s="33">
        <f>VLOOKUP(O375,Eco_DEM_Data!$D$1:$AC$643,20,False)</f>
        <v>2915</v>
      </c>
      <c r="BC375" s="33">
        <f>VLOOKUP($O375,Eco_DEM_Data!$D$1:$AC$643,20,False)</f>
        <v>2915</v>
      </c>
      <c r="BD375" s="33">
        <f>VLOOKUP($O375,Eco_DEM_Data!$D$1:$AC$643,25,False)</f>
        <v>1355</v>
      </c>
      <c r="BE375" s="33">
        <f>VLOOKUP($O375,Eco_DEM_Data!$D$1:$AC$643,22,False)</f>
        <v>37</v>
      </c>
      <c r="BF375" s="33">
        <f>VLOOKUP($O375,Eco_DEM_Data!$D$1:$AC$643,23,False)</f>
        <v>151</v>
      </c>
      <c r="BG375" s="33">
        <f>VLOOKUP($O375,Eco_DEM_Data!$D$1:$AC$643,21,False)</f>
        <v>6555</v>
      </c>
      <c r="BH375" s="33">
        <f>VLOOKUP($O375,Eco_DEM_Data!$D$1:$AC$643,26,False)</f>
        <v>1</v>
      </c>
      <c r="BI375" s="33" t="str">
        <f>VLOOKUP($O375,Eco_DEM_Data!$D$1:$AC$643,9,False)</f>
        <v>Mesoamerican Gulf-Caribbean mangroves</v>
      </c>
      <c r="BJ375" s="33" t="str">
        <f>VLOOKUP($O375,Eco_DEM_Data!$D$1:$AC$643,11,False)</f>
        <v>Mangroves</v>
      </c>
    </row>
    <row r="376">
      <c r="A376" s="33" t="s">
        <v>1585</v>
      </c>
      <c r="B376" s="33" t="s">
        <v>2259</v>
      </c>
      <c r="C376" s="34">
        <v>13.0</v>
      </c>
      <c r="D376" s="33" t="s">
        <v>53</v>
      </c>
      <c r="E376" s="34">
        <v>2012.0</v>
      </c>
      <c r="F376" s="33" t="s">
        <v>1586</v>
      </c>
      <c r="G376" s="33" t="s">
        <v>1587</v>
      </c>
      <c r="H376" s="33" t="s">
        <v>1610</v>
      </c>
      <c r="I376" s="33" t="s">
        <v>1588</v>
      </c>
      <c r="J376" s="33" t="s">
        <v>1589</v>
      </c>
      <c r="K376" s="34">
        <v>78.0</v>
      </c>
      <c r="L376" s="34">
        <v>3.0</v>
      </c>
      <c r="M376" s="6" t="s">
        <v>1590</v>
      </c>
      <c r="N376" s="35" t="s">
        <v>60</v>
      </c>
      <c r="O376" s="33" t="s">
        <v>1620</v>
      </c>
      <c r="P376" s="36" t="s">
        <v>62</v>
      </c>
      <c r="Q376" s="36" t="s">
        <v>521</v>
      </c>
      <c r="R376" s="36" t="s">
        <v>1592</v>
      </c>
      <c r="S376" s="37">
        <v>12.087693</v>
      </c>
      <c r="T376" s="37">
        <v>-83.700095</v>
      </c>
      <c r="U376" s="36" t="s">
        <v>148</v>
      </c>
      <c r="V376" s="38" t="s">
        <v>194</v>
      </c>
      <c r="W376" s="33" t="s">
        <v>656</v>
      </c>
      <c r="X376" s="1" t="s">
        <v>1598</v>
      </c>
      <c r="Y376" s="33" t="s">
        <v>70</v>
      </c>
      <c r="Z376" s="36"/>
      <c r="AA376" s="37">
        <v>2.0</v>
      </c>
      <c r="AB376" s="36"/>
      <c r="AC376" s="36"/>
      <c r="AD376" s="36"/>
      <c r="AE376" s="36"/>
      <c r="AF376" s="36"/>
      <c r="AG376" s="36"/>
      <c r="AH376" s="36" t="s">
        <v>1595</v>
      </c>
      <c r="AI376" s="37">
        <v>-1000.0</v>
      </c>
      <c r="AJ376" s="37">
        <v>2000.0</v>
      </c>
      <c r="AK376" s="6" t="s">
        <v>100</v>
      </c>
      <c r="AL376" s="6" t="s">
        <v>72</v>
      </c>
      <c r="AM376" s="6" t="s">
        <v>524</v>
      </c>
      <c r="AN376" s="6" t="s">
        <v>72</v>
      </c>
      <c r="AO376" s="33"/>
      <c r="AP376" s="6" t="s">
        <v>75</v>
      </c>
      <c r="AQ376" s="33"/>
      <c r="AR376" s="33"/>
      <c r="AS376" s="33"/>
      <c r="AT376" s="6" t="s">
        <v>76</v>
      </c>
      <c r="AU376" s="33"/>
      <c r="AV376" s="33"/>
      <c r="AW376" s="33"/>
      <c r="AX376" s="33"/>
      <c r="AY376" s="33"/>
      <c r="AZ376" s="6" t="s">
        <v>76</v>
      </c>
      <c r="BA376" s="33"/>
      <c r="BB376" s="33">
        <f>VLOOKUP(O376,Eco_DEM_Data!$D$1:$AC$643,20,False)</f>
        <v>2915</v>
      </c>
      <c r="BC376" s="33">
        <f>VLOOKUP($O376,Eco_DEM_Data!$D$1:$AC$643,20,False)</f>
        <v>2915</v>
      </c>
      <c r="BD376" s="33">
        <f>VLOOKUP($O376,Eco_DEM_Data!$D$1:$AC$643,25,False)</f>
        <v>1355</v>
      </c>
      <c r="BE376" s="33">
        <f>VLOOKUP($O376,Eco_DEM_Data!$D$1:$AC$643,22,False)</f>
        <v>37</v>
      </c>
      <c r="BF376" s="33">
        <f>VLOOKUP($O376,Eco_DEM_Data!$D$1:$AC$643,23,False)</f>
        <v>151</v>
      </c>
      <c r="BG376" s="33">
        <f>VLOOKUP($O376,Eco_DEM_Data!$D$1:$AC$643,21,False)</f>
        <v>6555</v>
      </c>
      <c r="BH376" s="33">
        <f>VLOOKUP($O376,Eco_DEM_Data!$D$1:$AC$643,26,False)</f>
        <v>1</v>
      </c>
      <c r="BI376" s="33" t="str">
        <f>VLOOKUP($O376,Eco_DEM_Data!$D$1:$AC$643,9,False)</f>
        <v>Mesoamerican Gulf-Caribbean mangroves</v>
      </c>
      <c r="BJ376" s="33" t="str">
        <f>VLOOKUP($O376,Eco_DEM_Data!$D$1:$AC$643,11,False)</f>
        <v>Mangroves</v>
      </c>
    </row>
    <row r="377">
      <c r="A377" s="33" t="s">
        <v>1585</v>
      </c>
      <c r="B377" s="33" t="s">
        <v>2259</v>
      </c>
      <c r="C377" s="34">
        <v>13.0</v>
      </c>
      <c r="D377" s="33" t="s">
        <v>53</v>
      </c>
      <c r="E377" s="34">
        <v>2012.0</v>
      </c>
      <c r="F377" s="33" t="s">
        <v>1586</v>
      </c>
      <c r="G377" s="33" t="s">
        <v>1587</v>
      </c>
      <c r="H377" s="33" t="s">
        <v>1610</v>
      </c>
      <c r="I377" s="33" t="s">
        <v>1588</v>
      </c>
      <c r="J377" s="33" t="s">
        <v>1589</v>
      </c>
      <c r="K377" s="34">
        <v>78.0</v>
      </c>
      <c r="L377" s="34">
        <v>3.0</v>
      </c>
      <c r="M377" s="6" t="s">
        <v>1590</v>
      </c>
      <c r="N377" s="35" t="s">
        <v>60</v>
      </c>
      <c r="O377" s="33" t="s">
        <v>1621</v>
      </c>
      <c r="P377" s="36" t="s">
        <v>62</v>
      </c>
      <c r="Q377" s="36" t="s">
        <v>521</v>
      </c>
      <c r="R377" s="36" t="s">
        <v>1592</v>
      </c>
      <c r="S377" s="37">
        <v>12.087693</v>
      </c>
      <c r="T377" s="37">
        <v>-83.700095</v>
      </c>
      <c r="U377" s="36" t="s">
        <v>148</v>
      </c>
      <c r="V377" s="38" t="s">
        <v>194</v>
      </c>
      <c r="W377" s="33" t="s">
        <v>656</v>
      </c>
      <c r="X377" s="1" t="s">
        <v>1598</v>
      </c>
      <c r="Y377" s="33" t="s">
        <v>70</v>
      </c>
      <c r="Z377" s="36"/>
      <c r="AA377" s="37">
        <v>1.0</v>
      </c>
      <c r="AB377" s="36"/>
      <c r="AC377" s="36"/>
      <c r="AD377" s="36"/>
      <c r="AE377" s="36"/>
      <c r="AF377" s="36"/>
      <c r="AG377" s="36"/>
      <c r="AH377" s="36" t="s">
        <v>1595</v>
      </c>
      <c r="AI377" s="37">
        <v>1000.0</v>
      </c>
      <c r="AJ377" s="37">
        <v>2000.0</v>
      </c>
      <c r="AK377" s="6" t="s">
        <v>100</v>
      </c>
      <c r="AL377" s="6" t="s">
        <v>72</v>
      </c>
      <c r="AM377" s="6" t="s">
        <v>524</v>
      </c>
      <c r="AN377" s="6" t="s">
        <v>72</v>
      </c>
      <c r="AO377" s="33"/>
      <c r="AP377" s="6" t="s">
        <v>75</v>
      </c>
      <c r="AQ377" s="33"/>
      <c r="AR377" s="33"/>
      <c r="AS377" s="33"/>
      <c r="AT377" s="6" t="s">
        <v>76</v>
      </c>
      <c r="AU377" s="33"/>
      <c r="AV377" s="33"/>
      <c r="AW377" s="33"/>
      <c r="AX377" s="33"/>
      <c r="AY377" s="33"/>
      <c r="AZ377" s="6" t="s">
        <v>76</v>
      </c>
      <c r="BA377" s="33"/>
      <c r="BB377" s="33">
        <f>VLOOKUP(O377,Eco_DEM_Data!$D$1:$AC$643,20,False)</f>
        <v>2915</v>
      </c>
      <c r="BC377" s="33">
        <f>VLOOKUP($O377,Eco_DEM_Data!$D$1:$AC$643,20,False)</f>
        <v>2915</v>
      </c>
      <c r="BD377" s="33">
        <f>VLOOKUP($O377,Eco_DEM_Data!$D$1:$AC$643,25,False)</f>
        <v>1355</v>
      </c>
      <c r="BE377" s="33">
        <f>VLOOKUP($O377,Eco_DEM_Data!$D$1:$AC$643,22,False)</f>
        <v>37</v>
      </c>
      <c r="BF377" s="33">
        <f>VLOOKUP($O377,Eco_DEM_Data!$D$1:$AC$643,23,False)</f>
        <v>151</v>
      </c>
      <c r="BG377" s="33">
        <f>VLOOKUP($O377,Eco_DEM_Data!$D$1:$AC$643,21,False)</f>
        <v>6555</v>
      </c>
      <c r="BH377" s="33">
        <f>VLOOKUP($O377,Eco_DEM_Data!$D$1:$AC$643,26,False)</f>
        <v>1</v>
      </c>
      <c r="BI377" s="33" t="str">
        <f>VLOOKUP($O377,Eco_DEM_Data!$D$1:$AC$643,9,False)</f>
        <v>Mesoamerican Gulf-Caribbean mangroves</v>
      </c>
      <c r="BJ377" s="33" t="str">
        <f>VLOOKUP($O377,Eco_DEM_Data!$D$1:$AC$643,11,False)</f>
        <v>Mangroves</v>
      </c>
    </row>
    <row r="378">
      <c r="A378" s="33" t="s">
        <v>1585</v>
      </c>
      <c r="B378" s="33" t="s">
        <v>2259</v>
      </c>
      <c r="C378" s="34">
        <v>13.0</v>
      </c>
      <c r="D378" s="33" t="s">
        <v>53</v>
      </c>
      <c r="E378" s="34">
        <v>2012.0</v>
      </c>
      <c r="F378" s="33" t="s">
        <v>1586</v>
      </c>
      <c r="G378" s="33" t="s">
        <v>1587</v>
      </c>
      <c r="H378" s="33" t="s">
        <v>1610</v>
      </c>
      <c r="I378" s="33" t="s">
        <v>1588</v>
      </c>
      <c r="J378" s="33" t="s">
        <v>1589</v>
      </c>
      <c r="K378" s="34">
        <v>78.0</v>
      </c>
      <c r="L378" s="34">
        <v>3.0</v>
      </c>
      <c r="M378" s="6" t="s">
        <v>1590</v>
      </c>
      <c r="N378" s="35" t="s">
        <v>60</v>
      </c>
      <c r="O378" s="33" t="s">
        <v>1622</v>
      </c>
      <c r="P378" s="36" t="s">
        <v>62</v>
      </c>
      <c r="Q378" s="36" t="s">
        <v>521</v>
      </c>
      <c r="R378" s="36" t="s">
        <v>1592</v>
      </c>
      <c r="S378" s="37">
        <v>12.087693</v>
      </c>
      <c r="T378" s="37">
        <v>-83.700095</v>
      </c>
      <c r="U378" s="36" t="s">
        <v>148</v>
      </c>
      <c r="V378" s="38" t="s">
        <v>194</v>
      </c>
      <c r="W378" s="33" t="s">
        <v>656</v>
      </c>
      <c r="X378" s="1" t="s">
        <v>1598</v>
      </c>
      <c r="Y378" s="33" t="s">
        <v>70</v>
      </c>
      <c r="Z378" s="37">
        <v>1.0</v>
      </c>
      <c r="AA378" s="37"/>
      <c r="AB378" s="36"/>
      <c r="AC378" s="36"/>
      <c r="AD378" s="36"/>
      <c r="AE378" s="36"/>
      <c r="AF378" s="36"/>
      <c r="AG378" s="36"/>
      <c r="AH378" s="36"/>
      <c r="AI378" s="36" t="s">
        <v>470</v>
      </c>
      <c r="AJ378" s="36" t="s">
        <v>470</v>
      </c>
      <c r="AK378" s="6" t="s">
        <v>100</v>
      </c>
      <c r="AL378" s="6" t="s">
        <v>72</v>
      </c>
      <c r="AM378" s="6" t="s">
        <v>524</v>
      </c>
      <c r="AN378" s="6" t="s">
        <v>72</v>
      </c>
      <c r="AO378" s="33"/>
      <c r="AP378" s="6" t="s">
        <v>75</v>
      </c>
      <c r="AQ378" s="33"/>
      <c r="AR378" s="33"/>
      <c r="AS378" s="33"/>
      <c r="AT378" s="6" t="s">
        <v>76</v>
      </c>
      <c r="AU378" s="33"/>
      <c r="AV378" s="33"/>
      <c r="AW378" s="33"/>
      <c r="AX378" s="33"/>
      <c r="AY378" s="33"/>
      <c r="AZ378" s="6" t="s">
        <v>76</v>
      </c>
      <c r="BA378" s="33"/>
      <c r="BB378" s="33">
        <f>VLOOKUP(O378,Eco_DEM_Data!$D$1:$AC$643,20,False)</f>
        <v>2915</v>
      </c>
      <c r="BC378" s="33">
        <f>VLOOKUP($O378,Eco_DEM_Data!$D$1:$AC$643,20,False)</f>
        <v>2915</v>
      </c>
      <c r="BD378" s="33">
        <f>VLOOKUP($O378,Eco_DEM_Data!$D$1:$AC$643,25,False)</f>
        <v>1355</v>
      </c>
      <c r="BE378" s="33">
        <f>VLOOKUP($O378,Eco_DEM_Data!$D$1:$AC$643,22,False)</f>
        <v>37</v>
      </c>
      <c r="BF378" s="33">
        <f>VLOOKUP($O378,Eco_DEM_Data!$D$1:$AC$643,23,False)</f>
        <v>151</v>
      </c>
      <c r="BG378" s="33">
        <f>VLOOKUP($O378,Eco_DEM_Data!$D$1:$AC$643,21,False)</f>
        <v>6555</v>
      </c>
      <c r="BH378" s="33">
        <f>VLOOKUP($O378,Eco_DEM_Data!$D$1:$AC$643,26,False)</f>
        <v>1</v>
      </c>
      <c r="BI378" s="33" t="str">
        <f>VLOOKUP($O378,Eco_DEM_Data!$D$1:$AC$643,9,False)</f>
        <v>Mesoamerican Gulf-Caribbean mangroves</v>
      </c>
      <c r="BJ378" s="33" t="str">
        <f>VLOOKUP($O378,Eco_DEM_Data!$D$1:$AC$643,11,False)</f>
        <v>Mangroves</v>
      </c>
    </row>
    <row r="379">
      <c r="A379" s="33" t="s">
        <v>1585</v>
      </c>
      <c r="B379" s="33" t="s">
        <v>2259</v>
      </c>
      <c r="C379" s="34">
        <v>13.0</v>
      </c>
      <c r="D379" s="33" t="s">
        <v>53</v>
      </c>
      <c r="E379" s="34">
        <v>2012.0</v>
      </c>
      <c r="F379" s="33" t="s">
        <v>1586</v>
      </c>
      <c r="G379" s="33" t="s">
        <v>1587</v>
      </c>
      <c r="H379" s="33" t="s">
        <v>1610</v>
      </c>
      <c r="I379" s="33" t="s">
        <v>1588</v>
      </c>
      <c r="J379" s="33" t="s">
        <v>1589</v>
      </c>
      <c r="K379" s="34">
        <v>78.0</v>
      </c>
      <c r="L379" s="34">
        <v>3.0</v>
      </c>
      <c r="M379" s="6" t="s">
        <v>1590</v>
      </c>
      <c r="N379" s="35" t="s">
        <v>60</v>
      </c>
      <c r="O379" s="33" t="s">
        <v>1623</v>
      </c>
      <c r="P379" s="36" t="s">
        <v>62</v>
      </c>
      <c r="Q379" s="36" t="s">
        <v>521</v>
      </c>
      <c r="R379" s="36" t="s">
        <v>1592</v>
      </c>
      <c r="S379" s="37">
        <v>12.087693</v>
      </c>
      <c r="T379" s="37">
        <v>-83.700095</v>
      </c>
      <c r="U379" s="36" t="s">
        <v>148</v>
      </c>
      <c r="V379" s="38" t="s">
        <v>194</v>
      </c>
      <c r="W379" s="33" t="s">
        <v>656</v>
      </c>
      <c r="X379" s="1" t="s">
        <v>1598</v>
      </c>
      <c r="Y379" s="33" t="s">
        <v>70</v>
      </c>
      <c r="Z379" s="36"/>
      <c r="AA379" s="37">
        <v>4.0</v>
      </c>
      <c r="AB379" s="36"/>
      <c r="AC379" s="36"/>
      <c r="AD379" s="36"/>
      <c r="AE379" s="36"/>
      <c r="AF379" s="36"/>
      <c r="AG379" s="36"/>
      <c r="AH379" s="36" t="s">
        <v>1595</v>
      </c>
      <c r="AI379" s="37">
        <v>-4300.0</v>
      </c>
      <c r="AJ379" s="37">
        <v>2000.0</v>
      </c>
      <c r="AK379" s="6" t="s">
        <v>100</v>
      </c>
      <c r="AL379" s="6" t="s">
        <v>72</v>
      </c>
      <c r="AM379" s="6" t="s">
        <v>524</v>
      </c>
      <c r="AN379" s="6" t="s">
        <v>72</v>
      </c>
      <c r="AO379" s="33"/>
      <c r="AP379" s="6" t="s">
        <v>75</v>
      </c>
      <c r="AQ379" s="33"/>
      <c r="AR379" s="33"/>
      <c r="AS379" s="33"/>
      <c r="AT379" s="6" t="s">
        <v>76</v>
      </c>
      <c r="AU379" s="33"/>
      <c r="AV379" s="33"/>
      <c r="AW379" s="33"/>
      <c r="AX379" s="33"/>
      <c r="AY379" s="33"/>
      <c r="AZ379" s="6" t="s">
        <v>76</v>
      </c>
      <c r="BA379" s="33"/>
      <c r="BB379" s="33">
        <f>VLOOKUP(O379,Eco_DEM_Data!$D$1:$AC$643,20,False)</f>
        <v>2915</v>
      </c>
      <c r="BC379" s="33">
        <f>VLOOKUP($O379,Eco_DEM_Data!$D$1:$AC$643,20,False)</f>
        <v>2915</v>
      </c>
      <c r="BD379" s="33">
        <f>VLOOKUP($O379,Eco_DEM_Data!$D$1:$AC$643,25,False)</f>
        <v>1355</v>
      </c>
      <c r="BE379" s="33">
        <f>VLOOKUP($O379,Eco_DEM_Data!$D$1:$AC$643,22,False)</f>
        <v>37</v>
      </c>
      <c r="BF379" s="33">
        <f>VLOOKUP($O379,Eco_DEM_Data!$D$1:$AC$643,23,False)</f>
        <v>151</v>
      </c>
      <c r="BG379" s="33">
        <f>VLOOKUP($O379,Eco_DEM_Data!$D$1:$AC$643,21,False)</f>
        <v>6555</v>
      </c>
      <c r="BH379" s="33">
        <f>VLOOKUP($O379,Eco_DEM_Data!$D$1:$AC$643,26,False)</f>
        <v>1</v>
      </c>
      <c r="BI379" s="33" t="str">
        <f>VLOOKUP($O379,Eco_DEM_Data!$D$1:$AC$643,9,False)</f>
        <v>Mesoamerican Gulf-Caribbean mangroves</v>
      </c>
      <c r="BJ379" s="33" t="str">
        <f>VLOOKUP($O379,Eco_DEM_Data!$D$1:$AC$643,11,False)</f>
        <v>Mangroves</v>
      </c>
    </row>
    <row r="380">
      <c r="A380" s="33" t="s">
        <v>1493</v>
      </c>
      <c r="B380" s="33" t="s">
        <v>2259</v>
      </c>
      <c r="C380" s="34">
        <v>1.0</v>
      </c>
      <c r="D380" s="33" t="s">
        <v>53</v>
      </c>
      <c r="E380" s="34">
        <v>2012.0</v>
      </c>
      <c r="F380" s="33" t="s">
        <v>1494</v>
      </c>
      <c r="G380" s="33" t="s">
        <v>1495</v>
      </c>
      <c r="H380" s="33" t="s">
        <v>1395</v>
      </c>
      <c r="I380" s="33" t="s">
        <v>1496</v>
      </c>
      <c r="J380" s="33" t="s">
        <v>1497</v>
      </c>
      <c r="K380" s="34">
        <v>109.0</v>
      </c>
      <c r="L380" s="34">
        <v>31.0</v>
      </c>
      <c r="M380" s="6" t="s">
        <v>1498</v>
      </c>
      <c r="N380" s="35" t="s">
        <v>76</v>
      </c>
      <c r="O380" s="33" t="s">
        <v>1493</v>
      </c>
      <c r="P380" s="36" t="s">
        <v>62</v>
      </c>
      <c r="Q380" s="36" t="s">
        <v>167</v>
      </c>
      <c r="R380" s="36" t="s">
        <v>1499</v>
      </c>
      <c r="S380" s="37">
        <v>17.224425</v>
      </c>
      <c r="T380" s="37">
        <v>-89.613073</v>
      </c>
      <c r="U380" s="36" t="s">
        <v>148</v>
      </c>
      <c r="V380" s="6" t="s">
        <v>275</v>
      </c>
      <c r="W380" s="33" t="s">
        <v>72</v>
      </c>
      <c r="X380" s="3" t="s">
        <v>72</v>
      </c>
      <c r="Y380" s="33" t="s">
        <v>279</v>
      </c>
      <c r="Z380" s="37">
        <v>1.0</v>
      </c>
      <c r="AA380" s="37">
        <v>1.0</v>
      </c>
      <c r="AB380" s="36"/>
      <c r="AC380" s="36"/>
      <c r="AD380" s="36"/>
      <c r="AE380" s="36"/>
      <c r="AF380" s="36"/>
      <c r="AG380" s="36"/>
      <c r="AH380" s="36" t="s">
        <v>1500</v>
      </c>
      <c r="AI380" s="37">
        <v>-7010.0</v>
      </c>
      <c r="AJ380" s="37">
        <v>1950.0</v>
      </c>
      <c r="AK380" s="6" t="s">
        <v>100</v>
      </c>
      <c r="AL380" s="6" t="s">
        <v>76</v>
      </c>
      <c r="AM380" s="6" t="s">
        <v>72</v>
      </c>
      <c r="AN380" s="6" t="s">
        <v>72</v>
      </c>
      <c r="AO380" s="33"/>
      <c r="AP380" s="6" t="s">
        <v>75</v>
      </c>
      <c r="AQ380" s="33"/>
      <c r="AR380" s="33"/>
      <c r="AS380" s="33"/>
      <c r="AT380" s="6" t="s">
        <v>76</v>
      </c>
      <c r="AU380" s="33"/>
      <c r="AV380" s="33"/>
      <c r="AW380" s="33"/>
      <c r="AX380" s="33"/>
      <c r="AY380" s="33"/>
      <c r="AZ380" s="6" t="s">
        <v>76</v>
      </c>
      <c r="BA380" s="33"/>
      <c r="BB380" s="33">
        <f>VLOOKUP(O380,Eco_DEM_Data!$D$1:$AC$643,20,False)</f>
        <v>1644</v>
      </c>
      <c r="BC380" s="33">
        <f>VLOOKUP($O380,Eco_DEM_Data!$D$1:$AC$643,20,False)</f>
        <v>1644</v>
      </c>
      <c r="BD380" s="33">
        <f>VLOOKUP($O380,Eco_DEM_Data!$D$1:$AC$643,25,False)</f>
        <v>633</v>
      </c>
      <c r="BE380" s="33">
        <f>VLOOKUP($O380,Eco_DEM_Data!$D$1:$AC$643,22,False)</f>
        <v>38</v>
      </c>
      <c r="BF380" s="33">
        <f>VLOOKUP($O380,Eco_DEM_Data!$D$1:$AC$643,23,False)</f>
        <v>135</v>
      </c>
      <c r="BG380" s="33">
        <f>VLOOKUP($O380,Eco_DEM_Data!$D$1:$AC$643,21,False)</f>
        <v>5432</v>
      </c>
      <c r="BH380" s="33">
        <f>VLOOKUP($O380,Eco_DEM_Data!$D$1:$AC$643,26,False)</f>
        <v>194</v>
      </c>
      <c r="BI380" s="33" t="str">
        <f>VLOOKUP($O380,Eco_DEM_Data!$D$1:$AC$643,9,False)</f>
        <v>Petén-Veracruz moist forests</v>
      </c>
      <c r="BJ380" s="33" t="str">
        <f>VLOOKUP($O380,Eco_DEM_Data!$D$1:$AC$643,11,False)</f>
        <v>Tropical &amp; Subtropical Moist Broadleaf Forests</v>
      </c>
    </row>
    <row r="381">
      <c r="A381" s="33" t="s">
        <v>435</v>
      </c>
      <c r="B381" s="33" t="s">
        <v>2258</v>
      </c>
      <c r="C381" s="34">
        <v>2.0</v>
      </c>
      <c r="D381" s="33" t="s">
        <v>53</v>
      </c>
      <c r="E381" s="34">
        <v>2013.0</v>
      </c>
      <c r="F381" s="33" t="s">
        <v>436</v>
      </c>
      <c r="G381" s="33" t="s">
        <v>437</v>
      </c>
      <c r="H381" s="33" t="s">
        <v>438</v>
      </c>
      <c r="I381" s="33" t="s">
        <v>439</v>
      </c>
      <c r="J381" s="33" t="s">
        <v>440</v>
      </c>
      <c r="K381" s="34">
        <v>14.0</v>
      </c>
      <c r="L381" s="34">
        <v>9.0</v>
      </c>
      <c r="M381" s="6" t="s">
        <v>441</v>
      </c>
      <c r="N381" s="35" t="s">
        <v>60</v>
      </c>
      <c r="O381" s="33" t="s">
        <v>442</v>
      </c>
      <c r="P381" s="36" t="s">
        <v>62</v>
      </c>
      <c r="Q381" s="36" t="s">
        <v>187</v>
      </c>
      <c r="R381" s="36" t="s">
        <v>443</v>
      </c>
      <c r="S381" s="37">
        <v>17.117188</v>
      </c>
      <c r="T381" s="37">
        <v>-88.890606</v>
      </c>
      <c r="U381" s="36" t="s">
        <v>94</v>
      </c>
      <c r="V381" s="6" t="s">
        <v>95</v>
      </c>
      <c r="W381" s="62" t="s">
        <v>444</v>
      </c>
      <c r="X381" s="3" t="s">
        <v>72</v>
      </c>
      <c r="Y381" s="6" t="s">
        <v>99</v>
      </c>
      <c r="Z381" s="37">
        <v>1.0</v>
      </c>
      <c r="AA381" s="37"/>
      <c r="AB381" s="36"/>
      <c r="AC381" s="36"/>
      <c r="AD381" s="36"/>
      <c r="AE381" s="36"/>
      <c r="AF381" s="36"/>
      <c r="AG381" s="36"/>
      <c r="AH381" s="36"/>
      <c r="AI381" s="37">
        <v>1978.0</v>
      </c>
      <c r="AJ381" s="37">
        <v>2001.0</v>
      </c>
      <c r="AK381" s="6" t="s">
        <v>100</v>
      </c>
      <c r="AL381" s="6" t="s">
        <v>72</v>
      </c>
      <c r="AM381" s="5" t="s">
        <v>72</v>
      </c>
      <c r="AN381" s="6" t="s">
        <v>101</v>
      </c>
      <c r="AO381" s="33"/>
      <c r="AP381" s="6" t="s">
        <v>102</v>
      </c>
      <c r="AQ381" s="33"/>
      <c r="AR381" s="33"/>
      <c r="AS381" s="33"/>
      <c r="AT381" s="6" t="s">
        <v>76</v>
      </c>
      <c r="AU381" s="33"/>
      <c r="AV381" s="33"/>
      <c r="AW381" s="33"/>
      <c r="AX381" s="33"/>
      <c r="AY381" s="33"/>
      <c r="AZ381" s="6" t="s">
        <v>76</v>
      </c>
      <c r="BA381" s="33"/>
      <c r="BB381" s="33">
        <f>VLOOKUP(O381,Eco_DEM_Data!$D$1:$AC$643,20,False)</f>
        <v>1849</v>
      </c>
      <c r="BC381" s="33">
        <f>VLOOKUP($O381,Eco_DEM_Data!$D$1:$AC$643,20,False)</f>
        <v>1849</v>
      </c>
      <c r="BD381" s="33">
        <f>VLOOKUP($O381,Eco_DEM_Data!$D$1:$AC$643,25,False)</f>
        <v>723</v>
      </c>
      <c r="BE381" s="33">
        <f>VLOOKUP($O381,Eco_DEM_Data!$D$1:$AC$643,22,False)</f>
        <v>44</v>
      </c>
      <c r="BF381" s="33">
        <f>VLOOKUP($O381,Eco_DEM_Data!$D$1:$AC$643,23,False)</f>
        <v>156</v>
      </c>
      <c r="BG381" s="33">
        <f>VLOOKUP($O381,Eco_DEM_Data!$D$1:$AC$643,21,False)</f>
        <v>5227</v>
      </c>
      <c r="BH381" s="33">
        <f>VLOOKUP($O381,Eco_DEM_Data!$D$1:$AC$643,26,False)</f>
        <v>194</v>
      </c>
      <c r="BI381" s="33" t="str">
        <f>VLOOKUP($O381,Eco_DEM_Data!$D$1:$AC$643,9,False)</f>
        <v>Belizian pine savannas</v>
      </c>
      <c r="BJ381" s="33" t="str">
        <f>VLOOKUP($O381,Eco_DEM_Data!$D$1:$AC$643,11,False)</f>
        <v>Tropical &amp; Subtropical Grasslands, Savannas &amp; Shrublands</v>
      </c>
    </row>
    <row r="382">
      <c r="A382" s="33" t="s">
        <v>435</v>
      </c>
      <c r="B382" s="33" t="s">
        <v>2258</v>
      </c>
      <c r="C382" s="34">
        <v>2.0</v>
      </c>
      <c r="D382" s="33" t="s">
        <v>53</v>
      </c>
      <c r="E382" s="34">
        <v>2013.0</v>
      </c>
      <c r="F382" s="33" t="s">
        <v>436</v>
      </c>
      <c r="G382" s="33" t="s">
        <v>437</v>
      </c>
      <c r="H382" s="33" t="s">
        <v>438</v>
      </c>
      <c r="I382" s="33" t="s">
        <v>439</v>
      </c>
      <c r="J382" s="33" t="s">
        <v>440</v>
      </c>
      <c r="K382" s="34">
        <v>14.0</v>
      </c>
      <c r="L382" s="34">
        <v>9.0</v>
      </c>
      <c r="M382" s="6" t="s">
        <v>441</v>
      </c>
      <c r="N382" s="35" t="s">
        <v>60</v>
      </c>
      <c r="O382" s="33" t="s">
        <v>458</v>
      </c>
      <c r="P382" s="36" t="s">
        <v>62</v>
      </c>
      <c r="Q382" s="36" t="s">
        <v>187</v>
      </c>
      <c r="R382" s="36" t="s">
        <v>443</v>
      </c>
      <c r="S382" s="37">
        <v>17.117188</v>
      </c>
      <c r="T382" s="37">
        <v>-88.890606</v>
      </c>
      <c r="U382" s="36" t="s">
        <v>94</v>
      </c>
      <c r="V382" s="6" t="s">
        <v>135</v>
      </c>
      <c r="W382" s="62" t="s">
        <v>444</v>
      </c>
      <c r="X382" s="3" t="s">
        <v>72</v>
      </c>
      <c r="Y382" s="6" t="s">
        <v>99</v>
      </c>
      <c r="Z382" s="37">
        <v>1.0</v>
      </c>
      <c r="AA382" s="37"/>
      <c r="AB382" s="36"/>
      <c r="AC382" s="36"/>
      <c r="AD382" s="36"/>
      <c r="AE382" s="36"/>
      <c r="AF382" s="36"/>
      <c r="AG382" s="36"/>
      <c r="AH382" s="36"/>
      <c r="AI382" s="37">
        <v>1978.0</v>
      </c>
      <c r="AJ382" s="37">
        <v>2001.0</v>
      </c>
      <c r="AK382" s="6" t="s">
        <v>100</v>
      </c>
      <c r="AL382" s="6" t="s">
        <v>72</v>
      </c>
      <c r="AM382" s="5" t="s">
        <v>72</v>
      </c>
      <c r="AN382" s="6" t="s">
        <v>101</v>
      </c>
      <c r="AO382" s="33"/>
      <c r="AP382" s="6" t="s">
        <v>102</v>
      </c>
      <c r="AQ382" s="33"/>
      <c r="AR382" s="33"/>
      <c r="AS382" s="33"/>
      <c r="AT382" s="6" t="s">
        <v>76</v>
      </c>
      <c r="AU382" s="33"/>
      <c r="AV382" s="33"/>
      <c r="AW382" s="33"/>
      <c r="AX382" s="33"/>
      <c r="AY382" s="33"/>
      <c r="AZ382" s="6" t="s">
        <v>76</v>
      </c>
      <c r="BA382" s="33"/>
      <c r="BB382" s="33">
        <f>VLOOKUP(O382,Eco_DEM_Data!$D$1:$AC$643,20,False)</f>
        <v>1849</v>
      </c>
      <c r="BC382" s="33">
        <f>VLOOKUP($O382,Eco_DEM_Data!$D$1:$AC$643,20,False)</f>
        <v>1849</v>
      </c>
      <c r="BD382" s="33">
        <f>VLOOKUP($O382,Eco_DEM_Data!$D$1:$AC$643,25,False)</f>
        <v>723</v>
      </c>
      <c r="BE382" s="33">
        <f>VLOOKUP($O382,Eco_DEM_Data!$D$1:$AC$643,22,False)</f>
        <v>44</v>
      </c>
      <c r="BF382" s="33">
        <f>VLOOKUP($O382,Eco_DEM_Data!$D$1:$AC$643,23,False)</f>
        <v>156</v>
      </c>
      <c r="BG382" s="33">
        <f>VLOOKUP($O382,Eco_DEM_Data!$D$1:$AC$643,21,False)</f>
        <v>5227</v>
      </c>
      <c r="BH382" s="33">
        <f>VLOOKUP($O382,Eco_DEM_Data!$D$1:$AC$643,26,False)</f>
        <v>194</v>
      </c>
      <c r="BI382" s="33" t="str">
        <f>VLOOKUP($O382,Eco_DEM_Data!$D$1:$AC$643,9,False)</f>
        <v>Belizian pine savannas</v>
      </c>
      <c r="BJ382" s="33" t="str">
        <f>VLOOKUP($O382,Eco_DEM_Data!$D$1:$AC$643,11,False)</f>
        <v>Tropical &amp; Subtropical Grasslands, Savannas &amp; Shrublands</v>
      </c>
    </row>
    <row r="383">
      <c r="A383" s="33" t="s">
        <v>2119</v>
      </c>
      <c r="B383" s="33" t="s">
        <v>2259</v>
      </c>
      <c r="C383" s="34">
        <v>2.0</v>
      </c>
      <c r="D383" s="33" t="s">
        <v>268</v>
      </c>
      <c r="E383" s="34">
        <v>2013.0</v>
      </c>
      <c r="F383" s="33" t="s">
        <v>2120</v>
      </c>
      <c r="G383" s="45" t="s">
        <v>2121</v>
      </c>
      <c r="H383" s="46"/>
      <c r="I383" s="33"/>
      <c r="J383" s="33" t="s">
        <v>2122</v>
      </c>
      <c r="K383" s="34">
        <v>23.0</v>
      </c>
      <c r="L383" s="33"/>
      <c r="M383" s="6" t="s">
        <v>2123</v>
      </c>
      <c r="N383" s="35" t="s">
        <v>60</v>
      </c>
      <c r="O383" s="33" t="s">
        <v>2124</v>
      </c>
      <c r="P383" s="36" t="s">
        <v>62</v>
      </c>
      <c r="Q383" s="36" t="s">
        <v>187</v>
      </c>
      <c r="R383" s="36" t="s">
        <v>2125</v>
      </c>
      <c r="S383" s="37">
        <v>17.666667</v>
      </c>
      <c r="T383" s="37">
        <v>-88.666667</v>
      </c>
      <c r="U383" s="36" t="s">
        <v>148</v>
      </c>
      <c r="V383" s="6" t="s">
        <v>80</v>
      </c>
      <c r="W383" s="33" t="s">
        <v>156</v>
      </c>
      <c r="X383" s="1" t="s">
        <v>1302</v>
      </c>
      <c r="Y383" s="33" t="s">
        <v>70</v>
      </c>
      <c r="Z383" s="36"/>
      <c r="AA383" s="37">
        <v>6.0</v>
      </c>
      <c r="AB383" s="36"/>
      <c r="AC383" s="36"/>
      <c r="AD383" s="36"/>
      <c r="AE383" s="36"/>
      <c r="AF383" s="36"/>
      <c r="AG383" s="36"/>
      <c r="AH383" s="36" t="s">
        <v>2126</v>
      </c>
      <c r="AI383" s="37">
        <v>-1630.0</v>
      </c>
      <c r="AJ383" s="37">
        <v>1500.0</v>
      </c>
      <c r="AK383" s="6" t="s">
        <v>73</v>
      </c>
      <c r="AL383" s="6" t="s">
        <v>60</v>
      </c>
      <c r="AM383" s="6" t="s">
        <v>72</v>
      </c>
      <c r="AN383" s="6" t="s">
        <v>72</v>
      </c>
      <c r="AO383" s="33"/>
      <c r="AP383" s="6" t="s">
        <v>576</v>
      </c>
      <c r="AQ383" s="33"/>
      <c r="AR383" s="33"/>
      <c r="AS383" s="33"/>
      <c r="AT383" s="6" t="s">
        <v>76</v>
      </c>
      <c r="AU383" s="33"/>
      <c r="AV383" s="33"/>
      <c r="AW383" s="33"/>
      <c r="AX383" s="33"/>
      <c r="AY383" s="33"/>
      <c r="AZ383" s="6" t="s">
        <v>76</v>
      </c>
      <c r="BA383" s="33"/>
      <c r="BB383" s="33">
        <f>VLOOKUP(O383,Eco_DEM_Data!$D$1:$AC$643,20,False)</f>
        <v>1741</v>
      </c>
      <c r="BC383" s="33">
        <f>VLOOKUP($O383,Eco_DEM_Data!$D$1:$AC$643,20,False)</f>
        <v>1741</v>
      </c>
      <c r="BD383" s="33">
        <f>VLOOKUP($O383,Eco_DEM_Data!$D$1:$AC$643,25,False)</f>
        <v>685</v>
      </c>
      <c r="BE383" s="33">
        <f>VLOOKUP($O383,Eco_DEM_Data!$D$1:$AC$643,22,False)</f>
        <v>45</v>
      </c>
      <c r="BF383" s="33">
        <f>VLOOKUP($O383,Eco_DEM_Data!$D$1:$AC$643,23,False)</f>
        <v>155</v>
      </c>
      <c r="BG383" s="33">
        <f>VLOOKUP($O383,Eco_DEM_Data!$D$1:$AC$643,21,False)</f>
        <v>5285</v>
      </c>
      <c r="BH383" s="33">
        <f>VLOOKUP($O383,Eco_DEM_Data!$D$1:$AC$643,26,False)</f>
        <v>42</v>
      </c>
      <c r="BI383" s="33" t="str">
        <f>VLOOKUP($O383,Eco_DEM_Data!$D$1:$AC$643,9,False)</f>
        <v>Petén-Veracruz moist forests</v>
      </c>
      <c r="BJ383" s="33" t="str">
        <f>VLOOKUP($O383,Eco_DEM_Data!$D$1:$AC$643,11,False)</f>
        <v>Tropical &amp; Subtropical Moist Broadleaf Forests</v>
      </c>
    </row>
    <row r="384">
      <c r="A384" s="33" t="s">
        <v>2119</v>
      </c>
      <c r="B384" s="33" t="s">
        <v>2259</v>
      </c>
      <c r="C384" s="34">
        <v>2.0</v>
      </c>
      <c r="D384" s="33" t="s">
        <v>268</v>
      </c>
      <c r="E384" s="34">
        <v>2013.0</v>
      </c>
      <c r="F384" s="33" t="s">
        <v>2120</v>
      </c>
      <c r="G384" s="45" t="s">
        <v>2121</v>
      </c>
      <c r="H384" s="46"/>
      <c r="I384" s="33"/>
      <c r="J384" s="33" t="s">
        <v>2122</v>
      </c>
      <c r="K384" s="34">
        <v>23.0</v>
      </c>
      <c r="L384" s="33"/>
      <c r="M384" s="6" t="s">
        <v>2123</v>
      </c>
      <c r="N384" s="35" t="s">
        <v>60</v>
      </c>
      <c r="O384" s="33" t="s">
        <v>2127</v>
      </c>
      <c r="P384" s="36" t="s">
        <v>62</v>
      </c>
      <c r="Q384" s="36" t="s">
        <v>187</v>
      </c>
      <c r="R384" s="36" t="s">
        <v>2125</v>
      </c>
      <c r="S384" s="37">
        <v>17.666667</v>
      </c>
      <c r="T384" s="37">
        <v>-88.666667</v>
      </c>
      <c r="U384" s="36" t="s">
        <v>148</v>
      </c>
      <c r="V384" s="38" t="s">
        <v>66</v>
      </c>
      <c r="W384" s="41" t="s">
        <v>823</v>
      </c>
      <c r="X384" s="7" t="s">
        <v>2128</v>
      </c>
      <c r="Y384" s="5" t="s">
        <v>928</v>
      </c>
      <c r="Z384" s="43"/>
      <c r="AA384" s="42">
        <v>6.0</v>
      </c>
      <c r="AB384" s="43"/>
      <c r="AC384" s="43"/>
      <c r="AD384" s="43"/>
      <c r="AE384" s="43"/>
      <c r="AF384" s="43"/>
      <c r="AG384" s="43"/>
      <c r="AH384" s="43" t="s">
        <v>2126</v>
      </c>
      <c r="AI384" s="42">
        <v>-1630.0</v>
      </c>
      <c r="AJ384" s="42">
        <v>1500.0</v>
      </c>
      <c r="AK384" s="5" t="s">
        <v>73</v>
      </c>
      <c r="AL384" s="5" t="s">
        <v>60</v>
      </c>
      <c r="AM384" s="5" t="s">
        <v>72</v>
      </c>
      <c r="AN384" s="5" t="s">
        <v>72</v>
      </c>
      <c r="AO384" s="41"/>
      <c r="AP384" s="5" t="s">
        <v>576</v>
      </c>
      <c r="AQ384" s="41"/>
      <c r="AR384" s="41"/>
      <c r="AS384" s="41"/>
      <c r="AT384" s="5" t="s">
        <v>60</v>
      </c>
      <c r="AU384" s="33"/>
      <c r="AV384" s="33"/>
      <c r="AW384" s="33"/>
      <c r="AX384" s="33"/>
      <c r="AY384" s="33"/>
      <c r="AZ384" s="6" t="s">
        <v>76</v>
      </c>
      <c r="BA384" s="33"/>
      <c r="BB384" s="33">
        <f>VLOOKUP(O384,Eco_DEM_Data!$D$1:$AC$643,20,False)</f>
        <v>1741</v>
      </c>
      <c r="BC384" s="33">
        <f>VLOOKUP($O384,Eco_DEM_Data!$D$1:$AC$643,20,False)</f>
        <v>1741</v>
      </c>
      <c r="BD384" s="33">
        <f>VLOOKUP($O384,Eco_DEM_Data!$D$1:$AC$643,25,False)</f>
        <v>685</v>
      </c>
      <c r="BE384" s="33">
        <f>VLOOKUP($O384,Eco_DEM_Data!$D$1:$AC$643,22,False)</f>
        <v>45</v>
      </c>
      <c r="BF384" s="33">
        <f>VLOOKUP($O384,Eco_DEM_Data!$D$1:$AC$643,23,False)</f>
        <v>155</v>
      </c>
      <c r="BG384" s="33">
        <f>VLOOKUP($O384,Eco_DEM_Data!$D$1:$AC$643,21,False)</f>
        <v>5285</v>
      </c>
      <c r="BH384" s="33">
        <f>VLOOKUP($O384,Eco_DEM_Data!$D$1:$AC$643,26,False)</f>
        <v>42</v>
      </c>
      <c r="BI384" s="33" t="str">
        <f>VLOOKUP($O384,Eco_DEM_Data!$D$1:$AC$643,9,False)</f>
        <v>Petén-Veracruz moist forests</v>
      </c>
      <c r="BJ384" s="33" t="str">
        <f>VLOOKUP($O384,Eco_DEM_Data!$D$1:$AC$643,11,False)</f>
        <v>Tropical &amp; Subtropical Moist Broadleaf Forests</v>
      </c>
    </row>
    <row r="385">
      <c r="A385" s="33" t="s">
        <v>950</v>
      </c>
      <c r="B385" s="33" t="s">
        <v>2259</v>
      </c>
      <c r="C385" s="34">
        <v>4.0</v>
      </c>
      <c r="D385" s="33" t="s">
        <v>53</v>
      </c>
      <c r="E385" s="34">
        <v>2013.0</v>
      </c>
      <c r="F385" s="33" t="s">
        <v>951</v>
      </c>
      <c r="G385" s="33" t="s">
        <v>952</v>
      </c>
      <c r="H385" s="33" t="s">
        <v>732</v>
      </c>
      <c r="I385" s="33" t="s">
        <v>953</v>
      </c>
      <c r="J385" s="33" t="s">
        <v>954</v>
      </c>
      <c r="K385" s="34">
        <v>50.0</v>
      </c>
      <c r="L385" s="34">
        <v>1.0</v>
      </c>
      <c r="M385" s="6" t="s">
        <v>955</v>
      </c>
      <c r="N385" s="35" t="s">
        <v>60</v>
      </c>
      <c r="O385" s="33" t="s">
        <v>956</v>
      </c>
      <c r="P385" s="36" t="s">
        <v>62</v>
      </c>
      <c r="Q385" s="36" t="s">
        <v>521</v>
      </c>
      <c r="R385" s="36" t="s">
        <v>957</v>
      </c>
      <c r="S385" s="37">
        <v>11.311111</v>
      </c>
      <c r="T385" s="37">
        <v>-85.134722</v>
      </c>
      <c r="U385" s="36" t="s">
        <v>148</v>
      </c>
      <c r="V385" s="38" t="s">
        <v>149</v>
      </c>
      <c r="W385" s="6" t="s">
        <v>958</v>
      </c>
      <c r="X385" s="1" t="s">
        <v>959</v>
      </c>
      <c r="Y385" s="33" t="s">
        <v>70</v>
      </c>
      <c r="Z385" s="36"/>
      <c r="AA385" s="37">
        <v>10.0</v>
      </c>
      <c r="AB385" s="36"/>
      <c r="AC385" s="36"/>
      <c r="AD385" s="36"/>
      <c r="AE385" s="36"/>
      <c r="AF385" s="36"/>
      <c r="AG385" s="36"/>
      <c r="AH385" s="36" t="s">
        <v>960</v>
      </c>
      <c r="AI385" s="37">
        <v>-3639.0</v>
      </c>
      <c r="AJ385" s="37">
        <v>1950.0</v>
      </c>
      <c r="AK385" s="6" t="s">
        <v>73</v>
      </c>
      <c r="AL385" s="6" t="s">
        <v>76</v>
      </c>
      <c r="AM385" s="6" t="s">
        <v>524</v>
      </c>
      <c r="AN385" s="6" t="s">
        <v>72</v>
      </c>
      <c r="AO385" s="33"/>
      <c r="AP385" s="6" t="s">
        <v>75</v>
      </c>
      <c r="AQ385" s="33"/>
      <c r="AR385" s="33"/>
      <c r="AS385" s="33"/>
      <c r="AT385" s="6" t="s">
        <v>76</v>
      </c>
      <c r="AU385" s="33"/>
      <c r="AV385" s="33"/>
      <c r="AW385" s="33"/>
      <c r="AX385" s="33"/>
      <c r="AY385" s="33"/>
      <c r="AZ385" s="6" t="s">
        <v>76</v>
      </c>
      <c r="BA385" s="33"/>
      <c r="BB385" s="33">
        <f>VLOOKUP(O385,Eco_DEM_Data!$D$1:$AC$643,20,False)</f>
        <v>1975</v>
      </c>
      <c r="BC385" s="33">
        <f>VLOOKUP($O385,Eco_DEM_Data!$D$1:$AC$643,20,False)</f>
        <v>1975</v>
      </c>
      <c r="BD385" s="33">
        <f>VLOOKUP($O385,Eco_DEM_Data!$D$1:$AC$643,25,False)</f>
        <v>950</v>
      </c>
      <c r="BE385" s="33">
        <f>VLOOKUP($O385,Eco_DEM_Data!$D$1:$AC$643,22,False)</f>
        <v>16</v>
      </c>
      <c r="BF385" s="33">
        <f>VLOOKUP($O385,Eco_DEM_Data!$D$1:$AC$643,23,False)</f>
        <v>67</v>
      </c>
      <c r="BG385" s="33">
        <f>VLOOKUP($O385,Eco_DEM_Data!$D$1:$AC$643,21,False)</f>
        <v>7984</v>
      </c>
      <c r="BH385" s="33">
        <f>VLOOKUP($O385,Eco_DEM_Data!$D$1:$AC$643,26,False)</f>
        <v>31</v>
      </c>
      <c r="BI385" s="33" t="str">
        <f>VLOOKUP($O385,Eco_DEM_Data!$D$1:$AC$643,9,False)</f>
        <v>Isthmian-Atlantic moist forests</v>
      </c>
      <c r="BJ385" s="33" t="str">
        <f>VLOOKUP($O385,Eco_DEM_Data!$D$1:$AC$643,11,False)</f>
        <v>Tropical &amp; Subtropical Moist Broadleaf Forests</v>
      </c>
    </row>
    <row r="386">
      <c r="A386" s="33" t="s">
        <v>950</v>
      </c>
      <c r="B386" s="33" t="s">
        <v>2259</v>
      </c>
      <c r="C386" s="34">
        <v>4.0</v>
      </c>
      <c r="D386" s="33" t="s">
        <v>53</v>
      </c>
      <c r="E386" s="34">
        <v>2013.0</v>
      </c>
      <c r="F386" s="33" t="s">
        <v>951</v>
      </c>
      <c r="G386" s="33" t="s">
        <v>952</v>
      </c>
      <c r="H386" s="33" t="s">
        <v>732</v>
      </c>
      <c r="I386" s="33" t="s">
        <v>953</v>
      </c>
      <c r="J386" s="33" t="s">
        <v>954</v>
      </c>
      <c r="K386" s="34">
        <v>50.0</v>
      </c>
      <c r="L386" s="34">
        <v>1.0</v>
      </c>
      <c r="M386" s="6" t="s">
        <v>955</v>
      </c>
      <c r="N386" s="35" t="s">
        <v>60</v>
      </c>
      <c r="O386" s="33" t="s">
        <v>961</v>
      </c>
      <c r="P386" s="36" t="s">
        <v>62</v>
      </c>
      <c r="Q386" s="36" t="s">
        <v>521</v>
      </c>
      <c r="R386" s="36" t="s">
        <v>957</v>
      </c>
      <c r="S386" s="37">
        <v>11.311111</v>
      </c>
      <c r="T386" s="37">
        <v>-85.134722</v>
      </c>
      <c r="U386" s="36" t="s">
        <v>148</v>
      </c>
      <c r="V386" s="38" t="s">
        <v>194</v>
      </c>
      <c r="W386" s="33" t="s">
        <v>173</v>
      </c>
      <c r="X386" s="1" t="s">
        <v>962</v>
      </c>
      <c r="Y386" s="33" t="s">
        <v>70</v>
      </c>
      <c r="Z386" s="36"/>
      <c r="AA386" s="37">
        <v>10.0</v>
      </c>
      <c r="AB386" s="36"/>
      <c r="AC386" s="36"/>
      <c r="AD386" s="36"/>
      <c r="AE386" s="36"/>
      <c r="AF386" s="36"/>
      <c r="AG386" s="36"/>
      <c r="AH386" s="36" t="s">
        <v>960</v>
      </c>
      <c r="AI386" s="37">
        <v>-3639.0</v>
      </c>
      <c r="AJ386" s="37">
        <v>1950.0</v>
      </c>
      <c r="AK386" s="6" t="s">
        <v>73</v>
      </c>
      <c r="AL386" s="6" t="s">
        <v>76</v>
      </c>
      <c r="AM386" s="6" t="s">
        <v>524</v>
      </c>
      <c r="AN386" s="6" t="s">
        <v>72</v>
      </c>
      <c r="AO386" s="33"/>
      <c r="AP386" s="6" t="s">
        <v>75</v>
      </c>
      <c r="AQ386" s="33"/>
      <c r="AR386" s="33"/>
      <c r="AS386" s="33"/>
      <c r="AT386" s="6" t="s">
        <v>76</v>
      </c>
      <c r="AU386" s="33"/>
      <c r="AV386" s="33"/>
      <c r="AW386" s="33"/>
      <c r="AX386" s="33"/>
      <c r="AY386" s="33"/>
      <c r="AZ386" s="6" t="s">
        <v>76</v>
      </c>
      <c r="BA386" s="33"/>
      <c r="BB386" s="33">
        <f>VLOOKUP(O386,Eco_DEM_Data!$D$1:$AC$643,20,False)</f>
        <v>1975</v>
      </c>
      <c r="BC386" s="33">
        <f>VLOOKUP($O386,Eco_DEM_Data!$D$1:$AC$643,20,False)</f>
        <v>1975</v>
      </c>
      <c r="BD386" s="33">
        <f>VLOOKUP($O386,Eco_DEM_Data!$D$1:$AC$643,25,False)</f>
        <v>950</v>
      </c>
      <c r="BE386" s="33">
        <f>VLOOKUP($O386,Eco_DEM_Data!$D$1:$AC$643,22,False)</f>
        <v>16</v>
      </c>
      <c r="BF386" s="33">
        <f>VLOOKUP($O386,Eco_DEM_Data!$D$1:$AC$643,23,False)</f>
        <v>67</v>
      </c>
      <c r="BG386" s="33">
        <f>VLOOKUP($O386,Eco_DEM_Data!$D$1:$AC$643,21,False)</f>
        <v>7984</v>
      </c>
      <c r="BH386" s="33">
        <f>VLOOKUP($O386,Eco_DEM_Data!$D$1:$AC$643,26,False)</f>
        <v>31</v>
      </c>
      <c r="BI386" s="33" t="str">
        <f>VLOOKUP($O386,Eco_DEM_Data!$D$1:$AC$643,9,False)</f>
        <v>Isthmian-Atlantic moist forests</v>
      </c>
      <c r="BJ386" s="33" t="str">
        <f>VLOOKUP($O386,Eco_DEM_Data!$D$1:$AC$643,11,False)</f>
        <v>Tropical &amp; Subtropical Moist Broadleaf Forests</v>
      </c>
    </row>
    <row r="387">
      <c r="A387" s="33" t="s">
        <v>950</v>
      </c>
      <c r="B387" s="33" t="s">
        <v>2259</v>
      </c>
      <c r="C387" s="34">
        <v>4.0</v>
      </c>
      <c r="D387" s="33" t="s">
        <v>53</v>
      </c>
      <c r="E387" s="34">
        <v>2013.0</v>
      </c>
      <c r="F387" s="33" t="s">
        <v>951</v>
      </c>
      <c r="G387" s="33" t="s">
        <v>952</v>
      </c>
      <c r="H387" s="33" t="s">
        <v>732</v>
      </c>
      <c r="I387" s="33" t="s">
        <v>953</v>
      </c>
      <c r="J387" s="33" t="s">
        <v>954</v>
      </c>
      <c r="K387" s="34">
        <v>50.0</v>
      </c>
      <c r="L387" s="34">
        <v>1.0</v>
      </c>
      <c r="M387" s="6" t="s">
        <v>955</v>
      </c>
      <c r="N387" s="35" t="s">
        <v>60</v>
      </c>
      <c r="O387" s="33" t="s">
        <v>963</v>
      </c>
      <c r="P387" s="36" t="s">
        <v>62</v>
      </c>
      <c r="Q387" s="36" t="s">
        <v>521</v>
      </c>
      <c r="R387" s="36" t="s">
        <v>957</v>
      </c>
      <c r="S387" s="37">
        <v>11.311111</v>
      </c>
      <c r="T387" s="37">
        <v>-85.134722</v>
      </c>
      <c r="U387" s="36" t="s">
        <v>148</v>
      </c>
      <c r="V387" s="38" t="s">
        <v>964</v>
      </c>
      <c r="W387" s="33" t="s">
        <v>173</v>
      </c>
      <c r="X387" s="1" t="s">
        <v>965</v>
      </c>
      <c r="Y387" s="33" t="s">
        <v>70</v>
      </c>
      <c r="Z387" s="36"/>
      <c r="AA387" s="37">
        <v>10.0</v>
      </c>
      <c r="AB387" s="36"/>
      <c r="AC387" s="36"/>
      <c r="AD387" s="36"/>
      <c r="AE387" s="36"/>
      <c r="AF387" s="36"/>
      <c r="AG387" s="36"/>
      <c r="AH387" s="36" t="s">
        <v>960</v>
      </c>
      <c r="AI387" s="37">
        <v>-3639.0</v>
      </c>
      <c r="AJ387" s="37">
        <v>1950.0</v>
      </c>
      <c r="AK387" s="6" t="s">
        <v>73</v>
      </c>
      <c r="AL387" s="6" t="s">
        <v>76</v>
      </c>
      <c r="AM387" s="6" t="s">
        <v>524</v>
      </c>
      <c r="AN387" s="6" t="s">
        <v>72</v>
      </c>
      <c r="AO387" s="33"/>
      <c r="AP387" s="6" t="s">
        <v>75</v>
      </c>
      <c r="AQ387" s="33"/>
      <c r="AR387" s="33"/>
      <c r="AS387" s="33"/>
      <c r="AT387" s="6" t="s">
        <v>76</v>
      </c>
      <c r="AU387" s="33"/>
      <c r="AV387" s="33"/>
      <c r="AW387" s="33"/>
      <c r="AX387" s="33"/>
      <c r="AY387" s="33"/>
      <c r="AZ387" s="6" t="s">
        <v>76</v>
      </c>
      <c r="BA387" s="33"/>
      <c r="BB387" s="33">
        <f>VLOOKUP(O387,Eco_DEM_Data!$D$1:$AC$643,20,False)</f>
        <v>1975</v>
      </c>
      <c r="BC387" s="33">
        <f>VLOOKUP($O387,Eco_DEM_Data!$D$1:$AC$643,20,False)</f>
        <v>1975</v>
      </c>
      <c r="BD387" s="33">
        <f>VLOOKUP($O387,Eco_DEM_Data!$D$1:$AC$643,25,False)</f>
        <v>950</v>
      </c>
      <c r="BE387" s="33">
        <f>VLOOKUP($O387,Eco_DEM_Data!$D$1:$AC$643,22,False)</f>
        <v>16</v>
      </c>
      <c r="BF387" s="33">
        <f>VLOOKUP($O387,Eco_DEM_Data!$D$1:$AC$643,23,False)</f>
        <v>67</v>
      </c>
      <c r="BG387" s="33">
        <f>VLOOKUP($O387,Eco_DEM_Data!$D$1:$AC$643,21,False)</f>
        <v>7984</v>
      </c>
      <c r="BH387" s="33">
        <f>VLOOKUP($O387,Eco_DEM_Data!$D$1:$AC$643,26,False)</f>
        <v>31</v>
      </c>
      <c r="BI387" s="33" t="str">
        <f>VLOOKUP($O387,Eco_DEM_Data!$D$1:$AC$643,9,False)</f>
        <v>Isthmian-Atlantic moist forests</v>
      </c>
      <c r="BJ387" s="33" t="str">
        <f>VLOOKUP($O387,Eco_DEM_Data!$D$1:$AC$643,11,False)</f>
        <v>Tropical &amp; Subtropical Moist Broadleaf Forests</v>
      </c>
    </row>
    <row r="388">
      <c r="A388" s="33" t="s">
        <v>950</v>
      </c>
      <c r="B388" s="33" t="s">
        <v>2259</v>
      </c>
      <c r="C388" s="34">
        <v>4.0</v>
      </c>
      <c r="D388" s="33" t="s">
        <v>53</v>
      </c>
      <c r="E388" s="34">
        <v>2013.0</v>
      </c>
      <c r="F388" s="33" t="s">
        <v>951</v>
      </c>
      <c r="G388" s="33" t="s">
        <v>952</v>
      </c>
      <c r="H388" s="33" t="s">
        <v>732</v>
      </c>
      <c r="I388" s="33" t="s">
        <v>953</v>
      </c>
      <c r="J388" s="33" t="s">
        <v>954</v>
      </c>
      <c r="K388" s="34">
        <v>50.0</v>
      </c>
      <c r="L388" s="34">
        <v>1.0</v>
      </c>
      <c r="M388" s="6" t="s">
        <v>955</v>
      </c>
      <c r="N388" s="35" t="s">
        <v>60</v>
      </c>
      <c r="O388" s="33" t="s">
        <v>966</v>
      </c>
      <c r="P388" s="36" t="s">
        <v>62</v>
      </c>
      <c r="Q388" s="36" t="s">
        <v>521</v>
      </c>
      <c r="R388" s="36" t="s">
        <v>957</v>
      </c>
      <c r="S388" s="37">
        <v>11.311111</v>
      </c>
      <c r="T388" s="37">
        <v>-85.134722</v>
      </c>
      <c r="U388" s="36" t="s">
        <v>148</v>
      </c>
      <c r="V388" s="38" t="s">
        <v>382</v>
      </c>
      <c r="W388" s="33" t="s">
        <v>173</v>
      </c>
      <c r="X388" s="1" t="s">
        <v>967</v>
      </c>
      <c r="Y388" s="33" t="s">
        <v>968</v>
      </c>
      <c r="Z388" s="36"/>
      <c r="AA388" s="37">
        <v>10.0</v>
      </c>
      <c r="AB388" s="36"/>
      <c r="AC388" s="36"/>
      <c r="AD388" s="36"/>
      <c r="AE388" s="36"/>
      <c r="AF388" s="36"/>
      <c r="AG388" s="36"/>
      <c r="AH388" s="36" t="s">
        <v>960</v>
      </c>
      <c r="AI388" s="37">
        <v>-3639.0</v>
      </c>
      <c r="AJ388" s="37">
        <v>1950.0</v>
      </c>
      <c r="AK388" s="6" t="s">
        <v>73</v>
      </c>
      <c r="AL388" s="6" t="s">
        <v>76</v>
      </c>
      <c r="AM388" s="6" t="s">
        <v>524</v>
      </c>
      <c r="AN388" s="6" t="s">
        <v>72</v>
      </c>
      <c r="AO388" s="33"/>
      <c r="AP388" s="6" t="s">
        <v>75</v>
      </c>
      <c r="AQ388" s="33"/>
      <c r="AR388" s="33"/>
      <c r="AS388" s="33"/>
      <c r="AT388" s="6" t="s">
        <v>76</v>
      </c>
      <c r="AU388" s="33"/>
      <c r="AV388" s="33"/>
      <c r="AW388" s="33"/>
      <c r="AX388" s="33"/>
      <c r="AY388" s="33"/>
      <c r="AZ388" s="6" t="s">
        <v>76</v>
      </c>
      <c r="BA388" s="33"/>
      <c r="BB388" s="33">
        <f>VLOOKUP(O388,Eco_DEM_Data!$D$1:$AC$643,20,False)</f>
        <v>1975</v>
      </c>
      <c r="BC388" s="33">
        <f>VLOOKUP($O388,Eco_DEM_Data!$D$1:$AC$643,20,False)</f>
        <v>1975</v>
      </c>
      <c r="BD388" s="33">
        <f>VLOOKUP($O388,Eco_DEM_Data!$D$1:$AC$643,25,False)</f>
        <v>950</v>
      </c>
      <c r="BE388" s="33">
        <f>VLOOKUP($O388,Eco_DEM_Data!$D$1:$AC$643,22,False)</f>
        <v>16</v>
      </c>
      <c r="BF388" s="33">
        <f>VLOOKUP($O388,Eco_DEM_Data!$D$1:$AC$643,23,False)</f>
        <v>67</v>
      </c>
      <c r="BG388" s="33">
        <f>VLOOKUP($O388,Eco_DEM_Data!$D$1:$AC$643,21,False)</f>
        <v>7984</v>
      </c>
      <c r="BH388" s="33">
        <f>VLOOKUP($O388,Eco_DEM_Data!$D$1:$AC$643,26,False)</f>
        <v>31</v>
      </c>
      <c r="BI388" s="33" t="str">
        <f>VLOOKUP($O388,Eco_DEM_Data!$D$1:$AC$643,9,False)</f>
        <v>Isthmian-Atlantic moist forests</v>
      </c>
      <c r="BJ388" s="33" t="str">
        <f>VLOOKUP($O388,Eco_DEM_Data!$D$1:$AC$643,11,False)</f>
        <v>Tropical &amp; Subtropical Moist Broadleaf Forests</v>
      </c>
    </row>
    <row r="389">
      <c r="A389" s="33" t="s">
        <v>515</v>
      </c>
      <c r="B389" s="33" t="s">
        <v>2259</v>
      </c>
      <c r="C389" s="34">
        <v>1.0</v>
      </c>
      <c r="D389" s="33" t="s">
        <v>53</v>
      </c>
      <c r="E389" s="34">
        <v>2013.0</v>
      </c>
      <c r="F389" s="33" t="s">
        <v>516</v>
      </c>
      <c r="G389" s="33" t="s">
        <v>517</v>
      </c>
      <c r="H389" s="33" t="s">
        <v>488</v>
      </c>
      <c r="I389" s="33" t="s">
        <v>518</v>
      </c>
      <c r="J389" s="33" t="s">
        <v>519</v>
      </c>
      <c r="K389" s="34">
        <v>41.0</v>
      </c>
      <c r="L389" s="34">
        <v>2.0</v>
      </c>
      <c r="M389" s="6" t="s">
        <v>520</v>
      </c>
      <c r="N389" s="35" t="s">
        <v>76</v>
      </c>
      <c r="O389" s="33" t="s">
        <v>515</v>
      </c>
      <c r="P389" s="36" t="s">
        <v>62</v>
      </c>
      <c r="Q389" s="36" t="s">
        <v>521</v>
      </c>
      <c r="R389" s="36" t="s">
        <v>522</v>
      </c>
      <c r="S389" s="37">
        <v>11.906</v>
      </c>
      <c r="T389" s="37">
        <v>-85.918</v>
      </c>
      <c r="U389" s="36" t="s">
        <v>148</v>
      </c>
      <c r="V389" s="6" t="s">
        <v>95</v>
      </c>
      <c r="W389" s="6" t="s">
        <v>96</v>
      </c>
      <c r="X389" s="3" t="s">
        <v>72</v>
      </c>
      <c r="Y389" s="6" t="s">
        <v>99</v>
      </c>
      <c r="Z389" s="36"/>
      <c r="AA389" s="37">
        <v>5.0</v>
      </c>
      <c r="AB389" s="36"/>
      <c r="AC389" s="36"/>
      <c r="AD389" s="36"/>
      <c r="AE389" s="36"/>
      <c r="AF389" s="36"/>
      <c r="AG389" s="36"/>
      <c r="AH389" s="36" t="s">
        <v>523</v>
      </c>
      <c r="AI389" s="37">
        <v>600.0</v>
      </c>
      <c r="AJ389" s="37">
        <v>2004.0</v>
      </c>
      <c r="AK389" s="6" t="s">
        <v>73</v>
      </c>
      <c r="AL389" s="6" t="s">
        <v>60</v>
      </c>
      <c r="AM389" s="6" t="s">
        <v>524</v>
      </c>
      <c r="AN389" s="6" t="s">
        <v>72</v>
      </c>
      <c r="AO389" s="33"/>
      <c r="AP389" s="6" t="s">
        <v>102</v>
      </c>
      <c r="AQ389" s="33"/>
      <c r="AR389" s="33"/>
      <c r="AS389" s="33"/>
      <c r="AT389" s="6" t="s">
        <v>76</v>
      </c>
      <c r="AU389" s="33"/>
      <c r="AV389" s="33"/>
      <c r="AW389" s="33"/>
      <c r="AX389" s="33"/>
      <c r="AY389" s="33"/>
      <c r="AZ389" s="6" t="s">
        <v>76</v>
      </c>
      <c r="BA389" s="33"/>
      <c r="BB389" s="33">
        <f>VLOOKUP(O389,Eco_DEM_Data!$D$1:$AC$643,20,False)</f>
        <v>1535</v>
      </c>
      <c r="BC389" s="33">
        <f>VLOOKUP($O389,Eco_DEM_Data!$D$1:$AC$643,20,False)</f>
        <v>1535</v>
      </c>
      <c r="BD389" s="33">
        <f>VLOOKUP($O389,Eco_DEM_Data!$D$1:$AC$643,25,False)</f>
        <v>863</v>
      </c>
      <c r="BE389" s="33">
        <f>VLOOKUP($O389,Eco_DEM_Data!$D$1:$AC$643,22,False)</f>
        <v>2</v>
      </c>
      <c r="BF389" s="33">
        <f>VLOOKUP($O389,Eco_DEM_Data!$D$1:$AC$643,23,False)</f>
        <v>16</v>
      </c>
      <c r="BG389" s="33">
        <f>VLOOKUP($O389,Eco_DEM_Data!$D$1:$AC$643,21,False)</f>
        <v>9899</v>
      </c>
      <c r="BH389" s="33">
        <f>VLOOKUP($O389,Eco_DEM_Data!$D$1:$AC$643,26,False)</f>
        <v>43</v>
      </c>
      <c r="BI389" s="33" t="str">
        <f>VLOOKUP($O389,Eco_DEM_Data!$D$1:$AC$643,9,False)</f>
        <v>Central American dry forests</v>
      </c>
      <c r="BJ389" s="33" t="str">
        <f>VLOOKUP($O389,Eco_DEM_Data!$D$1:$AC$643,11,False)</f>
        <v>Tropical &amp; Subtropical Dry Broadleaf Forests</v>
      </c>
    </row>
    <row r="390">
      <c r="A390" s="33" t="s">
        <v>2157</v>
      </c>
      <c r="B390" s="33" t="s">
        <v>2259</v>
      </c>
      <c r="C390" s="34">
        <v>15.0</v>
      </c>
      <c r="D390" s="33" t="s">
        <v>268</v>
      </c>
      <c r="E390" s="34">
        <v>2013.0</v>
      </c>
      <c r="F390" s="33" t="s">
        <v>970</v>
      </c>
      <c r="G390" s="45" t="s">
        <v>2158</v>
      </c>
      <c r="H390" s="46"/>
      <c r="I390" s="33"/>
      <c r="J390" s="33" t="s">
        <v>2159</v>
      </c>
      <c r="K390" s="34">
        <v>23.0</v>
      </c>
      <c r="L390" s="33"/>
      <c r="M390" s="6" t="s">
        <v>2160</v>
      </c>
      <c r="N390" s="35" t="s">
        <v>60</v>
      </c>
      <c r="O390" s="33" t="s">
        <v>2161</v>
      </c>
      <c r="P390" s="36" t="s">
        <v>62</v>
      </c>
      <c r="Q390" s="36" t="s">
        <v>112</v>
      </c>
      <c r="R390" s="36" t="s">
        <v>597</v>
      </c>
      <c r="S390" s="37">
        <v>8.813</v>
      </c>
      <c r="T390" s="37">
        <v>-82.963</v>
      </c>
      <c r="U390" s="36" t="s">
        <v>148</v>
      </c>
      <c r="V390" s="6" t="s">
        <v>135</v>
      </c>
      <c r="W390" s="6" t="s">
        <v>540</v>
      </c>
      <c r="X390" s="1" t="s">
        <v>1718</v>
      </c>
      <c r="Y390" s="6" t="s">
        <v>72</v>
      </c>
      <c r="Z390" s="37">
        <v>1.0</v>
      </c>
      <c r="AA390" s="37"/>
      <c r="AB390" s="36"/>
      <c r="AC390" s="36"/>
      <c r="AD390" s="36"/>
      <c r="AE390" s="36"/>
      <c r="AF390" s="36"/>
      <c r="AG390" s="36"/>
      <c r="AH390" s="36"/>
      <c r="AI390" s="36" t="s">
        <v>470</v>
      </c>
      <c r="AJ390" s="36" t="s">
        <v>470</v>
      </c>
      <c r="AK390" s="6" t="s">
        <v>72</v>
      </c>
      <c r="AL390" s="6" t="s">
        <v>72</v>
      </c>
      <c r="AM390" s="6" t="s">
        <v>72</v>
      </c>
      <c r="AN390" s="6" t="s">
        <v>72</v>
      </c>
      <c r="AO390" s="33"/>
      <c r="AP390" s="6" t="s">
        <v>75</v>
      </c>
      <c r="AQ390" s="33"/>
      <c r="AR390" s="33"/>
      <c r="AS390" s="33"/>
      <c r="AT390" s="6" t="s">
        <v>76</v>
      </c>
      <c r="AU390" s="33"/>
      <c r="AV390" s="33"/>
      <c r="AW390" s="33"/>
      <c r="AX390" s="33"/>
      <c r="AY390" s="33"/>
      <c r="AZ390" s="6" t="s">
        <v>76</v>
      </c>
      <c r="BA390" s="33"/>
      <c r="BB390" s="33">
        <f>VLOOKUP(O390,Eco_DEM_Data!$D$1:$AC$643,20,False)</f>
        <v>2841</v>
      </c>
      <c r="BC390" s="33">
        <f>VLOOKUP($O390,Eco_DEM_Data!$D$1:$AC$643,20,False)</f>
        <v>2841</v>
      </c>
      <c r="BD390" s="33">
        <f>VLOOKUP($O390,Eco_DEM_Data!$D$1:$AC$643,25,False)</f>
        <v>1165</v>
      </c>
      <c r="BE390" s="33">
        <f>VLOOKUP($O390,Eco_DEM_Data!$D$1:$AC$643,22,False)</f>
        <v>40</v>
      </c>
      <c r="BF390" s="33">
        <f>VLOOKUP($O390,Eco_DEM_Data!$D$1:$AC$643,23,False)</f>
        <v>166</v>
      </c>
      <c r="BG390" s="33">
        <f>VLOOKUP($O390,Eco_DEM_Data!$D$1:$AC$643,21,False)</f>
        <v>6482</v>
      </c>
      <c r="BH390" s="33">
        <f>VLOOKUP($O390,Eco_DEM_Data!$D$1:$AC$643,26,False)</f>
        <v>1094</v>
      </c>
      <c r="BI390" s="33" t="str">
        <f>VLOOKUP($O390,Eco_DEM_Data!$D$1:$AC$643,9,False)</f>
        <v>Talamancan montane forests</v>
      </c>
      <c r="BJ390" s="33" t="str">
        <f>VLOOKUP($O390,Eco_DEM_Data!$D$1:$AC$643,11,False)</f>
        <v>Tropical &amp; Subtropical Moist Broadleaf Forests</v>
      </c>
    </row>
    <row r="391">
      <c r="A391" s="33" t="s">
        <v>2157</v>
      </c>
      <c r="B391" s="33" t="s">
        <v>2259</v>
      </c>
      <c r="C391" s="34">
        <v>15.0</v>
      </c>
      <c r="D391" s="33" t="s">
        <v>268</v>
      </c>
      <c r="E391" s="34">
        <v>2013.0</v>
      </c>
      <c r="F391" s="33" t="s">
        <v>970</v>
      </c>
      <c r="G391" s="45" t="s">
        <v>2158</v>
      </c>
      <c r="H391" s="46"/>
      <c r="I391" s="33"/>
      <c r="J391" s="33" t="s">
        <v>2159</v>
      </c>
      <c r="K391" s="34">
        <v>23.0</v>
      </c>
      <c r="L391" s="33"/>
      <c r="M391" s="6" t="s">
        <v>2160</v>
      </c>
      <c r="N391" s="35" t="s">
        <v>60</v>
      </c>
      <c r="O391" s="33" t="s">
        <v>2163</v>
      </c>
      <c r="P391" s="36" t="s">
        <v>62</v>
      </c>
      <c r="Q391" s="36" t="s">
        <v>112</v>
      </c>
      <c r="R391" s="36" t="s">
        <v>597</v>
      </c>
      <c r="S391" s="37">
        <v>8.813</v>
      </c>
      <c r="T391" s="37">
        <v>-82.963</v>
      </c>
      <c r="U391" s="36" t="s">
        <v>148</v>
      </c>
      <c r="V391" s="6" t="s">
        <v>135</v>
      </c>
      <c r="W391" s="6" t="s">
        <v>540</v>
      </c>
      <c r="X391" s="1" t="s">
        <v>1718</v>
      </c>
      <c r="Y391" s="6" t="s">
        <v>72</v>
      </c>
      <c r="Z391" s="37">
        <v>1.0</v>
      </c>
      <c r="AA391" s="37"/>
      <c r="AB391" s="36"/>
      <c r="AC391" s="36"/>
      <c r="AD391" s="36"/>
      <c r="AE391" s="36"/>
      <c r="AF391" s="36"/>
      <c r="AG391" s="36"/>
      <c r="AH391" s="36"/>
      <c r="AI391" s="36" t="s">
        <v>470</v>
      </c>
      <c r="AJ391" s="36" t="s">
        <v>470</v>
      </c>
      <c r="AK391" s="6" t="s">
        <v>72</v>
      </c>
      <c r="AL391" s="6" t="s">
        <v>72</v>
      </c>
      <c r="AM391" s="6" t="s">
        <v>72</v>
      </c>
      <c r="AN391" s="6" t="s">
        <v>72</v>
      </c>
      <c r="AO391" s="33"/>
      <c r="AP391" s="6" t="s">
        <v>75</v>
      </c>
      <c r="AQ391" s="33"/>
      <c r="AR391" s="33"/>
      <c r="AS391" s="33"/>
      <c r="AT391" s="6" t="s">
        <v>76</v>
      </c>
      <c r="AU391" s="33"/>
      <c r="AV391" s="33"/>
      <c r="AW391" s="33"/>
      <c r="AX391" s="33"/>
      <c r="AY391" s="33"/>
      <c r="AZ391" s="6" t="s">
        <v>76</v>
      </c>
      <c r="BA391" s="33"/>
      <c r="BB391" s="33">
        <f>VLOOKUP(O391,Eco_DEM_Data!$D$1:$AC$643,20,False)</f>
        <v>2841</v>
      </c>
      <c r="BC391" s="33">
        <f>VLOOKUP($O391,Eco_DEM_Data!$D$1:$AC$643,20,False)</f>
        <v>2841</v>
      </c>
      <c r="BD391" s="33">
        <f>VLOOKUP($O391,Eco_DEM_Data!$D$1:$AC$643,25,False)</f>
        <v>1165</v>
      </c>
      <c r="BE391" s="33">
        <f>VLOOKUP($O391,Eco_DEM_Data!$D$1:$AC$643,22,False)</f>
        <v>40</v>
      </c>
      <c r="BF391" s="33">
        <f>VLOOKUP($O391,Eco_DEM_Data!$D$1:$AC$643,23,False)</f>
        <v>166</v>
      </c>
      <c r="BG391" s="33">
        <f>VLOOKUP($O391,Eco_DEM_Data!$D$1:$AC$643,21,False)</f>
        <v>6482</v>
      </c>
      <c r="BH391" s="33">
        <f>VLOOKUP($O391,Eco_DEM_Data!$D$1:$AC$643,26,False)</f>
        <v>1094</v>
      </c>
      <c r="BI391" s="33" t="str">
        <f>VLOOKUP($O391,Eco_DEM_Data!$D$1:$AC$643,9,False)</f>
        <v>Talamancan montane forests</v>
      </c>
      <c r="BJ391" s="33" t="str">
        <f>VLOOKUP($O391,Eco_DEM_Data!$D$1:$AC$643,11,False)</f>
        <v>Tropical &amp; Subtropical Moist Broadleaf Forests</v>
      </c>
    </row>
    <row r="392">
      <c r="A392" s="33" t="s">
        <v>2157</v>
      </c>
      <c r="B392" s="33" t="s">
        <v>2259</v>
      </c>
      <c r="C392" s="34">
        <v>15.0</v>
      </c>
      <c r="D392" s="33" t="s">
        <v>268</v>
      </c>
      <c r="E392" s="34">
        <v>2013.0</v>
      </c>
      <c r="F392" s="33" t="s">
        <v>970</v>
      </c>
      <c r="G392" s="45" t="s">
        <v>2158</v>
      </c>
      <c r="H392" s="46"/>
      <c r="I392" s="33"/>
      <c r="J392" s="33" t="s">
        <v>2159</v>
      </c>
      <c r="K392" s="34">
        <v>23.0</v>
      </c>
      <c r="L392" s="33"/>
      <c r="M392" s="6" t="s">
        <v>2160</v>
      </c>
      <c r="N392" s="35" t="s">
        <v>60</v>
      </c>
      <c r="O392" s="33" t="s">
        <v>2170</v>
      </c>
      <c r="P392" s="36" t="s">
        <v>62</v>
      </c>
      <c r="Q392" s="36" t="s">
        <v>112</v>
      </c>
      <c r="R392" s="36" t="s">
        <v>597</v>
      </c>
      <c r="S392" s="37">
        <v>8.813</v>
      </c>
      <c r="T392" s="37">
        <v>-82.963</v>
      </c>
      <c r="U392" s="36" t="s">
        <v>148</v>
      </c>
      <c r="V392" s="6" t="s">
        <v>135</v>
      </c>
      <c r="W392" s="6" t="s">
        <v>540</v>
      </c>
      <c r="X392" s="1" t="s">
        <v>1718</v>
      </c>
      <c r="Y392" s="6" t="s">
        <v>72</v>
      </c>
      <c r="Z392" s="37">
        <v>1.0</v>
      </c>
      <c r="AA392" s="37"/>
      <c r="AB392" s="36"/>
      <c r="AC392" s="36"/>
      <c r="AD392" s="36"/>
      <c r="AE392" s="36"/>
      <c r="AF392" s="36"/>
      <c r="AG392" s="36"/>
      <c r="AH392" s="36"/>
      <c r="AI392" s="36" t="s">
        <v>470</v>
      </c>
      <c r="AJ392" s="36" t="s">
        <v>470</v>
      </c>
      <c r="AK392" s="6" t="s">
        <v>72</v>
      </c>
      <c r="AL392" s="6" t="s">
        <v>72</v>
      </c>
      <c r="AM392" s="6" t="s">
        <v>72</v>
      </c>
      <c r="AN392" s="6" t="s">
        <v>72</v>
      </c>
      <c r="AO392" s="33"/>
      <c r="AP392" s="6" t="s">
        <v>75</v>
      </c>
      <c r="AQ392" s="33"/>
      <c r="AR392" s="33"/>
      <c r="AS392" s="33"/>
      <c r="AT392" s="6" t="s">
        <v>76</v>
      </c>
      <c r="AU392" s="33"/>
      <c r="AV392" s="33"/>
      <c r="AW392" s="33"/>
      <c r="AX392" s="33"/>
      <c r="AY392" s="33"/>
      <c r="AZ392" s="6" t="s">
        <v>76</v>
      </c>
      <c r="BA392" s="33"/>
      <c r="BB392" s="33">
        <f>VLOOKUP(O392,Eco_DEM_Data!$D$1:$AC$643,20,False)</f>
        <v>2841</v>
      </c>
      <c r="BC392" s="33">
        <f>VLOOKUP($O392,Eco_DEM_Data!$D$1:$AC$643,20,False)</f>
        <v>2841</v>
      </c>
      <c r="BD392" s="33">
        <f>VLOOKUP($O392,Eco_DEM_Data!$D$1:$AC$643,25,False)</f>
        <v>1165</v>
      </c>
      <c r="BE392" s="33">
        <f>VLOOKUP($O392,Eco_DEM_Data!$D$1:$AC$643,22,False)</f>
        <v>40</v>
      </c>
      <c r="BF392" s="33">
        <f>VLOOKUP($O392,Eco_DEM_Data!$D$1:$AC$643,23,False)</f>
        <v>166</v>
      </c>
      <c r="BG392" s="33">
        <f>VLOOKUP($O392,Eco_DEM_Data!$D$1:$AC$643,21,False)</f>
        <v>6482</v>
      </c>
      <c r="BH392" s="33">
        <f>VLOOKUP($O392,Eco_DEM_Data!$D$1:$AC$643,26,False)</f>
        <v>1094</v>
      </c>
      <c r="BI392" s="33" t="str">
        <f>VLOOKUP($O392,Eco_DEM_Data!$D$1:$AC$643,9,False)</f>
        <v>Talamancan montane forests</v>
      </c>
      <c r="BJ392" s="33" t="str">
        <f>VLOOKUP($O392,Eco_DEM_Data!$D$1:$AC$643,11,False)</f>
        <v>Tropical &amp; Subtropical Moist Broadleaf Forests</v>
      </c>
    </row>
    <row r="393">
      <c r="A393" s="33" t="s">
        <v>2157</v>
      </c>
      <c r="B393" s="33" t="s">
        <v>2259</v>
      </c>
      <c r="C393" s="34">
        <v>15.0</v>
      </c>
      <c r="D393" s="33" t="s">
        <v>268</v>
      </c>
      <c r="E393" s="34">
        <v>2013.0</v>
      </c>
      <c r="F393" s="33" t="s">
        <v>970</v>
      </c>
      <c r="G393" s="45" t="s">
        <v>2158</v>
      </c>
      <c r="H393" s="46"/>
      <c r="I393" s="33"/>
      <c r="J393" s="33" t="s">
        <v>2159</v>
      </c>
      <c r="K393" s="34">
        <v>23.0</v>
      </c>
      <c r="L393" s="33"/>
      <c r="M393" s="6" t="s">
        <v>2160</v>
      </c>
      <c r="N393" s="35" t="s">
        <v>60</v>
      </c>
      <c r="O393" s="33" t="s">
        <v>2171</v>
      </c>
      <c r="P393" s="36" t="s">
        <v>62</v>
      </c>
      <c r="Q393" s="36" t="s">
        <v>112</v>
      </c>
      <c r="R393" s="36" t="s">
        <v>597</v>
      </c>
      <c r="S393" s="37">
        <v>8.813</v>
      </c>
      <c r="T393" s="37">
        <v>-82.963</v>
      </c>
      <c r="U393" s="36" t="s">
        <v>148</v>
      </c>
      <c r="V393" s="6" t="s">
        <v>135</v>
      </c>
      <c r="W393" s="6" t="s">
        <v>540</v>
      </c>
      <c r="X393" s="1" t="s">
        <v>1718</v>
      </c>
      <c r="Y393" s="6" t="s">
        <v>72</v>
      </c>
      <c r="Z393" s="37">
        <v>1.0</v>
      </c>
      <c r="AA393" s="37"/>
      <c r="AB393" s="36"/>
      <c r="AC393" s="36"/>
      <c r="AD393" s="36"/>
      <c r="AE393" s="36"/>
      <c r="AF393" s="36"/>
      <c r="AG393" s="36"/>
      <c r="AH393" s="36"/>
      <c r="AI393" s="36" t="s">
        <v>470</v>
      </c>
      <c r="AJ393" s="36" t="s">
        <v>470</v>
      </c>
      <c r="AK393" s="6" t="s">
        <v>72</v>
      </c>
      <c r="AL393" s="6" t="s">
        <v>72</v>
      </c>
      <c r="AM393" s="6" t="s">
        <v>72</v>
      </c>
      <c r="AN393" s="6" t="s">
        <v>72</v>
      </c>
      <c r="AO393" s="33"/>
      <c r="AP393" s="6" t="s">
        <v>75</v>
      </c>
      <c r="AQ393" s="33"/>
      <c r="AR393" s="33"/>
      <c r="AS393" s="33"/>
      <c r="AT393" s="6" t="s">
        <v>76</v>
      </c>
      <c r="AU393" s="33"/>
      <c r="AV393" s="33"/>
      <c r="AW393" s="33"/>
      <c r="AX393" s="33"/>
      <c r="AY393" s="33"/>
      <c r="AZ393" s="6" t="s">
        <v>76</v>
      </c>
      <c r="BA393" s="33"/>
      <c r="BB393" s="33">
        <f>VLOOKUP(O393,Eco_DEM_Data!$D$1:$AC$643,20,False)</f>
        <v>2841</v>
      </c>
      <c r="BC393" s="33">
        <f>VLOOKUP($O393,Eco_DEM_Data!$D$1:$AC$643,20,False)</f>
        <v>2841</v>
      </c>
      <c r="BD393" s="33">
        <f>VLOOKUP($O393,Eco_DEM_Data!$D$1:$AC$643,25,False)</f>
        <v>1165</v>
      </c>
      <c r="BE393" s="33">
        <f>VLOOKUP($O393,Eco_DEM_Data!$D$1:$AC$643,22,False)</f>
        <v>40</v>
      </c>
      <c r="BF393" s="33">
        <f>VLOOKUP($O393,Eco_DEM_Data!$D$1:$AC$643,23,False)</f>
        <v>166</v>
      </c>
      <c r="BG393" s="33">
        <f>VLOOKUP($O393,Eco_DEM_Data!$D$1:$AC$643,21,False)</f>
        <v>6482</v>
      </c>
      <c r="BH393" s="33">
        <f>VLOOKUP($O393,Eco_DEM_Data!$D$1:$AC$643,26,False)</f>
        <v>1094</v>
      </c>
      <c r="BI393" s="33" t="str">
        <f>VLOOKUP($O393,Eco_DEM_Data!$D$1:$AC$643,9,False)</f>
        <v>Talamancan montane forests</v>
      </c>
      <c r="BJ393" s="33" t="str">
        <f>VLOOKUP($O393,Eco_DEM_Data!$D$1:$AC$643,11,False)</f>
        <v>Tropical &amp; Subtropical Moist Broadleaf Forests</v>
      </c>
    </row>
    <row r="394">
      <c r="A394" s="33" t="s">
        <v>2157</v>
      </c>
      <c r="B394" s="33" t="s">
        <v>2259</v>
      </c>
      <c r="C394" s="34">
        <v>15.0</v>
      </c>
      <c r="D394" s="33" t="s">
        <v>268</v>
      </c>
      <c r="E394" s="34">
        <v>2013.0</v>
      </c>
      <c r="F394" s="33" t="s">
        <v>970</v>
      </c>
      <c r="G394" s="45" t="s">
        <v>2158</v>
      </c>
      <c r="H394" s="46"/>
      <c r="I394" s="33"/>
      <c r="J394" s="33" t="s">
        <v>2159</v>
      </c>
      <c r="K394" s="34">
        <v>23.0</v>
      </c>
      <c r="L394" s="33"/>
      <c r="M394" s="6" t="s">
        <v>2160</v>
      </c>
      <c r="N394" s="35" t="s">
        <v>60</v>
      </c>
      <c r="O394" s="33" t="s">
        <v>2172</v>
      </c>
      <c r="P394" s="36" t="s">
        <v>62</v>
      </c>
      <c r="Q394" s="36" t="s">
        <v>112</v>
      </c>
      <c r="R394" s="36" t="s">
        <v>597</v>
      </c>
      <c r="S394" s="37">
        <v>8.813</v>
      </c>
      <c r="T394" s="37">
        <v>-82.963</v>
      </c>
      <c r="U394" s="36" t="s">
        <v>148</v>
      </c>
      <c r="V394" s="6" t="s">
        <v>135</v>
      </c>
      <c r="W394" s="6" t="s">
        <v>540</v>
      </c>
      <c r="X394" s="1" t="s">
        <v>1718</v>
      </c>
      <c r="Y394" s="6" t="s">
        <v>72</v>
      </c>
      <c r="Z394" s="37">
        <v>1.0</v>
      </c>
      <c r="AA394" s="37"/>
      <c r="AB394" s="36"/>
      <c r="AC394" s="36"/>
      <c r="AD394" s="36"/>
      <c r="AE394" s="36"/>
      <c r="AF394" s="36"/>
      <c r="AG394" s="36"/>
      <c r="AH394" s="36"/>
      <c r="AI394" s="36" t="s">
        <v>470</v>
      </c>
      <c r="AJ394" s="36" t="s">
        <v>470</v>
      </c>
      <c r="AK394" s="6" t="s">
        <v>72</v>
      </c>
      <c r="AL394" s="6" t="s">
        <v>72</v>
      </c>
      <c r="AM394" s="6" t="s">
        <v>72</v>
      </c>
      <c r="AN394" s="6" t="s">
        <v>72</v>
      </c>
      <c r="AO394" s="33"/>
      <c r="AP394" s="6" t="s">
        <v>75</v>
      </c>
      <c r="AQ394" s="33"/>
      <c r="AR394" s="33"/>
      <c r="AS394" s="33"/>
      <c r="AT394" s="6" t="s">
        <v>76</v>
      </c>
      <c r="AU394" s="33"/>
      <c r="AV394" s="33"/>
      <c r="AW394" s="33"/>
      <c r="AX394" s="33"/>
      <c r="AY394" s="33"/>
      <c r="AZ394" s="6" t="s">
        <v>76</v>
      </c>
      <c r="BA394" s="33"/>
      <c r="BB394" s="33">
        <f>VLOOKUP(O394,Eco_DEM_Data!$D$1:$AC$643,20,False)</f>
        <v>2841</v>
      </c>
      <c r="BC394" s="33">
        <f>VLOOKUP($O394,Eco_DEM_Data!$D$1:$AC$643,20,False)</f>
        <v>2841</v>
      </c>
      <c r="BD394" s="33">
        <f>VLOOKUP($O394,Eco_DEM_Data!$D$1:$AC$643,25,False)</f>
        <v>1165</v>
      </c>
      <c r="BE394" s="33">
        <f>VLOOKUP($O394,Eco_DEM_Data!$D$1:$AC$643,22,False)</f>
        <v>40</v>
      </c>
      <c r="BF394" s="33">
        <f>VLOOKUP($O394,Eco_DEM_Data!$D$1:$AC$643,23,False)</f>
        <v>166</v>
      </c>
      <c r="BG394" s="33">
        <f>VLOOKUP($O394,Eco_DEM_Data!$D$1:$AC$643,21,False)</f>
        <v>6482</v>
      </c>
      <c r="BH394" s="33">
        <f>VLOOKUP($O394,Eco_DEM_Data!$D$1:$AC$643,26,False)</f>
        <v>1094</v>
      </c>
      <c r="BI394" s="33" t="str">
        <f>VLOOKUP($O394,Eco_DEM_Data!$D$1:$AC$643,9,False)</f>
        <v>Talamancan montane forests</v>
      </c>
      <c r="BJ394" s="33" t="str">
        <f>VLOOKUP($O394,Eco_DEM_Data!$D$1:$AC$643,11,False)</f>
        <v>Tropical &amp; Subtropical Moist Broadleaf Forests</v>
      </c>
    </row>
    <row r="395">
      <c r="A395" s="33" t="s">
        <v>2157</v>
      </c>
      <c r="B395" s="33" t="s">
        <v>2259</v>
      </c>
      <c r="C395" s="34">
        <v>15.0</v>
      </c>
      <c r="D395" s="33" t="s">
        <v>268</v>
      </c>
      <c r="E395" s="34">
        <v>2013.0</v>
      </c>
      <c r="F395" s="33" t="s">
        <v>970</v>
      </c>
      <c r="G395" s="45" t="s">
        <v>2158</v>
      </c>
      <c r="H395" s="46"/>
      <c r="I395" s="33"/>
      <c r="J395" s="33" t="s">
        <v>2159</v>
      </c>
      <c r="K395" s="34">
        <v>23.0</v>
      </c>
      <c r="L395" s="33"/>
      <c r="M395" s="6" t="s">
        <v>2160</v>
      </c>
      <c r="N395" s="35" t="s">
        <v>60</v>
      </c>
      <c r="O395" s="33" t="s">
        <v>2173</v>
      </c>
      <c r="P395" s="36" t="s">
        <v>62</v>
      </c>
      <c r="Q395" s="36" t="s">
        <v>112</v>
      </c>
      <c r="R395" s="36" t="s">
        <v>597</v>
      </c>
      <c r="S395" s="37">
        <v>8.813</v>
      </c>
      <c r="T395" s="37">
        <v>-82.963</v>
      </c>
      <c r="U395" s="36" t="s">
        <v>148</v>
      </c>
      <c r="V395" s="38" t="s">
        <v>66</v>
      </c>
      <c r="W395" s="5" t="s">
        <v>1909</v>
      </c>
      <c r="X395" s="7" t="s">
        <v>2174</v>
      </c>
      <c r="Y395" s="5" t="s">
        <v>83</v>
      </c>
      <c r="Z395" s="42">
        <v>1.0</v>
      </c>
      <c r="AA395" s="42"/>
      <c r="AB395" s="43"/>
      <c r="AC395" s="43"/>
      <c r="AD395" s="43"/>
      <c r="AE395" s="43"/>
      <c r="AF395" s="43"/>
      <c r="AG395" s="43"/>
      <c r="AH395" s="43"/>
      <c r="AI395" s="43" t="s">
        <v>470</v>
      </c>
      <c r="AJ395" s="43" t="s">
        <v>470</v>
      </c>
      <c r="AK395" s="5" t="s">
        <v>72</v>
      </c>
      <c r="AL395" s="5" t="s">
        <v>72</v>
      </c>
      <c r="AM395" s="5" t="s">
        <v>72</v>
      </c>
      <c r="AN395" s="5" t="s">
        <v>72</v>
      </c>
      <c r="AO395" s="41"/>
      <c r="AP395" s="5" t="s">
        <v>75</v>
      </c>
      <c r="AQ395" s="41"/>
      <c r="AR395" s="41"/>
      <c r="AS395" s="41"/>
      <c r="AT395" s="5" t="s">
        <v>60</v>
      </c>
      <c r="AU395" s="33"/>
      <c r="AV395" s="33"/>
      <c r="AW395" s="33"/>
      <c r="AX395" s="33"/>
      <c r="AY395" s="33"/>
      <c r="AZ395" s="6" t="s">
        <v>76</v>
      </c>
      <c r="BA395" s="33"/>
      <c r="BB395" s="33">
        <f>VLOOKUP(O395,Eco_DEM_Data!$D$1:$AC$643,20,False)</f>
        <v>2841</v>
      </c>
      <c r="BC395" s="33">
        <f>VLOOKUP($O395,Eco_DEM_Data!$D$1:$AC$643,20,False)</f>
        <v>2841</v>
      </c>
      <c r="BD395" s="33">
        <f>VLOOKUP($O395,Eco_DEM_Data!$D$1:$AC$643,25,False)</f>
        <v>1165</v>
      </c>
      <c r="BE395" s="33">
        <f>VLOOKUP($O395,Eco_DEM_Data!$D$1:$AC$643,22,False)</f>
        <v>40</v>
      </c>
      <c r="BF395" s="33">
        <f>VLOOKUP($O395,Eco_DEM_Data!$D$1:$AC$643,23,False)</f>
        <v>166</v>
      </c>
      <c r="BG395" s="33">
        <f>VLOOKUP($O395,Eco_DEM_Data!$D$1:$AC$643,21,False)</f>
        <v>6482</v>
      </c>
      <c r="BH395" s="33">
        <f>VLOOKUP($O395,Eco_DEM_Data!$D$1:$AC$643,26,False)</f>
        <v>1094</v>
      </c>
      <c r="BI395" s="33" t="str">
        <f>VLOOKUP($O395,Eco_DEM_Data!$D$1:$AC$643,9,False)</f>
        <v>Talamancan montane forests</v>
      </c>
      <c r="BJ395" s="33" t="str">
        <f>VLOOKUP($O395,Eco_DEM_Data!$D$1:$AC$643,11,False)</f>
        <v>Tropical &amp; Subtropical Moist Broadleaf Forests</v>
      </c>
    </row>
    <row r="396">
      <c r="A396" s="33" t="s">
        <v>2157</v>
      </c>
      <c r="B396" s="33" t="s">
        <v>2259</v>
      </c>
      <c r="C396" s="34">
        <v>15.0</v>
      </c>
      <c r="D396" s="33" t="s">
        <v>268</v>
      </c>
      <c r="E396" s="34">
        <v>2013.0</v>
      </c>
      <c r="F396" s="33" t="s">
        <v>970</v>
      </c>
      <c r="G396" s="45" t="s">
        <v>2158</v>
      </c>
      <c r="H396" s="46"/>
      <c r="I396" s="33"/>
      <c r="J396" s="33" t="s">
        <v>2159</v>
      </c>
      <c r="K396" s="34">
        <v>23.0</v>
      </c>
      <c r="L396" s="33"/>
      <c r="M396" s="6" t="s">
        <v>2160</v>
      </c>
      <c r="N396" s="35" t="s">
        <v>60</v>
      </c>
      <c r="O396" s="33" t="s">
        <v>2175</v>
      </c>
      <c r="P396" s="36" t="s">
        <v>62</v>
      </c>
      <c r="Q396" s="36" t="s">
        <v>112</v>
      </c>
      <c r="R396" s="36" t="s">
        <v>597</v>
      </c>
      <c r="S396" s="37">
        <v>8.813</v>
      </c>
      <c r="T396" s="37">
        <v>-82.963</v>
      </c>
      <c r="U396" s="36" t="s">
        <v>148</v>
      </c>
      <c r="V396" s="38" t="s">
        <v>66</v>
      </c>
      <c r="W396" s="5" t="s">
        <v>1909</v>
      </c>
      <c r="X396" s="7" t="s">
        <v>2174</v>
      </c>
      <c r="Y396" s="5" t="s">
        <v>83</v>
      </c>
      <c r="Z396" s="42">
        <v>1.0</v>
      </c>
      <c r="AA396" s="42"/>
      <c r="AB396" s="43"/>
      <c r="AC396" s="43"/>
      <c r="AD396" s="43"/>
      <c r="AE396" s="43"/>
      <c r="AF396" s="43"/>
      <c r="AG396" s="43"/>
      <c r="AH396" s="43"/>
      <c r="AI396" s="43" t="s">
        <v>470</v>
      </c>
      <c r="AJ396" s="43" t="s">
        <v>470</v>
      </c>
      <c r="AK396" s="5" t="s">
        <v>72</v>
      </c>
      <c r="AL396" s="5" t="s">
        <v>72</v>
      </c>
      <c r="AM396" s="5" t="s">
        <v>72</v>
      </c>
      <c r="AN396" s="5" t="s">
        <v>72</v>
      </c>
      <c r="AO396" s="41"/>
      <c r="AP396" s="5" t="s">
        <v>75</v>
      </c>
      <c r="AQ396" s="41"/>
      <c r="AR396" s="41"/>
      <c r="AS396" s="41"/>
      <c r="AT396" s="5" t="s">
        <v>60</v>
      </c>
      <c r="AU396" s="33"/>
      <c r="AV396" s="33"/>
      <c r="AW396" s="33"/>
      <c r="AX396" s="33"/>
      <c r="AY396" s="33"/>
      <c r="AZ396" s="6" t="s">
        <v>76</v>
      </c>
      <c r="BA396" s="33"/>
      <c r="BB396" s="33">
        <f>VLOOKUP(O396,Eco_DEM_Data!$D$1:$AC$643,20,False)</f>
        <v>2841</v>
      </c>
      <c r="BC396" s="33">
        <f>VLOOKUP($O396,Eco_DEM_Data!$D$1:$AC$643,20,False)</f>
        <v>2841</v>
      </c>
      <c r="BD396" s="33">
        <f>VLOOKUP($O396,Eco_DEM_Data!$D$1:$AC$643,25,False)</f>
        <v>1165</v>
      </c>
      <c r="BE396" s="33">
        <f>VLOOKUP($O396,Eco_DEM_Data!$D$1:$AC$643,22,False)</f>
        <v>40</v>
      </c>
      <c r="BF396" s="33">
        <f>VLOOKUP($O396,Eco_DEM_Data!$D$1:$AC$643,23,False)</f>
        <v>166</v>
      </c>
      <c r="BG396" s="33">
        <f>VLOOKUP($O396,Eco_DEM_Data!$D$1:$AC$643,21,False)</f>
        <v>6482</v>
      </c>
      <c r="BH396" s="33">
        <f>VLOOKUP($O396,Eco_DEM_Data!$D$1:$AC$643,26,False)</f>
        <v>1094</v>
      </c>
      <c r="BI396" s="33" t="str">
        <f>VLOOKUP($O396,Eco_DEM_Data!$D$1:$AC$643,9,False)</f>
        <v>Talamancan montane forests</v>
      </c>
      <c r="BJ396" s="33" t="str">
        <f>VLOOKUP($O396,Eco_DEM_Data!$D$1:$AC$643,11,False)</f>
        <v>Tropical &amp; Subtropical Moist Broadleaf Forests</v>
      </c>
    </row>
    <row r="397">
      <c r="A397" s="33" t="s">
        <v>2157</v>
      </c>
      <c r="B397" s="33" t="s">
        <v>2259</v>
      </c>
      <c r="C397" s="34">
        <v>15.0</v>
      </c>
      <c r="D397" s="33" t="s">
        <v>268</v>
      </c>
      <c r="E397" s="34">
        <v>2013.0</v>
      </c>
      <c r="F397" s="33" t="s">
        <v>970</v>
      </c>
      <c r="G397" s="45" t="s">
        <v>2158</v>
      </c>
      <c r="H397" s="46"/>
      <c r="I397" s="33"/>
      <c r="J397" s="33" t="s">
        <v>2159</v>
      </c>
      <c r="K397" s="34">
        <v>23.0</v>
      </c>
      <c r="L397" s="33"/>
      <c r="M397" s="6" t="s">
        <v>2160</v>
      </c>
      <c r="N397" s="35" t="s">
        <v>60</v>
      </c>
      <c r="O397" s="33" t="s">
        <v>2176</v>
      </c>
      <c r="P397" s="36" t="s">
        <v>62</v>
      </c>
      <c r="Q397" s="36" t="s">
        <v>112</v>
      </c>
      <c r="R397" s="36" t="s">
        <v>597</v>
      </c>
      <c r="S397" s="37">
        <v>8.813</v>
      </c>
      <c r="T397" s="37">
        <v>-82.963</v>
      </c>
      <c r="U397" s="36" t="s">
        <v>148</v>
      </c>
      <c r="V397" s="38" t="s">
        <v>66</v>
      </c>
      <c r="W397" s="5" t="s">
        <v>1909</v>
      </c>
      <c r="X397" s="7" t="s">
        <v>2174</v>
      </c>
      <c r="Y397" s="5" t="s">
        <v>83</v>
      </c>
      <c r="Z397" s="42">
        <v>1.0</v>
      </c>
      <c r="AA397" s="42"/>
      <c r="AB397" s="43"/>
      <c r="AC397" s="43"/>
      <c r="AD397" s="43"/>
      <c r="AE397" s="43"/>
      <c r="AF397" s="43"/>
      <c r="AG397" s="43"/>
      <c r="AH397" s="43"/>
      <c r="AI397" s="43" t="s">
        <v>470</v>
      </c>
      <c r="AJ397" s="43" t="s">
        <v>470</v>
      </c>
      <c r="AK397" s="5" t="s">
        <v>72</v>
      </c>
      <c r="AL397" s="5" t="s">
        <v>72</v>
      </c>
      <c r="AM397" s="5" t="s">
        <v>72</v>
      </c>
      <c r="AN397" s="5" t="s">
        <v>72</v>
      </c>
      <c r="AO397" s="41"/>
      <c r="AP397" s="5" t="s">
        <v>75</v>
      </c>
      <c r="AQ397" s="41"/>
      <c r="AR397" s="41"/>
      <c r="AS397" s="41"/>
      <c r="AT397" s="5" t="s">
        <v>60</v>
      </c>
      <c r="AU397" s="33"/>
      <c r="AV397" s="33"/>
      <c r="AW397" s="33"/>
      <c r="AX397" s="33"/>
      <c r="AY397" s="33"/>
      <c r="AZ397" s="6" t="s">
        <v>76</v>
      </c>
      <c r="BA397" s="33"/>
      <c r="BB397" s="33">
        <f>VLOOKUP(O397,Eco_DEM_Data!$D$1:$AC$643,20,False)</f>
        <v>2841</v>
      </c>
      <c r="BC397" s="33">
        <f>VLOOKUP($O397,Eco_DEM_Data!$D$1:$AC$643,20,False)</f>
        <v>2841</v>
      </c>
      <c r="BD397" s="33">
        <f>VLOOKUP($O397,Eco_DEM_Data!$D$1:$AC$643,25,False)</f>
        <v>1165</v>
      </c>
      <c r="BE397" s="33">
        <f>VLOOKUP($O397,Eco_DEM_Data!$D$1:$AC$643,22,False)</f>
        <v>40</v>
      </c>
      <c r="BF397" s="33">
        <f>VLOOKUP($O397,Eco_DEM_Data!$D$1:$AC$643,23,False)</f>
        <v>166</v>
      </c>
      <c r="BG397" s="33">
        <f>VLOOKUP($O397,Eco_DEM_Data!$D$1:$AC$643,21,False)</f>
        <v>6482</v>
      </c>
      <c r="BH397" s="33">
        <f>VLOOKUP($O397,Eco_DEM_Data!$D$1:$AC$643,26,False)</f>
        <v>1094</v>
      </c>
      <c r="BI397" s="33" t="str">
        <f>VLOOKUP($O397,Eco_DEM_Data!$D$1:$AC$643,9,False)</f>
        <v>Talamancan montane forests</v>
      </c>
      <c r="BJ397" s="33" t="str">
        <f>VLOOKUP($O397,Eco_DEM_Data!$D$1:$AC$643,11,False)</f>
        <v>Tropical &amp; Subtropical Moist Broadleaf Forests</v>
      </c>
    </row>
    <row r="398">
      <c r="A398" s="33" t="s">
        <v>2157</v>
      </c>
      <c r="B398" s="33" t="s">
        <v>2259</v>
      </c>
      <c r="C398" s="34">
        <v>15.0</v>
      </c>
      <c r="D398" s="33" t="s">
        <v>268</v>
      </c>
      <c r="E398" s="34">
        <v>2013.0</v>
      </c>
      <c r="F398" s="33" t="s">
        <v>970</v>
      </c>
      <c r="G398" s="45" t="s">
        <v>2158</v>
      </c>
      <c r="H398" s="46"/>
      <c r="I398" s="33"/>
      <c r="J398" s="33" t="s">
        <v>2159</v>
      </c>
      <c r="K398" s="34">
        <v>23.0</v>
      </c>
      <c r="L398" s="33"/>
      <c r="M398" s="6" t="s">
        <v>2160</v>
      </c>
      <c r="N398" s="35" t="s">
        <v>60</v>
      </c>
      <c r="O398" s="33" t="s">
        <v>2177</v>
      </c>
      <c r="P398" s="36" t="s">
        <v>62</v>
      </c>
      <c r="Q398" s="36" t="s">
        <v>112</v>
      </c>
      <c r="R398" s="36" t="s">
        <v>597</v>
      </c>
      <c r="S398" s="37">
        <v>8.813</v>
      </c>
      <c r="T398" s="37">
        <v>-82.963</v>
      </c>
      <c r="U398" s="36" t="s">
        <v>148</v>
      </c>
      <c r="V398" s="38" t="s">
        <v>66</v>
      </c>
      <c r="W398" s="5" t="s">
        <v>1909</v>
      </c>
      <c r="X398" s="7" t="s">
        <v>2174</v>
      </c>
      <c r="Y398" s="5" t="s">
        <v>83</v>
      </c>
      <c r="Z398" s="42">
        <v>1.0</v>
      </c>
      <c r="AA398" s="42"/>
      <c r="AB398" s="43"/>
      <c r="AC398" s="43"/>
      <c r="AD398" s="43"/>
      <c r="AE398" s="43"/>
      <c r="AF398" s="43"/>
      <c r="AG398" s="43"/>
      <c r="AH398" s="43"/>
      <c r="AI398" s="43" t="s">
        <v>470</v>
      </c>
      <c r="AJ398" s="43" t="s">
        <v>470</v>
      </c>
      <c r="AK398" s="5" t="s">
        <v>72</v>
      </c>
      <c r="AL398" s="5" t="s">
        <v>72</v>
      </c>
      <c r="AM398" s="5" t="s">
        <v>72</v>
      </c>
      <c r="AN398" s="5" t="s">
        <v>72</v>
      </c>
      <c r="AO398" s="41"/>
      <c r="AP398" s="5" t="s">
        <v>75</v>
      </c>
      <c r="AQ398" s="41"/>
      <c r="AR398" s="41"/>
      <c r="AS398" s="41"/>
      <c r="AT398" s="5" t="s">
        <v>60</v>
      </c>
      <c r="AU398" s="33"/>
      <c r="AV398" s="33"/>
      <c r="AW398" s="33"/>
      <c r="AX398" s="33"/>
      <c r="AY398" s="33"/>
      <c r="AZ398" s="6" t="s">
        <v>76</v>
      </c>
      <c r="BA398" s="33"/>
      <c r="BB398" s="33">
        <f>VLOOKUP(O398,Eco_DEM_Data!$D$1:$AC$643,20,False)</f>
        <v>2841</v>
      </c>
      <c r="BC398" s="33">
        <f>VLOOKUP($O398,Eco_DEM_Data!$D$1:$AC$643,20,False)</f>
        <v>2841</v>
      </c>
      <c r="BD398" s="33">
        <f>VLOOKUP($O398,Eco_DEM_Data!$D$1:$AC$643,25,False)</f>
        <v>1165</v>
      </c>
      <c r="BE398" s="33">
        <f>VLOOKUP($O398,Eco_DEM_Data!$D$1:$AC$643,22,False)</f>
        <v>40</v>
      </c>
      <c r="BF398" s="33">
        <f>VLOOKUP($O398,Eco_DEM_Data!$D$1:$AC$643,23,False)</f>
        <v>166</v>
      </c>
      <c r="BG398" s="33">
        <f>VLOOKUP($O398,Eco_DEM_Data!$D$1:$AC$643,21,False)</f>
        <v>6482</v>
      </c>
      <c r="BH398" s="33">
        <f>VLOOKUP($O398,Eco_DEM_Data!$D$1:$AC$643,26,False)</f>
        <v>1094</v>
      </c>
      <c r="BI398" s="33" t="str">
        <f>VLOOKUP($O398,Eco_DEM_Data!$D$1:$AC$643,9,False)</f>
        <v>Talamancan montane forests</v>
      </c>
      <c r="BJ398" s="33" t="str">
        <f>VLOOKUP($O398,Eco_DEM_Data!$D$1:$AC$643,11,False)</f>
        <v>Tropical &amp; Subtropical Moist Broadleaf Forests</v>
      </c>
    </row>
    <row r="399">
      <c r="A399" s="33" t="s">
        <v>2157</v>
      </c>
      <c r="B399" s="33" t="s">
        <v>2259</v>
      </c>
      <c r="C399" s="34">
        <v>15.0</v>
      </c>
      <c r="D399" s="33" t="s">
        <v>268</v>
      </c>
      <c r="E399" s="34">
        <v>2013.0</v>
      </c>
      <c r="F399" s="33" t="s">
        <v>970</v>
      </c>
      <c r="G399" s="45" t="s">
        <v>2158</v>
      </c>
      <c r="H399" s="46"/>
      <c r="I399" s="33"/>
      <c r="J399" s="33" t="s">
        <v>2159</v>
      </c>
      <c r="K399" s="34">
        <v>23.0</v>
      </c>
      <c r="L399" s="33"/>
      <c r="M399" s="6" t="s">
        <v>2160</v>
      </c>
      <c r="N399" s="35" t="s">
        <v>60</v>
      </c>
      <c r="O399" s="33" t="s">
        <v>2178</v>
      </c>
      <c r="P399" s="36" t="s">
        <v>62</v>
      </c>
      <c r="Q399" s="36" t="s">
        <v>112</v>
      </c>
      <c r="R399" s="36" t="s">
        <v>597</v>
      </c>
      <c r="S399" s="37">
        <v>8.813</v>
      </c>
      <c r="T399" s="37">
        <v>-82.963</v>
      </c>
      <c r="U399" s="36" t="s">
        <v>148</v>
      </c>
      <c r="V399" s="38" t="s">
        <v>66</v>
      </c>
      <c r="W399" s="5" t="s">
        <v>1909</v>
      </c>
      <c r="X399" s="7" t="s">
        <v>2174</v>
      </c>
      <c r="Y399" s="5" t="s">
        <v>83</v>
      </c>
      <c r="Z399" s="42">
        <v>1.0</v>
      </c>
      <c r="AA399" s="42"/>
      <c r="AB399" s="43"/>
      <c r="AC399" s="43"/>
      <c r="AD399" s="43"/>
      <c r="AE399" s="43"/>
      <c r="AF399" s="43"/>
      <c r="AG399" s="43"/>
      <c r="AH399" s="43"/>
      <c r="AI399" s="43" t="s">
        <v>470</v>
      </c>
      <c r="AJ399" s="43" t="s">
        <v>470</v>
      </c>
      <c r="AK399" s="5" t="s">
        <v>72</v>
      </c>
      <c r="AL399" s="5" t="s">
        <v>72</v>
      </c>
      <c r="AM399" s="5" t="s">
        <v>72</v>
      </c>
      <c r="AN399" s="5" t="s">
        <v>72</v>
      </c>
      <c r="AO399" s="41"/>
      <c r="AP399" s="5" t="s">
        <v>75</v>
      </c>
      <c r="AQ399" s="41"/>
      <c r="AR399" s="41"/>
      <c r="AS399" s="41"/>
      <c r="AT399" s="5" t="s">
        <v>60</v>
      </c>
      <c r="AU399" s="33"/>
      <c r="AV399" s="33"/>
      <c r="AW399" s="33"/>
      <c r="AX399" s="33"/>
      <c r="AY399" s="33"/>
      <c r="AZ399" s="6" t="s">
        <v>76</v>
      </c>
      <c r="BA399" s="33"/>
      <c r="BB399" s="33">
        <f>VLOOKUP(O399,Eco_DEM_Data!$D$1:$AC$643,20,False)</f>
        <v>2841</v>
      </c>
      <c r="BC399" s="33">
        <f>VLOOKUP($O399,Eco_DEM_Data!$D$1:$AC$643,20,False)</f>
        <v>2841</v>
      </c>
      <c r="BD399" s="33">
        <f>VLOOKUP($O399,Eco_DEM_Data!$D$1:$AC$643,25,False)</f>
        <v>1165</v>
      </c>
      <c r="BE399" s="33">
        <f>VLOOKUP($O399,Eco_DEM_Data!$D$1:$AC$643,22,False)</f>
        <v>40</v>
      </c>
      <c r="BF399" s="33">
        <f>VLOOKUP($O399,Eco_DEM_Data!$D$1:$AC$643,23,False)</f>
        <v>166</v>
      </c>
      <c r="BG399" s="33">
        <f>VLOOKUP($O399,Eco_DEM_Data!$D$1:$AC$643,21,False)</f>
        <v>6482</v>
      </c>
      <c r="BH399" s="33">
        <f>VLOOKUP($O399,Eco_DEM_Data!$D$1:$AC$643,26,False)</f>
        <v>1094</v>
      </c>
      <c r="BI399" s="33" t="str">
        <f>VLOOKUP($O399,Eco_DEM_Data!$D$1:$AC$643,9,False)</f>
        <v>Talamancan montane forests</v>
      </c>
      <c r="BJ399" s="33" t="str">
        <f>VLOOKUP($O399,Eco_DEM_Data!$D$1:$AC$643,11,False)</f>
        <v>Tropical &amp; Subtropical Moist Broadleaf Forests</v>
      </c>
    </row>
    <row r="400">
      <c r="A400" s="33" t="s">
        <v>1713</v>
      </c>
      <c r="B400" s="33" t="s">
        <v>2259</v>
      </c>
      <c r="C400" s="34">
        <v>1.0</v>
      </c>
      <c r="D400" s="33" t="s">
        <v>53</v>
      </c>
      <c r="E400" s="34">
        <v>2013.0</v>
      </c>
      <c r="F400" s="33" t="s">
        <v>970</v>
      </c>
      <c r="G400" s="33" t="s">
        <v>1714</v>
      </c>
      <c r="H400" s="33" t="s">
        <v>1386</v>
      </c>
      <c r="I400" s="33" t="s">
        <v>1715</v>
      </c>
      <c r="J400" s="33" t="s">
        <v>1716</v>
      </c>
      <c r="K400" s="34">
        <v>73.0</v>
      </c>
      <c r="L400" s="33"/>
      <c r="M400" s="6" t="s">
        <v>1717</v>
      </c>
      <c r="N400" s="35" t="s">
        <v>76</v>
      </c>
      <c r="O400" s="33" t="s">
        <v>1713</v>
      </c>
      <c r="P400" s="36" t="s">
        <v>62</v>
      </c>
      <c r="Q400" s="36" t="s">
        <v>112</v>
      </c>
      <c r="R400" s="36" t="s">
        <v>597</v>
      </c>
      <c r="S400" s="37">
        <v>8.813</v>
      </c>
      <c r="T400" s="37">
        <v>-82.963</v>
      </c>
      <c r="U400" s="36" t="s">
        <v>148</v>
      </c>
      <c r="V400" s="6" t="s">
        <v>135</v>
      </c>
      <c r="W400" s="6" t="s">
        <v>540</v>
      </c>
      <c r="X400" s="1" t="s">
        <v>1718</v>
      </c>
      <c r="Y400" s="6" t="s">
        <v>99</v>
      </c>
      <c r="Z400" s="36"/>
      <c r="AA400" s="37">
        <v>13.0</v>
      </c>
      <c r="AB400" s="36"/>
      <c r="AC400" s="36"/>
      <c r="AD400" s="36"/>
      <c r="AE400" s="36"/>
      <c r="AF400" s="36"/>
      <c r="AG400" s="37">
        <v>1.0</v>
      </c>
      <c r="AH400" s="38" t="s">
        <v>72</v>
      </c>
      <c r="AI400" s="37">
        <v>800.0</v>
      </c>
      <c r="AJ400" s="37">
        <v>1600.0</v>
      </c>
      <c r="AK400" s="6" t="s">
        <v>72</v>
      </c>
      <c r="AL400" s="6" t="s">
        <v>72</v>
      </c>
      <c r="AM400" s="33" t="s">
        <v>238</v>
      </c>
      <c r="AN400" s="6" t="s">
        <v>72</v>
      </c>
      <c r="AO400" s="33"/>
      <c r="AP400" s="6" t="s">
        <v>102</v>
      </c>
      <c r="AQ400" s="33"/>
      <c r="AR400" s="33"/>
      <c r="AS400" s="33"/>
      <c r="AT400" s="6" t="s">
        <v>76</v>
      </c>
      <c r="AU400" s="33"/>
      <c r="AV400" s="33"/>
      <c r="AW400" s="33"/>
      <c r="AX400" s="33"/>
      <c r="AY400" s="33"/>
      <c r="AZ400" s="6" t="s">
        <v>76</v>
      </c>
      <c r="BA400" s="33"/>
      <c r="BB400" s="33">
        <f>VLOOKUP(O400,Eco_DEM_Data!$D$1:$AC$643,20,False)</f>
        <v>2841</v>
      </c>
      <c r="BC400" s="33">
        <f>VLOOKUP($O400,Eco_DEM_Data!$D$1:$AC$643,20,False)</f>
        <v>2841</v>
      </c>
      <c r="BD400" s="33">
        <f>VLOOKUP($O400,Eco_DEM_Data!$D$1:$AC$643,25,False)</f>
        <v>1165</v>
      </c>
      <c r="BE400" s="33">
        <f>VLOOKUP($O400,Eco_DEM_Data!$D$1:$AC$643,22,False)</f>
        <v>40</v>
      </c>
      <c r="BF400" s="33">
        <f>VLOOKUP($O400,Eco_DEM_Data!$D$1:$AC$643,23,False)</f>
        <v>166</v>
      </c>
      <c r="BG400" s="33">
        <f>VLOOKUP($O400,Eco_DEM_Data!$D$1:$AC$643,21,False)</f>
        <v>6482</v>
      </c>
      <c r="BH400" s="33">
        <f>VLOOKUP($O400,Eco_DEM_Data!$D$1:$AC$643,26,False)</f>
        <v>1094</v>
      </c>
      <c r="BI400" s="33" t="str">
        <f>VLOOKUP($O400,Eco_DEM_Data!$D$1:$AC$643,9,False)</f>
        <v>Talamancan montane forests</v>
      </c>
      <c r="BJ400" s="33" t="str">
        <f>VLOOKUP($O400,Eco_DEM_Data!$D$1:$AC$643,11,False)</f>
        <v>Tropical &amp; Subtropical Moist Broadleaf Forests</v>
      </c>
    </row>
    <row r="401">
      <c r="A401" s="33" t="s">
        <v>1253</v>
      </c>
      <c r="B401" s="33" t="s">
        <v>2259</v>
      </c>
      <c r="C401" s="34">
        <v>6.0</v>
      </c>
      <c r="D401" s="33" t="s">
        <v>53</v>
      </c>
      <c r="E401" s="34">
        <v>2013.0</v>
      </c>
      <c r="F401" s="33" t="s">
        <v>1254</v>
      </c>
      <c r="G401" s="33" t="s">
        <v>1255</v>
      </c>
      <c r="H401" s="33" t="s">
        <v>1256</v>
      </c>
      <c r="I401" s="33" t="s">
        <v>1257</v>
      </c>
      <c r="J401" s="33" t="s">
        <v>1258</v>
      </c>
      <c r="K401" s="34">
        <v>379.0</v>
      </c>
      <c r="L401" s="33"/>
      <c r="M401" s="6" t="s">
        <v>1259</v>
      </c>
      <c r="N401" s="35" t="s">
        <v>60</v>
      </c>
      <c r="O401" s="33" t="s">
        <v>1260</v>
      </c>
      <c r="P401" s="36" t="s">
        <v>62</v>
      </c>
      <c r="Q401" s="36" t="s">
        <v>167</v>
      </c>
      <c r="R401" s="36" t="s">
        <v>1261</v>
      </c>
      <c r="S401" s="37">
        <v>17.309722</v>
      </c>
      <c r="T401" s="37">
        <v>-89.174722</v>
      </c>
      <c r="U401" s="36" t="s">
        <v>148</v>
      </c>
      <c r="V401" s="38" t="s">
        <v>66</v>
      </c>
      <c r="W401" s="41" t="s">
        <v>823</v>
      </c>
      <c r="X401" s="7" t="s">
        <v>589</v>
      </c>
      <c r="Y401" s="41" t="s">
        <v>70</v>
      </c>
      <c r="Z401" s="43"/>
      <c r="AA401" s="42">
        <v>10.0</v>
      </c>
      <c r="AB401" s="43"/>
      <c r="AC401" s="43"/>
      <c r="AD401" s="43"/>
      <c r="AE401" s="43"/>
      <c r="AF401" s="43"/>
      <c r="AG401" s="43"/>
      <c r="AH401" s="38" t="s">
        <v>72</v>
      </c>
      <c r="AI401" s="42">
        <v>-1400.0</v>
      </c>
      <c r="AJ401" s="42">
        <v>1950.0</v>
      </c>
      <c r="AK401" s="5" t="s">
        <v>1278</v>
      </c>
      <c r="AL401" s="5" t="s">
        <v>72</v>
      </c>
      <c r="AM401" s="6" t="s">
        <v>524</v>
      </c>
      <c r="AN401" s="5" t="s">
        <v>76</v>
      </c>
      <c r="AO401" s="41"/>
      <c r="AP401" s="5" t="s">
        <v>102</v>
      </c>
      <c r="AQ401" s="41"/>
      <c r="AR401" s="41"/>
      <c r="AS401" s="41"/>
      <c r="AT401" s="5" t="s">
        <v>60</v>
      </c>
      <c r="AU401" s="33"/>
      <c r="AV401" s="33"/>
      <c r="AW401" s="33"/>
      <c r="AX401" s="33"/>
      <c r="AY401" s="33"/>
      <c r="AZ401" s="6" t="s">
        <v>76</v>
      </c>
      <c r="BA401" s="33"/>
      <c r="BB401" s="33">
        <f>VLOOKUP(O401,Eco_DEM_Data!$D$1:$AC$643,20,False)</f>
        <v>1603</v>
      </c>
      <c r="BC401" s="33">
        <f>VLOOKUP($O401,Eco_DEM_Data!$D$1:$AC$643,20,False)</f>
        <v>1603</v>
      </c>
      <c r="BD401" s="33">
        <f>VLOOKUP($O401,Eco_DEM_Data!$D$1:$AC$643,25,False)</f>
        <v>622</v>
      </c>
      <c r="BE401" s="33">
        <f>VLOOKUP($O401,Eco_DEM_Data!$D$1:$AC$643,22,False)</f>
        <v>39</v>
      </c>
      <c r="BF401" s="33">
        <f>VLOOKUP($O401,Eco_DEM_Data!$D$1:$AC$643,23,False)</f>
        <v>134</v>
      </c>
      <c r="BG401" s="33">
        <f>VLOOKUP($O401,Eco_DEM_Data!$D$1:$AC$643,21,False)</f>
        <v>5295</v>
      </c>
      <c r="BH401" s="33">
        <f>VLOOKUP($O401,Eco_DEM_Data!$D$1:$AC$643,26,False)</f>
        <v>114</v>
      </c>
      <c r="BI401" s="33" t="str">
        <f>VLOOKUP($O401,Eco_DEM_Data!$D$1:$AC$643,9,False)</f>
        <v>Petén-Veracruz moist forests</v>
      </c>
      <c r="BJ401" s="33" t="str">
        <f>VLOOKUP($O401,Eco_DEM_Data!$D$1:$AC$643,11,False)</f>
        <v>Tropical &amp; Subtropical Moist Broadleaf Forests</v>
      </c>
    </row>
    <row r="402">
      <c r="A402" s="33" t="s">
        <v>1253</v>
      </c>
      <c r="B402" s="33" t="s">
        <v>2259</v>
      </c>
      <c r="C402" s="34">
        <v>6.0</v>
      </c>
      <c r="D402" s="33" t="s">
        <v>53</v>
      </c>
      <c r="E402" s="34">
        <v>2013.0</v>
      </c>
      <c r="F402" s="33" t="s">
        <v>1254</v>
      </c>
      <c r="G402" s="33" t="s">
        <v>1255</v>
      </c>
      <c r="H402" s="33" t="s">
        <v>1256</v>
      </c>
      <c r="I402" s="33" t="s">
        <v>1257</v>
      </c>
      <c r="J402" s="33" t="s">
        <v>1258</v>
      </c>
      <c r="K402" s="34">
        <v>379.0</v>
      </c>
      <c r="L402" s="33"/>
      <c r="M402" s="6" t="s">
        <v>1259</v>
      </c>
      <c r="N402" s="35" t="s">
        <v>60</v>
      </c>
      <c r="O402" s="33" t="s">
        <v>1263</v>
      </c>
      <c r="P402" s="36" t="s">
        <v>62</v>
      </c>
      <c r="Q402" s="36" t="s">
        <v>167</v>
      </c>
      <c r="R402" s="36" t="s">
        <v>1261</v>
      </c>
      <c r="S402" s="37">
        <v>17.309722</v>
      </c>
      <c r="T402" s="37">
        <v>-89.174722</v>
      </c>
      <c r="U402" s="36" t="s">
        <v>148</v>
      </c>
      <c r="V402" s="38" t="s">
        <v>2264</v>
      </c>
      <c r="W402" s="33" t="s">
        <v>156</v>
      </c>
      <c r="X402" s="1" t="s">
        <v>1264</v>
      </c>
      <c r="Y402" s="6" t="s">
        <v>355</v>
      </c>
      <c r="Z402" s="36"/>
      <c r="AA402" s="37">
        <v>10.0</v>
      </c>
      <c r="AB402" s="36"/>
      <c r="AC402" s="36"/>
      <c r="AD402" s="36"/>
      <c r="AE402" s="36"/>
      <c r="AF402" s="36"/>
      <c r="AG402" s="36"/>
      <c r="AH402" s="38" t="s">
        <v>72</v>
      </c>
      <c r="AI402" s="37">
        <v>-1400.0</v>
      </c>
      <c r="AJ402" s="37">
        <v>1950.0</v>
      </c>
      <c r="AK402" s="6" t="s">
        <v>1278</v>
      </c>
      <c r="AL402" s="6" t="s">
        <v>72</v>
      </c>
      <c r="AM402" s="6" t="s">
        <v>524</v>
      </c>
      <c r="AN402" s="6" t="s">
        <v>76</v>
      </c>
      <c r="AO402" s="33"/>
      <c r="AP402" s="6" t="s">
        <v>576</v>
      </c>
      <c r="AQ402" s="33"/>
      <c r="AR402" s="33"/>
      <c r="AS402" s="33"/>
      <c r="AT402" s="6" t="s">
        <v>76</v>
      </c>
      <c r="AU402" s="33"/>
      <c r="AV402" s="33"/>
      <c r="AW402" s="33"/>
      <c r="AX402" s="33"/>
      <c r="AY402" s="33"/>
      <c r="AZ402" s="6" t="s">
        <v>76</v>
      </c>
      <c r="BA402" s="33"/>
      <c r="BB402" s="33">
        <f>VLOOKUP(O402,Eco_DEM_Data!$D$1:$AC$643,20,False)</f>
        <v>1603</v>
      </c>
      <c r="BC402" s="33">
        <f>VLOOKUP($O402,Eco_DEM_Data!$D$1:$AC$643,20,False)</f>
        <v>1603</v>
      </c>
      <c r="BD402" s="33">
        <f>VLOOKUP($O402,Eco_DEM_Data!$D$1:$AC$643,25,False)</f>
        <v>622</v>
      </c>
      <c r="BE402" s="33">
        <f>VLOOKUP($O402,Eco_DEM_Data!$D$1:$AC$643,22,False)</f>
        <v>39</v>
      </c>
      <c r="BF402" s="33">
        <f>VLOOKUP($O402,Eco_DEM_Data!$D$1:$AC$643,23,False)</f>
        <v>134</v>
      </c>
      <c r="BG402" s="33">
        <f>VLOOKUP($O402,Eco_DEM_Data!$D$1:$AC$643,21,False)</f>
        <v>5295</v>
      </c>
      <c r="BH402" s="33">
        <f>VLOOKUP($O402,Eco_DEM_Data!$D$1:$AC$643,26,False)</f>
        <v>114</v>
      </c>
      <c r="BI402" s="33" t="str">
        <f>VLOOKUP($O402,Eco_DEM_Data!$D$1:$AC$643,9,False)</f>
        <v>Petén-Veracruz moist forests</v>
      </c>
      <c r="BJ402" s="33" t="str">
        <f>VLOOKUP($O402,Eco_DEM_Data!$D$1:$AC$643,11,False)</f>
        <v>Tropical &amp; Subtropical Moist Broadleaf Forests</v>
      </c>
    </row>
    <row r="403">
      <c r="A403" s="33" t="s">
        <v>1253</v>
      </c>
      <c r="B403" s="33" t="s">
        <v>2259</v>
      </c>
      <c r="C403" s="34">
        <v>6.0</v>
      </c>
      <c r="D403" s="33" t="s">
        <v>53</v>
      </c>
      <c r="E403" s="34">
        <v>2013.0</v>
      </c>
      <c r="F403" s="33" t="s">
        <v>1254</v>
      </c>
      <c r="G403" s="33" t="s">
        <v>1255</v>
      </c>
      <c r="H403" s="33" t="s">
        <v>1256</v>
      </c>
      <c r="I403" s="33" t="s">
        <v>1257</v>
      </c>
      <c r="J403" s="33" t="s">
        <v>1258</v>
      </c>
      <c r="K403" s="34">
        <v>379.0</v>
      </c>
      <c r="L403" s="33"/>
      <c r="M403" s="6" t="s">
        <v>1259</v>
      </c>
      <c r="N403" s="35" t="s">
        <v>60</v>
      </c>
      <c r="O403" s="33" t="s">
        <v>1265</v>
      </c>
      <c r="P403" s="36" t="s">
        <v>62</v>
      </c>
      <c r="Q403" s="36" t="s">
        <v>167</v>
      </c>
      <c r="R403" s="36" t="s">
        <v>1261</v>
      </c>
      <c r="S403" s="37">
        <v>17.309722</v>
      </c>
      <c r="T403" s="37">
        <v>-89.174722</v>
      </c>
      <c r="U403" s="36" t="s">
        <v>148</v>
      </c>
      <c r="V403" s="6" t="s">
        <v>189</v>
      </c>
      <c r="W403" s="6" t="s">
        <v>1266</v>
      </c>
      <c r="X403" s="1" t="s">
        <v>284</v>
      </c>
      <c r="Y403" s="33" t="s">
        <v>70</v>
      </c>
      <c r="Z403" s="36"/>
      <c r="AA403" s="37">
        <v>10.0</v>
      </c>
      <c r="AB403" s="36"/>
      <c r="AC403" s="36"/>
      <c r="AD403" s="36"/>
      <c r="AE403" s="36"/>
      <c r="AF403" s="36"/>
      <c r="AG403" s="36"/>
      <c r="AH403" s="38" t="s">
        <v>72</v>
      </c>
      <c r="AI403" s="37">
        <v>-1400.0</v>
      </c>
      <c r="AJ403" s="37">
        <v>1950.0</v>
      </c>
      <c r="AK403" s="6" t="s">
        <v>1278</v>
      </c>
      <c r="AL403" s="6" t="s">
        <v>72</v>
      </c>
      <c r="AM403" s="6" t="s">
        <v>524</v>
      </c>
      <c r="AN403" s="6" t="s">
        <v>76</v>
      </c>
      <c r="AO403" s="33"/>
      <c r="AP403" s="6" t="s">
        <v>576</v>
      </c>
      <c r="AQ403" s="33"/>
      <c r="AR403" s="33"/>
      <c r="AS403" s="33"/>
      <c r="AT403" s="6" t="s">
        <v>76</v>
      </c>
      <c r="AU403" s="33"/>
      <c r="AV403" s="33"/>
      <c r="AW403" s="33"/>
      <c r="AX403" s="33"/>
      <c r="AY403" s="33"/>
      <c r="AZ403" s="6" t="s">
        <v>76</v>
      </c>
      <c r="BA403" s="33"/>
      <c r="BB403" s="33">
        <f>VLOOKUP(O403,Eco_DEM_Data!$D$1:$AC$643,20,False)</f>
        <v>1603</v>
      </c>
      <c r="BC403" s="33">
        <f>VLOOKUP($O403,Eco_DEM_Data!$D$1:$AC$643,20,False)</f>
        <v>1603</v>
      </c>
      <c r="BD403" s="33">
        <f>VLOOKUP($O403,Eco_DEM_Data!$D$1:$AC$643,25,False)</f>
        <v>622</v>
      </c>
      <c r="BE403" s="33">
        <f>VLOOKUP($O403,Eco_DEM_Data!$D$1:$AC$643,22,False)</f>
        <v>39</v>
      </c>
      <c r="BF403" s="33">
        <f>VLOOKUP($O403,Eco_DEM_Data!$D$1:$AC$643,23,False)</f>
        <v>134</v>
      </c>
      <c r="BG403" s="33">
        <f>VLOOKUP($O403,Eco_DEM_Data!$D$1:$AC$643,21,False)</f>
        <v>5295</v>
      </c>
      <c r="BH403" s="33">
        <f>VLOOKUP($O403,Eco_DEM_Data!$D$1:$AC$643,26,False)</f>
        <v>114</v>
      </c>
      <c r="BI403" s="33" t="str">
        <f>VLOOKUP($O403,Eco_DEM_Data!$D$1:$AC$643,9,False)</f>
        <v>Petén-Veracruz moist forests</v>
      </c>
      <c r="BJ403" s="33" t="str">
        <f>VLOOKUP($O403,Eco_DEM_Data!$D$1:$AC$643,11,False)</f>
        <v>Tropical &amp; Subtropical Moist Broadleaf Forests</v>
      </c>
    </row>
    <row r="404">
      <c r="A404" s="33" t="s">
        <v>1253</v>
      </c>
      <c r="B404" s="33" t="s">
        <v>2259</v>
      </c>
      <c r="C404" s="34">
        <v>6.0</v>
      </c>
      <c r="D404" s="33" t="s">
        <v>53</v>
      </c>
      <c r="E404" s="34">
        <v>2013.0</v>
      </c>
      <c r="F404" s="33" t="s">
        <v>1254</v>
      </c>
      <c r="G404" s="33" t="s">
        <v>1255</v>
      </c>
      <c r="H404" s="33" t="s">
        <v>1256</v>
      </c>
      <c r="I404" s="33" t="s">
        <v>1257</v>
      </c>
      <c r="J404" s="33" t="s">
        <v>1258</v>
      </c>
      <c r="K404" s="34">
        <v>379.0</v>
      </c>
      <c r="L404" s="33"/>
      <c r="M404" s="6" t="s">
        <v>1259</v>
      </c>
      <c r="N404" s="35" t="s">
        <v>60</v>
      </c>
      <c r="O404" s="33" t="s">
        <v>1267</v>
      </c>
      <c r="P404" s="36" t="s">
        <v>62</v>
      </c>
      <c r="Q404" s="36" t="s">
        <v>167</v>
      </c>
      <c r="R404" s="36" t="s">
        <v>1261</v>
      </c>
      <c r="S404" s="37">
        <v>17.309722</v>
      </c>
      <c r="T404" s="37">
        <v>-89.174722</v>
      </c>
      <c r="U404" s="36" t="s">
        <v>148</v>
      </c>
      <c r="V404" s="38" t="s">
        <v>382</v>
      </c>
      <c r="W404" s="33" t="s">
        <v>173</v>
      </c>
      <c r="X404" s="1" t="s">
        <v>1268</v>
      </c>
      <c r="Y404" s="33" t="s">
        <v>544</v>
      </c>
      <c r="Z404" s="36"/>
      <c r="AA404" s="37">
        <v>10.0</v>
      </c>
      <c r="AB404" s="36"/>
      <c r="AC404" s="36"/>
      <c r="AD404" s="36"/>
      <c r="AE404" s="36"/>
      <c r="AF404" s="36"/>
      <c r="AG404" s="36"/>
      <c r="AH404" s="38" t="s">
        <v>72</v>
      </c>
      <c r="AI404" s="37">
        <v>-1400.0</v>
      </c>
      <c r="AJ404" s="37">
        <v>1950.0</v>
      </c>
      <c r="AK404" s="6" t="s">
        <v>1278</v>
      </c>
      <c r="AL404" s="6" t="s">
        <v>72</v>
      </c>
      <c r="AM404" s="6" t="s">
        <v>524</v>
      </c>
      <c r="AN404" s="6" t="s">
        <v>76</v>
      </c>
      <c r="AO404" s="33"/>
      <c r="AP404" s="6" t="s">
        <v>576</v>
      </c>
      <c r="AQ404" s="33"/>
      <c r="AR404" s="33"/>
      <c r="AS404" s="33"/>
      <c r="AT404" s="6" t="s">
        <v>76</v>
      </c>
      <c r="AU404" s="33"/>
      <c r="AV404" s="33"/>
      <c r="AW404" s="33"/>
      <c r="AX404" s="33"/>
      <c r="AY404" s="33"/>
      <c r="AZ404" s="6" t="s">
        <v>76</v>
      </c>
      <c r="BA404" s="33"/>
      <c r="BB404" s="33">
        <f>VLOOKUP(O404,Eco_DEM_Data!$D$1:$AC$643,20,False)</f>
        <v>1603</v>
      </c>
      <c r="BC404" s="33">
        <f>VLOOKUP($O404,Eco_DEM_Data!$D$1:$AC$643,20,False)</f>
        <v>1603</v>
      </c>
      <c r="BD404" s="33">
        <f>VLOOKUP($O404,Eco_DEM_Data!$D$1:$AC$643,25,False)</f>
        <v>622</v>
      </c>
      <c r="BE404" s="33">
        <f>VLOOKUP($O404,Eco_DEM_Data!$D$1:$AC$643,22,False)</f>
        <v>39</v>
      </c>
      <c r="BF404" s="33">
        <f>VLOOKUP($O404,Eco_DEM_Data!$D$1:$AC$643,23,False)</f>
        <v>134</v>
      </c>
      <c r="BG404" s="33">
        <f>VLOOKUP($O404,Eco_DEM_Data!$D$1:$AC$643,21,False)</f>
        <v>5295</v>
      </c>
      <c r="BH404" s="33">
        <f>VLOOKUP($O404,Eco_DEM_Data!$D$1:$AC$643,26,False)</f>
        <v>114</v>
      </c>
      <c r="BI404" s="33" t="str">
        <f>VLOOKUP($O404,Eco_DEM_Data!$D$1:$AC$643,9,False)</f>
        <v>Petén-Veracruz moist forests</v>
      </c>
      <c r="BJ404" s="33" t="str">
        <f>VLOOKUP($O404,Eco_DEM_Data!$D$1:$AC$643,11,False)</f>
        <v>Tropical &amp; Subtropical Moist Broadleaf Forests</v>
      </c>
    </row>
    <row r="405">
      <c r="A405" s="33" t="s">
        <v>1253</v>
      </c>
      <c r="B405" s="33" t="s">
        <v>2259</v>
      </c>
      <c r="C405" s="34">
        <v>6.0</v>
      </c>
      <c r="D405" s="33" t="s">
        <v>53</v>
      </c>
      <c r="E405" s="34">
        <v>2013.0</v>
      </c>
      <c r="F405" s="33" t="s">
        <v>1254</v>
      </c>
      <c r="G405" s="33" t="s">
        <v>1255</v>
      </c>
      <c r="H405" s="33" t="s">
        <v>1256</v>
      </c>
      <c r="I405" s="33" t="s">
        <v>1257</v>
      </c>
      <c r="J405" s="33" t="s">
        <v>1258</v>
      </c>
      <c r="K405" s="34">
        <v>379.0</v>
      </c>
      <c r="L405" s="33"/>
      <c r="M405" s="6" t="s">
        <v>1259</v>
      </c>
      <c r="N405" s="35" t="s">
        <v>60</v>
      </c>
      <c r="O405" s="33" t="s">
        <v>1269</v>
      </c>
      <c r="P405" s="36" t="s">
        <v>62</v>
      </c>
      <c r="Q405" s="36" t="s">
        <v>167</v>
      </c>
      <c r="R405" s="36" t="s">
        <v>1261</v>
      </c>
      <c r="S405" s="37">
        <v>17.309722</v>
      </c>
      <c r="T405" s="37">
        <v>-89.174722</v>
      </c>
      <c r="U405" s="36" t="s">
        <v>148</v>
      </c>
      <c r="V405" s="6" t="s">
        <v>135</v>
      </c>
      <c r="W405" s="6" t="s">
        <v>1266</v>
      </c>
      <c r="X405" s="1" t="s">
        <v>1270</v>
      </c>
      <c r="Y405" s="6" t="s">
        <v>99</v>
      </c>
      <c r="Z405" s="36"/>
      <c r="AA405" s="37">
        <v>10.0</v>
      </c>
      <c r="AB405" s="36"/>
      <c r="AC405" s="36"/>
      <c r="AD405" s="36"/>
      <c r="AE405" s="36"/>
      <c r="AF405" s="36"/>
      <c r="AG405" s="36"/>
      <c r="AH405" s="38" t="s">
        <v>72</v>
      </c>
      <c r="AI405" s="37">
        <v>-1400.0</v>
      </c>
      <c r="AJ405" s="37">
        <v>1950.0</v>
      </c>
      <c r="AK405" s="6" t="s">
        <v>1278</v>
      </c>
      <c r="AL405" s="6" t="s">
        <v>72</v>
      </c>
      <c r="AM405" s="6" t="s">
        <v>524</v>
      </c>
      <c r="AN405" s="6" t="s">
        <v>76</v>
      </c>
      <c r="AO405" s="33"/>
      <c r="AP405" s="6" t="s">
        <v>576</v>
      </c>
      <c r="AQ405" s="33"/>
      <c r="AR405" s="33"/>
      <c r="AS405" s="33"/>
      <c r="AT405" s="6" t="s">
        <v>76</v>
      </c>
      <c r="AU405" s="33"/>
      <c r="AV405" s="33"/>
      <c r="AW405" s="33"/>
      <c r="AX405" s="33"/>
      <c r="AY405" s="33"/>
      <c r="AZ405" s="6" t="s">
        <v>76</v>
      </c>
      <c r="BA405" s="33"/>
      <c r="BB405" s="33">
        <f>VLOOKUP(O405,Eco_DEM_Data!$D$1:$AC$643,20,False)</f>
        <v>1603</v>
      </c>
      <c r="BC405" s="33">
        <f>VLOOKUP($O405,Eco_DEM_Data!$D$1:$AC$643,20,False)</f>
        <v>1603</v>
      </c>
      <c r="BD405" s="33">
        <f>VLOOKUP($O405,Eco_DEM_Data!$D$1:$AC$643,25,False)</f>
        <v>622</v>
      </c>
      <c r="BE405" s="33">
        <f>VLOOKUP($O405,Eco_DEM_Data!$D$1:$AC$643,22,False)</f>
        <v>39</v>
      </c>
      <c r="BF405" s="33">
        <f>VLOOKUP($O405,Eco_DEM_Data!$D$1:$AC$643,23,False)</f>
        <v>134</v>
      </c>
      <c r="BG405" s="33">
        <f>VLOOKUP($O405,Eco_DEM_Data!$D$1:$AC$643,21,False)</f>
        <v>5295</v>
      </c>
      <c r="BH405" s="33">
        <f>VLOOKUP($O405,Eco_DEM_Data!$D$1:$AC$643,26,False)</f>
        <v>114</v>
      </c>
      <c r="BI405" s="33" t="str">
        <f>VLOOKUP($O405,Eco_DEM_Data!$D$1:$AC$643,9,False)</f>
        <v>Petén-Veracruz moist forests</v>
      </c>
      <c r="BJ405" s="33" t="str">
        <f>VLOOKUP($O405,Eco_DEM_Data!$D$1:$AC$643,11,False)</f>
        <v>Tropical &amp; Subtropical Moist Broadleaf Forests</v>
      </c>
    </row>
    <row r="406">
      <c r="A406" s="33" t="s">
        <v>1253</v>
      </c>
      <c r="B406" s="33" t="s">
        <v>2259</v>
      </c>
      <c r="C406" s="34">
        <v>6.0</v>
      </c>
      <c r="D406" s="33" t="s">
        <v>53</v>
      </c>
      <c r="E406" s="34">
        <v>2013.0</v>
      </c>
      <c r="F406" s="33" t="s">
        <v>1254</v>
      </c>
      <c r="G406" s="33" t="s">
        <v>1255</v>
      </c>
      <c r="H406" s="33" t="s">
        <v>1256</v>
      </c>
      <c r="I406" s="33" t="s">
        <v>1257</v>
      </c>
      <c r="J406" s="33" t="s">
        <v>1258</v>
      </c>
      <c r="K406" s="34">
        <v>379.0</v>
      </c>
      <c r="L406" s="33"/>
      <c r="M406" s="6" t="s">
        <v>1259</v>
      </c>
      <c r="N406" s="35" t="s">
        <v>60</v>
      </c>
      <c r="O406" s="33" t="s">
        <v>1271</v>
      </c>
      <c r="P406" s="36" t="s">
        <v>62</v>
      </c>
      <c r="Q406" s="36" t="s">
        <v>167</v>
      </c>
      <c r="R406" s="36" t="s">
        <v>1261</v>
      </c>
      <c r="S406" s="37">
        <v>17.309722</v>
      </c>
      <c r="T406" s="37">
        <v>-89.174722</v>
      </c>
      <c r="U406" s="36" t="s">
        <v>148</v>
      </c>
      <c r="V406" s="38" t="s">
        <v>194</v>
      </c>
      <c r="W406" s="6" t="s">
        <v>1266</v>
      </c>
      <c r="X406" s="1" t="s">
        <v>286</v>
      </c>
      <c r="Y406" s="33" t="s">
        <v>70</v>
      </c>
      <c r="Z406" s="36"/>
      <c r="AA406" s="37">
        <v>10.0</v>
      </c>
      <c r="AB406" s="36"/>
      <c r="AC406" s="36"/>
      <c r="AD406" s="36"/>
      <c r="AE406" s="36"/>
      <c r="AF406" s="36"/>
      <c r="AG406" s="36"/>
      <c r="AH406" s="38" t="s">
        <v>72</v>
      </c>
      <c r="AI406" s="37">
        <v>-1400.0</v>
      </c>
      <c r="AJ406" s="37">
        <v>1950.0</v>
      </c>
      <c r="AK406" s="6" t="s">
        <v>1278</v>
      </c>
      <c r="AL406" s="6" t="s">
        <v>72</v>
      </c>
      <c r="AM406" s="6" t="s">
        <v>524</v>
      </c>
      <c r="AN406" s="6" t="s">
        <v>76</v>
      </c>
      <c r="AO406" s="33"/>
      <c r="AP406" s="6" t="s">
        <v>576</v>
      </c>
      <c r="AQ406" s="33"/>
      <c r="AR406" s="33"/>
      <c r="AS406" s="33"/>
      <c r="AT406" s="6" t="s">
        <v>76</v>
      </c>
      <c r="AU406" s="33"/>
      <c r="AV406" s="33"/>
      <c r="AW406" s="33"/>
      <c r="AX406" s="33"/>
      <c r="AY406" s="33"/>
      <c r="AZ406" s="6" t="s">
        <v>76</v>
      </c>
      <c r="BA406" s="33"/>
      <c r="BB406" s="33">
        <f>VLOOKUP(O406,Eco_DEM_Data!$D$1:$AC$643,20,False)</f>
        <v>1603</v>
      </c>
      <c r="BC406" s="33">
        <f>VLOOKUP($O406,Eco_DEM_Data!$D$1:$AC$643,20,False)</f>
        <v>1603</v>
      </c>
      <c r="BD406" s="33">
        <f>VLOOKUP($O406,Eco_DEM_Data!$D$1:$AC$643,25,False)</f>
        <v>622</v>
      </c>
      <c r="BE406" s="33">
        <f>VLOOKUP($O406,Eco_DEM_Data!$D$1:$AC$643,22,False)</f>
        <v>39</v>
      </c>
      <c r="BF406" s="33">
        <f>VLOOKUP($O406,Eco_DEM_Data!$D$1:$AC$643,23,False)</f>
        <v>134</v>
      </c>
      <c r="BG406" s="33">
        <f>VLOOKUP($O406,Eco_DEM_Data!$D$1:$AC$643,21,False)</f>
        <v>5295</v>
      </c>
      <c r="BH406" s="33">
        <f>VLOOKUP($O406,Eco_DEM_Data!$D$1:$AC$643,26,False)</f>
        <v>114</v>
      </c>
      <c r="BI406" s="33" t="str">
        <f>VLOOKUP($O406,Eco_DEM_Data!$D$1:$AC$643,9,False)</f>
        <v>Petén-Veracruz moist forests</v>
      </c>
      <c r="BJ406" s="33" t="str">
        <f>VLOOKUP($O406,Eco_DEM_Data!$D$1:$AC$643,11,False)</f>
        <v>Tropical &amp; Subtropical Moist Broadleaf Forests</v>
      </c>
    </row>
    <row r="407">
      <c r="A407" s="33" t="s">
        <v>459</v>
      </c>
      <c r="B407" s="33" t="s">
        <v>2258</v>
      </c>
      <c r="C407" s="34">
        <v>2.0</v>
      </c>
      <c r="D407" s="33" t="s">
        <v>53</v>
      </c>
      <c r="E407" s="34">
        <v>2014.0</v>
      </c>
      <c r="F407" s="33" t="s">
        <v>460</v>
      </c>
      <c r="G407" s="33" t="s">
        <v>461</v>
      </c>
      <c r="H407" s="33" t="s">
        <v>462</v>
      </c>
      <c r="I407" s="50" t="s">
        <v>463</v>
      </c>
      <c r="J407" s="33" t="s">
        <v>464</v>
      </c>
      <c r="K407" s="34">
        <v>141.0</v>
      </c>
      <c r="L407" s="33"/>
      <c r="M407" s="6" t="s">
        <v>374</v>
      </c>
      <c r="N407" s="35" t="s">
        <v>60</v>
      </c>
      <c r="O407" s="33" t="s">
        <v>465</v>
      </c>
      <c r="P407" s="36" t="s">
        <v>62</v>
      </c>
      <c r="Q407" s="36" t="s">
        <v>92</v>
      </c>
      <c r="R407" s="36" t="s">
        <v>466</v>
      </c>
      <c r="S407" s="37">
        <v>19.87</v>
      </c>
      <c r="T407" s="37">
        <v>-88.77</v>
      </c>
      <c r="U407" s="36" t="s">
        <v>148</v>
      </c>
      <c r="V407" s="6" t="s">
        <v>135</v>
      </c>
      <c r="W407" s="33" t="s">
        <v>467</v>
      </c>
      <c r="X407" s="1" t="s">
        <v>468</v>
      </c>
      <c r="Y407" s="33" t="s">
        <v>456</v>
      </c>
      <c r="Z407" s="36"/>
      <c r="AA407" s="37">
        <v>9.0</v>
      </c>
      <c r="AB407" s="36"/>
      <c r="AC407" s="36"/>
      <c r="AD407" s="36"/>
      <c r="AE407" s="36"/>
      <c r="AF407" s="36"/>
      <c r="AG407" s="36"/>
      <c r="AH407" s="36" t="s">
        <v>469</v>
      </c>
      <c r="AI407" s="36" t="s">
        <v>470</v>
      </c>
      <c r="AJ407" s="36" t="s">
        <v>470</v>
      </c>
      <c r="AK407" s="6" t="s">
        <v>73</v>
      </c>
      <c r="AL407" s="6" t="s">
        <v>72</v>
      </c>
      <c r="AM407" s="6" t="s">
        <v>132</v>
      </c>
      <c r="AN407" s="6" t="s">
        <v>60</v>
      </c>
      <c r="AO407" s="33" t="s">
        <v>471</v>
      </c>
      <c r="AP407" s="6" t="s">
        <v>102</v>
      </c>
      <c r="AQ407" s="33"/>
      <c r="AR407" s="33"/>
      <c r="AS407" s="33"/>
      <c r="AT407" s="6" t="s">
        <v>76</v>
      </c>
      <c r="AU407" s="33"/>
      <c r="AV407" s="33"/>
      <c r="AW407" s="33"/>
      <c r="AX407" s="33"/>
      <c r="AY407" s="33"/>
      <c r="AZ407" s="6" t="s">
        <v>60</v>
      </c>
      <c r="BA407" s="33"/>
      <c r="BB407" s="33">
        <f>VLOOKUP(O407,Eco_DEM_Data!$D$1:$AC$643,20,False)</f>
        <v>1244</v>
      </c>
      <c r="BC407" s="33">
        <f>VLOOKUP($O407,Eco_DEM_Data!$D$1:$AC$643,20,False)</f>
        <v>1244</v>
      </c>
      <c r="BD407" s="33">
        <f>VLOOKUP($O407,Eco_DEM_Data!$D$1:$AC$643,25,False)</f>
        <v>548</v>
      </c>
      <c r="BE407" s="33">
        <f>VLOOKUP($O407,Eco_DEM_Data!$D$1:$AC$643,22,False)</f>
        <v>31</v>
      </c>
      <c r="BF407" s="33">
        <f>VLOOKUP($O407,Eco_DEM_Data!$D$1:$AC$643,23,False)</f>
        <v>105</v>
      </c>
      <c r="BG407" s="33">
        <f>VLOOKUP($O407,Eco_DEM_Data!$D$1:$AC$643,21,False)</f>
        <v>6267</v>
      </c>
      <c r="BH407" s="33">
        <f>VLOOKUP($O407,Eco_DEM_Data!$D$1:$AC$643,26,False)</f>
        <v>36</v>
      </c>
      <c r="BI407" s="33" t="str">
        <f>VLOOKUP($O407,Eco_DEM_Data!$D$1:$AC$643,9,False)</f>
        <v>Yucatán moist forests</v>
      </c>
      <c r="BJ407" s="33" t="str">
        <f>VLOOKUP($O407,Eco_DEM_Data!$D$1:$AC$643,11,False)</f>
        <v>Tropical &amp; Subtropical Moist Broadleaf Forests</v>
      </c>
    </row>
    <row r="408">
      <c r="A408" s="33" t="s">
        <v>459</v>
      </c>
      <c r="B408" s="33" t="s">
        <v>2258</v>
      </c>
      <c r="C408" s="34">
        <v>2.0</v>
      </c>
      <c r="D408" s="33" t="s">
        <v>53</v>
      </c>
      <c r="E408" s="34">
        <v>2014.0</v>
      </c>
      <c r="F408" s="33" t="s">
        <v>460</v>
      </c>
      <c r="G408" s="33" t="s">
        <v>461</v>
      </c>
      <c r="H408" s="33" t="s">
        <v>462</v>
      </c>
      <c r="I408" s="50" t="s">
        <v>472</v>
      </c>
      <c r="J408" s="33" t="s">
        <v>464</v>
      </c>
      <c r="K408" s="34">
        <v>141.0</v>
      </c>
      <c r="L408" s="33"/>
      <c r="M408" s="6" t="s">
        <v>374</v>
      </c>
      <c r="N408" s="35" t="s">
        <v>60</v>
      </c>
      <c r="O408" s="33" t="s">
        <v>473</v>
      </c>
      <c r="P408" s="36" t="s">
        <v>62</v>
      </c>
      <c r="Q408" s="36" t="s">
        <v>92</v>
      </c>
      <c r="R408" s="36" t="s">
        <v>466</v>
      </c>
      <c r="S408" s="37">
        <v>19.87</v>
      </c>
      <c r="T408" s="37">
        <v>-88.77</v>
      </c>
      <c r="U408" s="36" t="s">
        <v>148</v>
      </c>
      <c r="V408" s="38" t="s">
        <v>474</v>
      </c>
      <c r="W408" s="33" t="s">
        <v>467</v>
      </c>
      <c r="X408" s="1" t="s">
        <v>468</v>
      </c>
      <c r="Y408" s="33" t="s">
        <v>456</v>
      </c>
      <c r="Z408" s="36"/>
      <c r="AA408" s="37">
        <v>9.0</v>
      </c>
      <c r="AB408" s="36"/>
      <c r="AC408" s="36"/>
      <c r="AD408" s="36"/>
      <c r="AE408" s="36"/>
      <c r="AF408" s="36"/>
      <c r="AG408" s="36"/>
      <c r="AH408" s="36" t="s">
        <v>469</v>
      </c>
      <c r="AI408" s="36" t="s">
        <v>470</v>
      </c>
      <c r="AJ408" s="36" t="s">
        <v>470</v>
      </c>
      <c r="AK408" s="6" t="s">
        <v>73</v>
      </c>
      <c r="AL408" s="6" t="s">
        <v>72</v>
      </c>
      <c r="AM408" s="6" t="s">
        <v>132</v>
      </c>
      <c r="AN408" s="6" t="s">
        <v>60</v>
      </c>
      <c r="AO408" s="33" t="s">
        <v>471</v>
      </c>
      <c r="AP408" s="6" t="s">
        <v>102</v>
      </c>
      <c r="AQ408" s="33"/>
      <c r="AR408" s="33"/>
      <c r="AS408" s="33"/>
      <c r="AT408" s="6" t="s">
        <v>76</v>
      </c>
      <c r="AU408" s="33"/>
      <c r="AV408" s="33"/>
      <c r="AW408" s="33"/>
      <c r="AX408" s="33"/>
      <c r="AY408" s="33"/>
      <c r="AZ408" s="6" t="s">
        <v>60</v>
      </c>
      <c r="BA408" s="33"/>
      <c r="BB408" s="33">
        <f>VLOOKUP(O408,Eco_DEM_Data!$D$1:$AC$643,20,False)</f>
        <v>1244</v>
      </c>
      <c r="BC408" s="33">
        <f>VLOOKUP($O408,Eco_DEM_Data!$D$1:$AC$643,20,False)</f>
        <v>1244</v>
      </c>
      <c r="BD408" s="33">
        <f>VLOOKUP($O408,Eco_DEM_Data!$D$1:$AC$643,25,False)</f>
        <v>548</v>
      </c>
      <c r="BE408" s="33">
        <f>VLOOKUP($O408,Eco_DEM_Data!$D$1:$AC$643,22,False)</f>
        <v>31</v>
      </c>
      <c r="BF408" s="33">
        <f>VLOOKUP($O408,Eco_DEM_Data!$D$1:$AC$643,23,False)</f>
        <v>105</v>
      </c>
      <c r="BG408" s="33">
        <f>VLOOKUP($O408,Eco_DEM_Data!$D$1:$AC$643,21,False)</f>
        <v>6267</v>
      </c>
      <c r="BH408" s="33">
        <f>VLOOKUP($O408,Eco_DEM_Data!$D$1:$AC$643,26,False)</f>
        <v>36</v>
      </c>
      <c r="BI408" s="33" t="str">
        <f>VLOOKUP($O408,Eco_DEM_Data!$D$1:$AC$643,9,False)</f>
        <v>Yucatán moist forests</v>
      </c>
      <c r="BJ408" s="33" t="str">
        <f>VLOOKUP($O408,Eco_DEM_Data!$D$1:$AC$643,11,False)</f>
        <v>Tropical &amp; Subtropical Moist Broadleaf Forests</v>
      </c>
    </row>
    <row r="409">
      <c r="A409" s="33" t="s">
        <v>712</v>
      </c>
      <c r="B409" s="33" t="s">
        <v>2258</v>
      </c>
      <c r="C409" s="34">
        <v>2.0</v>
      </c>
      <c r="D409" s="33" t="s">
        <v>53</v>
      </c>
      <c r="E409" s="34">
        <v>2014.0</v>
      </c>
      <c r="F409" s="33" t="s">
        <v>713</v>
      </c>
      <c r="G409" s="33" t="s">
        <v>714</v>
      </c>
      <c r="H409" s="33" t="s">
        <v>715</v>
      </c>
      <c r="I409" s="33" t="s">
        <v>716</v>
      </c>
      <c r="J409" s="33" t="s">
        <v>717</v>
      </c>
      <c r="K409" s="34">
        <v>54.0</v>
      </c>
      <c r="L409" s="34">
        <v>1.0</v>
      </c>
      <c r="M409" s="6" t="s">
        <v>718</v>
      </c>
      <c r="N409" s="35" t="s">
        <v>60</v>
      </c>
      <c r="O409" s="33" t="s">
        <v>719</v>
      </c>
      <c r="P409" s="36" t="s">
        <v>62</v>
      </c>
      <c r="Q409" s="36" t="s">
        <v>167</v>
      </c>
      <c r="R409" s="36" t="s">
        <v>720</v>
      </c>
      <c r="S409" s="37">
        <v>17.14</v>
      </c>
      <c r="T409" s="37">
        <v>-90.4</v>
      </c>
      <c r="U409" s="36" t="s">
        <v>148</v>
      </c>
      <c r="V409" s="38" t="s">
        <v>614</v>
      </c>
      <c r="W409" s="6" t="s">
        <v>727</v>
      </c>
      <c r="X409" s="3" t="s">
        <v>72</v>
      </c>
      <c r="Y409" s="6" t="s">
        <v>83</v>
      </c>
      <c r="Z409" s="36"/>
      <c r="AA409" s="37">
        <v>7.0</v>
      </c>
      <c r="AB409" s="36"/>
      <c r="AC409" s="36"/>
      <c r="AD409" s="36"/>
      <c r="AE409" s="36"/>
      <c r="AF409" s="36"/>
      <c r="AG409" s="36"/>
      <c r="AH409" s="38" t="s">
        <v>72</v>
      </c>
      <c r="AI409" s="37">
        <v>-3331.0</v>
      </c>
      <c r="AJ409" s="37">
        <v>1950.0</v>
      </c>
      <c r="AK409" s="6" t="s">
        <v>100</v>
      </c>
      <c r="AL409" s="6" t="s">
        <v>72</v>
      </c>
      <c r="AM409" s="6" t="s">
        <v>72</v>
      </c>
      <c r="AN409" s="6" t="s">
        <v>72</v>
      </c>
      <c r="AO409" s="33"/>
      <c r="AP409" s="6" t="s">
        <v>75</v>
      </c>
      <c r="AQ409" s="33"/>
      <c r="AR409" s="33"/>
      <c r="AS409" s="33"/>
      <c r="AT409" s="6" t="s">
        <v>76</v>
      </c>
      <c r="AU409" s="33"/>
      <c r="AV409" s="33"/>
      <c r="AW409" s="33"/>
      <c r="AX409" s="33"/>
      <c r="AY409" s="33"/>
      <c r="AZ409" s="6" t="s">
        <v>76</v>
      </c>
      <c r="BA409" s="33"/>
      <c r="BB409" s="33">
        <f>VLOOKUP(O409,Eco_DEM_Data!$D$1:$AC$643,20,False)</f>
        <v>2046</v>
      </c>
      <c r="BC409" s="33">
        <f>VLOOKUP($O409,Eco_DEM_Data!$D$1:$AC$643,20,False)</f>
        <v>2046</v>
      </c>
      <c r="BD409" s="33">
        <f>VLOOKUP($O409,Eco_DEM_Data!$D$1:$AC$643,25,False)</f>
        <v>883</v>
      </c>
      <c r="BE409" s="33">
        <f>VLOOKUP($O409,Eco_DEM_Data!$D$1:$AC$643,22,False)</f>
        <v>41</v>
      </c>
      <c r="BF409" s="33">
        <f>VLOOKUP($O409,Eco_DEM_Data!$D$1:$AC$643,23,False)</f>
        <v>148</v>
      </c>
      <c r="BG409" s="33">
        <f>VLOOKUP($O409,Eco_DEM_Data!$D$1:$AC$643,21,False)</f>
        <v>6297</v>
      </c>
      <c r="BH409" s="33">
        <f>VLOOKUP($O409,Eco_DEM_Data!$D$1:$AC$643,26,False)</f>
        <v>62</v>
      </c>
      <c r="BI409" s="33" t="str">
        <f>VLOOKUP($O409,Eco_DEM_Data!$D$1:$AC$643,9,False)</f>
        <v>Petén-Veracruz moist forests</v>
      </c>
      <c r="BJ409" s="33" t="str">
        <f>VLOOKUP($O409,Eco_DEM_Data!$D$1:$AC$643,11,False)</f>
        <v>Tropical &amp; Subtropical Moist Broadleaf Forests</v>
      </c>
    </row>
    <row r="410">
      <c r="A410" s="33" t="s">
        <v>712</v>
      </c>
      <c r="B410" s="33" t="s">
        <v>2258</v>
      </c>
      <c r="C410" s="34">
        <v>2.0</v>
      </c>
      <c r="D410" s="33" t="s">
        <v>53</v>
      </c>
      <c r="E410" s="34">
        <v>2014.0</v>
      </c>
      <c r="F410" s="33" t="s">
        <v>713</v>
      </c>
      <c r="G410" s="33" t="s">
        <v>714</v>
      </c>
      <c r="H410" s="33" t="s">
        <v>715</v>
      </c>
      <c r="I410" s="33" t="s">
        <v>716</v>
      </c>
      <c r="J410" s="33" t="s">
        <v>717</v>
      </c>
      <c r="K410" s="34">
        <v>54.0</v>
      </c>
      <c r="L410" s="34">
        <v>1.0</v>
      </c>
      <c r="M410" s="6" t="s">
        <v>718</v>
      </c>
      <c r="N410" s="35" t="s">
        <v>60</v>
      </c>
      <c r="O410" s="33" t="s">
        <v>722</v>
      </c>
      <c r="P410" s="36" t="s">
        <v>62</v>
      </c>
      <c r="Q410" s="36" t="s">
        <v>167</v>
      </c>
      <c r="R410" s="36" t="s">
        <v>720</v>
      </c>
      <c r="S410" s="37">
        <v>17.14</v>
      </c>
      <c r="T410" s="37">
        <v>-90.4</v>
      </c>
      <c r="U410" s="36" t="s">
        <v>148</v>
      </c>
      <c r="V410" s="38" t="s">
        <v>194</v>
      </c>
      <c r="W410" s="33" t="s">
        <v>723</v>
      </c>
      <c r="X410" s="1" t="s">
        <v>724</v>
      </c>
      <c r="Y410" s="33" t="s">
        <v>70</v>
      </c>
      <c r="Z410" s="36"/>
      <c r="AA410" s="37">
        <v>7.0</v>
      </c>
      <c r="AB410" s="36"/>
      <c r="AC410" s="36"/>
      <c r="AD410" s="36"/>
      <c r="AE410" s="36"/>
      <c r="AF410" s="36"/>
      <c r="AG410" s="36"/>
      <c r="AH410" s="38" t="s">
        <v>72</v>
      </c>
      <c r="AI410" s="37">
        <v>-3331.0</v>
      </c>
      <c r="AJ410" s="37">
        <v>1950.0</v>
      </c>
      <c r="AK410" s="6" t="s">
        <v>100</v>
      </c>
      <c r="AL410" s="6" t="s">
        <v>72</v>
      </c>
      <c r="AM410" s="6" t="s">
        <v>72</v>
      </c>
      <c r="AN410" s="6" t="s">
        <v>72</v>
      </c>
      <c r="AO410" s="33"/>
      <c r="AP410" s="6" t="s">
        <v>102</v>
      </c>
      <c r="AQ410" s="33"/>
      <c r="AR410" s="33"/>
      <c r="AS410" s="33"/>
      <c r="AT410" s="6" t="s">
        <v>76</v>
      </c>
      <c r="AU410" s="33"/>
      <c r="AV410" s="33"/>
      <c r="AW410" s="33"/>
      <c r="AX410" s="33"/>
      <c r="AY410" s="33"/>
      <c r="AZ410" s="6" t="s">
        <v>76</v>
      </c>
      <c r="BA410" s="33"/>
      <c r="BB410" s="33">
        <f>VLOOKUP(O410,Eco_DEM_Data!$D$1:$AC$643,20,False)</f>
        <v>2046</v>
      </c>
      <c r="BC410" s="33">
        <f>VLOOKUP($O410,Eco_DEM_Data!$D$1:$AC$643,20,False)</f>
        <v>2046</v>
      </c>
      <c r="BD410" s="33">
        <f>VLOOKUP($O410,Eco_DEM_Data!$D$1:$AC$643,25,False)</f>
        <v>883</v>
      </c>
      <c r="BE410" s="33">
        <f>VLOOKUP($O410,Eco_DEM_Data!$D$1:$AC$643,22,False)</f>
        <v>41</v>
      </c>
      <c r="BF410" s="33">
        <f>VLOOKUP($O410,Eco_DEM_Data!$D$1:$AC$643,23,False)</f>
        <v>148</v>
      </c>
      <c r="BG410" s="33">
        <f>VLOOKUP($O410,Eco_DEM_Data!$D$1:$AC$643,21,False)</f>
        <v>6297</v>
      </c>
      <c r="BH410" s="33">
        <f>VLOOKUP($O410,Eco_DEM_Data!$D$1:$AC$643,26,False)</f>
        <v>62</v>
      </c>
      <c r="BI410" s="33" t="str">
        <f>VLOOKUP($O410,Eco_DEM_Data!$D$1:$AC$643,9,False)</f>
        <v>Petén-Veracruz moist forests</v>
      </c>
      <c r="BJ410" s="33" t="str">
        <f>VLOOKUP($O410,Eco_DEM_Data!$D$1:$AC$643,11,False)</f>
        <v>Tropical &amp; Subtropical Moist Broadleaf Forests</v>
      </c>
    </row>
    <row r="411">
      <c r="A411" s="33" t="s">
        <v>712</v>
      </c>
      <c r="B411" s="33" t="s">
        <v>2258</v>
      </c>
      <c r="C411" s="34">
        <v>2.0</v>
      </c>
      <c r="D411" s="33" t="s">
        <v>53</v>
      </c>
      <c r="E411" s="34">
        <v>2014.0</v>
      </c>
      <c r="F411" s="33" t="s">
        <v>713</v>
      </c>
      <c r="G411" s="33" t="s">
        <v>714</v>
      </c>
      <c r="H411" s="33" t="s">
        <v>715</v>
      </c>
      <c r="I411" s="33" t="s">
        <v>716</v>
      </c>
      <c r="J411" s="33" t="s">
        <v>717</v>
      </c>
      <c r="K411" s="34">
        <v>54.0</v>
      </c>
      <c r="L411" s="34">
        <v>1.0</v>
      </c>
      <c r="M411" s="6" t="s">
        <v>718</v>
      </c>
      <c r="N411" s="35" t="s">
        <v>60</v>
      </c>
      <c r="O411" s="33" t="s">
        <v>725</v>
      </c>
      <c r="P411" s="36" t="s">
        <v>62</v>
      </c>
      <c r="Q411" s="36" t="s">
        <v>167</v>
      </c>
      <c r="R411" s="36" t="s">
        <v>720</v>
      </c>
      <c r="S411" s="37">
        <v>17.14</v>
      </c>
      <c r="T411" s="37">
        <v>-90.4</v>
      </c>
      <c r="U411" s="36" t="s">
        <v>148</v>
      </c>
      <c r="V411" s="6" t="s">
        <v>275</v>
      </c>
      <c r="W411" s="33" t="s">
        <v>116</v>
      </c>
      <c r="X411" s="1" t="s">
        <v>278</v>
      </c>
      <c r="Y411" s="33" t="s">
        <v>279</v>
      </c>
      <c r="Z411" s="36"/>
      <c r="AA411" s="37">
        <v>7.0</v>
      </c>
      <c r="AB411" s="36"/>
      <c r="AC411" s="36"/>
      <c r="AD411" s="36"/>
      <c r="AE411" s="36"/>
      <c r="AF411" s="36"/>
      <c r="AG411" s="36"/>
      <c r="AH411" s="38" t="s">
        <v>72</v>
      </c>
      <c r="AI411" s="37">
        <v>-3331.0</v>
      </c>
      <c r="AJ411" s="37">
        <v>1950.0</v>
      </c>
      <c r="AK411" s="6" t="s">
        <v>100</v>
      </c>
      <c r="AL411" s="6" t="s">
        <v>72</v>
      </c>
      <c r="AM411" s="6" t="s">
        <v>72</v>
      </c>
      <c r="AN411" s="6" t="s">
        <v>72</v>
      </c>
      <c r="AO411" s="33"/>
      <c r="AP411" s="6" t="s">
        <v>102</v>
      </c>
      <c r="AQ411" s="33"/>
      <c r="AR411" s="33"/>
      <c r="AS411" s="33"/>
      <c r="AT411" s="6" t="s">
        <v>76</v>
      </c>
      <c r="AU411" s="33"/>
      <c r="AV411" s="33"/>
      <c r="AW411" s="33"/>
      <c r="AX411" s="33"/>
      <c r="AY411" s="33"/>
      <c r="AZ411" s="6" t="s">
        <v>76</v>
      </c>
      <c r="BA411" s="33"/>
      <c r="BB411" s="33">
        <f>VLOOKUP(O411,Eco_DEM_Data!$D$1:$AC$643,20,False)</f>
        <v>2046</v>
      </c>
      <c r="BC411" s="33">
        <f>VLOOKUP($O411,Eco_DEM_Data!$D$1:$AC$643,20,False)</f>
        <v>2046</v>
      </c>
      <c r="BD411" s="33">
        <f>VLOOKUP($O411,Eco_DEM_Data!$D$1:$AC$643,25,False)</f>
        <v>883</v>
      </c>
      <c r="BE411" s="33">
        <f>VLOOKUP($O411,Eco_DEM_Data!$D$1:$AC$643,22,False)</f>
        <v>41</v>
      </c>
      <c r="BF411" s="33">
        <f>VLOOKUP($O411,Eco_DEM_Data!$D$1:$AC$643,23,False)</f>
        <v>148</v>
      </c>
      <c r="BG411" s="33">
        <f>VLOOKUP($O411,Eco_DEM_Data!$D$1:$AC$643,21,False)</f>
        <v>6297</v>
      </c>
      <c r="BH411" s="33">
        <f>VLOOKUP($O411,Eco_DEM_Data!$D$1:$AC$643,26,False)</f>
        <v>62</v>
      </c>
      <c r="BI411" s="33" t="str">
        <f>VLOOKUP($O411,Eco_DEM_Data!$D$1:$AC$643,9,False)</f>
        <v>Petén-Veracruz moist forests</v>
      </c>
      <c r="BJ411" s="33" t="str">
        <f>VLOOKUP($O411,Eco_DEM_Data!$D$1:$AC$643,11,False)</f>
        <v>Tropical &amp; Subtropical Moist Broadleaf Forests</v>
      </c>
    </row>
    <row r="412">
      <c r="A412" s="33" t="s">
        <v>712</v>
      </c>
      <c r="B412" s="33" t="s">
        <v>2258</v>
      </c>
      <c r="C412" s="34">
        <v>2.0</v>
      </c>
      <c r="D412" s="33" t="s">
        <v>53</v>
      </c>
      <c r="E412" s="34">
        <v>2014.0</v>
      </c>
      <c r="F412" s="33" t="s">
        <v>713</v>
      </c>
      <c r="G412" s="33" t="s">
        <v>714</v>
      </c>
      <c r="H412" s="33" t="s">
        <v>715</v>
      </c>
      <c r="I412" s="33" t="s">
        <v>716</v>
      </c>
      <c r="J412" s="33" t="s">
        <v>717</v>
      </c>
      <c r="K412" s="34">
        <v>54.0</v>
      </c>
      <c r="L412" s="34">
        <v>1.0</v>
      </c>
      <c r="M412" s="6" t="s">
        <v>718</v>
      </c>
      <c r="N412" s="35" t="s">
        <v>60</v>
      </c>
      <c r="O412" s="33" t="s">
        <v>726</v>
      </c>
      <c r="P412" s="36" t="s">
        <v>62</v>
      </c>
      <c r="Q412" s="36" t="s">
        <v>167</v>
      </c>
      <c r="R412" s="36" t="s">
        <v>720</v>
      </c>
      <c r="S412" s="37">
        <v>17.14</v>
      </c>
      <c r="T412" s="37">
        <v>-90.4</v>
      </c>
      <c r="U412" s="36" t="s">
        <v>148</v>
      </c>
      <c r="V412" s="6" t="s">
        <v>95</v>
      </c>
      <c r="W412" s="6" t="s">
        <v>727</v>
      </c>
      <c r="X412" s="3" t="s">
        <v>72</v>
      </c>
      <c r="Y412" s="6" t="s">
        <v>728</v>
      </c>
      <c r="Z412" s="36"/>
      <c r="AA412" s="37">
        <v>7.0</v>
      </c>
      <c r="AB412" s="36"/>
      <c r="AC412" s="36"/>
      <c r="AD412" s="36"/>
      <c r="AE412" s="36"/>
      <c r="AF412" s="36"/>
      <c r="AG412" s="36"/>
      <c r="AH412" s="38" t="s">
        <v>72</v>
      </c>
      <c r="AI412" s="37">
        <v>-3331.0</v>
      </c>
      <c r="AJ412" s="37">
        <v>1950.0</v>
      </c>
      <c r="AK412" s="6" t="s">
        <v>100</v>
      </c>
      <c r="AL412" s="6" t="s">
        <v>72</v>
      </c>
      <c r="AM412" s="6" t="s">
        <v>72</v>
      </c>
      <c r="AN412" s="6" t="s">
        <v>72</v>
      </c>
      <c r="AO412" s="33"/>
      <c r="AP412" s="6" t="s">
        <v>102</v>
      </c>
      <c r="AQ412" s="33"/>
      <c r="AR412" s="33"/>
      <c r="AS412" s="33"/>
      <c r="AT412" s="6" t="s">
        <v>76</v>
      </c>
      <c r="AU412" s="33"/>
      <c r="AV412" s="33"/>
      <c r="AW412" s="33"/>
      <c r="AX412" s="33"/>
      <c r="AY412" s="33"/>
      <c r="AZ412" s="6" t="s">
        <v>76</v>
      </c>
      <c r="BA412" s="33"/>
      <c r="BB412" s="33">
        <f>VLOOKUP(O412,Eco_DEM_Data!$D$1:$AC$643,20,False)</f>
        <v>2046</v>
      </c>
      <c r="BC412" s="33">
        <f>VLOOKUP($O412,Eco_DEM_Data!$D$1:$AC$643,20,False)</f>
        <v>2046</v>
      </c>
      <c r="BD412" s="33">
        <f>VLOOKUP($O412,Eco_DEM_Data!$D$1:$AC$643,25,False)</f>
        <v>883</v>
      </c>
      <c r="BE412" s="33">
        <f>VLOOKUP($O412,Eco_DEM_Data!$D$1:$AC$643,22,False)</f>
        <v>41</v>
      </c>
      <c r="BF412" s="33">
        <f>VLOOKUP($O412,Eco_DEM_Data!$D$1:$AC$643,23,False)</f>
        <v>148</v>
      </c>
      <c r="BG412" s="33">
        <f>VLOOKUP($O412,Eco_DEM_Data!$D$1:$AC$643,21,False)</f>
        <v>6297</v>
      </c>
      <c r="BH412" s="33">
        <f>VLOOKUP($O412,Eco_DEM_Data!$D$1:$AC$643,26,False)</f>
        <v>62</v>
      </c>
      <c r="BI412" s="33" t="str">
        <f>VLOOKUP($O412,Eco_DEM_Data!$D$1:$AC$643,9,False)</f>
        <v>Petén-Veracruz moist forests</v>
      </c>
      <c r="BJ412" s="33" t="str">
        <f>VLOOKUP($O412,Eco_DEM_Data!$D$1:$AC$643,11,False)</f>
        <v>Tropical &amp; Subtropical Moist Broadleaf Forests</v>
      </c>
    </row>
    <row r="413">
      <c r="A413" s="33" t="s">
        <v>548</v>
      </c>
      <c r="B413" s="33" t="s">
        <v>2258</v>
      </c>
      <c r="C413" s="34">
        <v>1.0</v>
      </c>
      <c r="D413" s="33" t="s">
        <v>53</v>
      </c>
      <c r="E413" s="34">
        <v>2014.0</v>
      </c>
      <c r="F413" s="33" t="s">
        <v>549</v>
      </c>
      <c r="G413" s="33" t="s">
        <v>550</v>
      </c>
      <c r="H413" s="33" t="s">
        <v>551</v>
      </c>
      <c r="I413" s="33" t="s">
        <v>552</v>
      </c>
      <c r="J413" s="33" t="s">
        <v>553</v>
      </c>
      <c r="K413" s="34">
        <v>41.0</v>
      </c>
      <c r="L413" s="34">
        <v>14.0</v>
      </c>
      <c r="M413" s="6" t="s">
        <v>554</v>
      </c>
      <c r="N413" s="35" t="s">
        <v>76</v>
      </c>
      <c r="O413" s="33" t="s">
        <v>548</v>
      </c>
      <c r="P413" s="36" t="s">
        <v>62</v>
      </c>
      <c r="Q413" s="36" t="s">
        <v>92</v>
      </c>
      <c r="R413" s="36" t="s">
        <v>555</v>
      </c>
      <c r="S413" s="37">
        <v>20.46</v>
      </c>
      <c r="T413" s="37">
        <v>-89.17</v>
      </c>
      <c r="U413" s="36" t="s">
        <v>94</v>
      </c>
      <c r="V413" s="6" t="s">
        <v>275</v>
      </c>
      <c r="W413" s="6" t="s">
        <v>556</v>
      </c>
      <c r="X413" s="3" t="s">
        <v>72</v>
      </c>
      <c r="Y413" s="33" t="s">
        <v>279</v>
      </c>
      <c r="Z413" s="36"/>
      <c r="AA413" s="37"/>
      <c r="AB413" s="36"/>
      <c r="AC413" s="37">
        <v>1.0</v>
      </c>
      <c r="AD413" s="36"/>
      <c r="AE413" s="37">
        <v>1.0</v>
      </c>
      <c r="AF413" s="36"/>
      <c r="AG413" s="36"/>
      <c r="AH413" s="38" t="s">
        <v>72</v>
      </c>
      <c r="AI413" s="37">
        <v>1851.0</v>
      </c>
      <c r="AJ413" s="37">
        <v>2007.0</v>
      </c>
      <c r="AK413" s="6" t="s">
        <v>153</v>
      </c>
      <c r="AL413" s="6" t="s">
        <v>72</v>
      </c>
      <c r="AM413" s="5" t="s">
        <v>72</v>
      </c>
      <c r="AN413" s="6" t="s">
        <v>101</v>
      </c>
      <c r="AO413" s="33"/>
      <c r="AP413" s="6" t="s">
        <v>102</v>
      </c>
      <c r="AQ413" s="33"/>
      <c r="AR413" s="33"/>
      <c r="AS413" s="33"/>
      <c r="AT413" s="6" t="s">
        <v>76</v>
      </c>
      <c r="AU413" s="33"/>
      <c r="AV413" s="33"/>
      <c r="AW413" s="33"/>
      <c r="AX413" s="33"/>
      <c r="AY413" s="33"/>
      <c r="AZ413" s="6" t="s">
        <v>60</v>
      </c>
      <c r="BA413" s="33"/>
      <c r="BB413" s="33">
        <f>VLOOKUP(O413,Eco_DEM_Data!$D$1:$AC$643,20,False)</f>
        <v>1167</v>
      </c>
      <c r="BC413" s="33">
        <f>VLOOKUP($O413,Eco_DEM_Data!$D$1:$AC$643,20,False)</f>
        <v>1167</v>
      </c>
      <c r="BD413" s="33">
        <f>VLOOKUP($O413,Eco_DEM_Data!$D$1:$AC$643,25,False)</f>
        <v>540</v>
      </c>
      <c r="BE413" s="33">
        <f>VLOOKUP($O413,Eco_DEM_Data!$D$1:$AC$643,22,False)</f>
        <v>29</v>
      </c>
      <c r="BF413" s="33">
        <f>VLOOKUP($O413,Eco_DEM_Data!$D$1:$AC$643,23,False)</f>
        <v>103</v>
      </c>
      <c r="BG413" s="33">
        <f>VLOOKUP($O413,Eco_DEM_Data!$D$1:$AC$643,21,False)</f>
        <v>6564</v>
      </c>
      <c r="BH413" s="33">
        <f>VLOOKUP($O413,Eco_DEM_Data!$D$1:$AC$643,26,False)</f>
        <v>21</v>
      </c>
      <c r="BI413" s="33" t="str">
        <f>VLOOKUP($O413,Eco_DEM_Data!$D$1:$AC$643,9,False)</f>
        <v>Yucatán dry forests</v>
      </c>
      <c r="BJ413" s="33" t="str">
        <f>VLOOKUP($O413,Eco_DEM_Data!$D$1:$AC$643,11,False)</f>
        <v>Tropical &amp; Subtropical Dry Broadleaf Forests</v>
      </c>
    </row>
    <row r="414">
      <c r="A414" s="33" t="s">
        <v>1719</v>
      </c>
      <c r="B414" s="33" t="s">
        <v>2259</v>
      </c>
      <c r="C414" s="34">
        <v>2.0</v>
      </c>
      <c r="D414" s="33" t="s">
        <v>53</v>
      </c>
      <c r="E414" s="34">
        <v>2014.0</v>
      </c>
      <c r="F414" s="33" t="s">
        <v>1720</v>
      </c>
      <c r="G414" s="33" t="s">
        <v>1721</v>
      </c>
      <c r="H414" s="33" t="s">
        <v>1386</v>
      </c>
      <c r="I414" s="33" t="s">
        <v>1722</v>
      </c>
      <c r="J414" s="33" t="s">
        <v>1723</v>
      </c>
      <c r="K414" s="34">
        <v>103.0</v>
      </c>
      <c r="L414" s="33"/>
      <c r="M414" s="6" t="s">
        <v>1724</v>
      </c>
      <c r="N414" s="35" t="s">
        <v>60</v>
      </c>
      <c r="O414" s="33" t="s">
        <v>1725</v>
      </c>
      <c r="P414" s="36" t="s">
        <v>62</v>
      </c>
      <c r="Q414" s="36" t="s">
        <v>167</v>
      </c>
      <c r="R414" s="36" t="s">
        <v>588</v>
      </c>
      <c r="S414" s="37">
        <v>17.533333</v>
      </c>
      <c r="T414" s="37">
        <v>-90.183333</v>
      </c>
      <c r="U414" s="36" t="s">
        <v>148</v>
      </c>
      <c r="V414" s="38" t="s">
        <v>66</v>
      </c>
      <c r="W414" s="41" t="s">
        <v>823</v>
      </c>
      <c r="X414" s="10" t="s">
        <v>72</v>
      </c>
      <c r="Y414" s="41" t="s">
        <v>70</v>
      </c>
      <c r="Z414" s="43"/>
      <c r="AA414" s="42">
        <v>7.0</v>
      </c>
      <c r="AB414" s="43"/>
      <c r="AC414" s="43"/>
      <c r="AD414" s="43"/>
      <c r="AE414" s="43"/>
      <c r="AF414" s="43"/>
      <c r="AG414" s="43"/>
      <c r="AH414" s="38" t="s">
        <v>72</v>
      </c>
      <c r="AI414" s="42">
        <v>-7000.0</v>
      </c>
      <c r="AJ414" s="42">
        <v>1950.0</v>
      </c>
      <c r="AK414" s="5" t="s">
        <v>73</v>
      </c>
      <c r="AL414" s="5" t="s">
        <v>72</v>
      </c>
      <c r="AM414" s="6" t="s">
        <v>132</v>
      </c>
      <c r="AN414" s="5" t="s">
        <v>72</v>
      </c>
      <c r="AO414" s="41"/>
      <c r="AP414" s="5" t="s">
        <v>102</v>
      </c>
      <c r="AQ414" s="41"/>
      <c r="AR414" s="41"/>
      <c r="AS414" s="41"/>
      <c r="AT414" s="5" t="s">
        <v>60</v>
      </c>
      <c r="AU414" s="33"/>
      <c r="AV414" s="33"/>
      <c r="AW414" s="33"/>
      <c r="AX414" s="33"/>
      <c r="AY414" s="33"/>
      <c r="AZ414" s="6" t="s">
        <v>76</v>
      </c>
      <c r="BA414" s="33"/>
      <c r="BB414" s="33">
        <f>VLOOKUP(O414,Eco_DEM_Data!$D$1:$AC$643,20,False)</f>
        <v>1598</v>
      </c>
      <c r="BC414" s="33">
        <f>VLOOKUP($O414,Eco_DEM_Data!$D$1:$AC$643,20,False)</f>
        <v>1598</v>
      </c>
      <c r="BD414" s="33">
        <f>VLOOKUP($O414,Eco_DEM_Data!$D$1:$AC$643,25,False)</f>
        <v>686</v>
      </c>
      <c r="BE414" s="33">
        <f>VLOOKUP($O414,Eco_DEM_Data!$D$1:$AC$643,22,False)</f>
        <v>33</v>
      </c>
      <c r="BF414" s="33">
        <f>VLOOKUP($O414,Eco_DEM_Data!$D$1:$AC$643,23,False)</f>
        <v>119</v>
      </c>
      <c r="BG414" s="33">
        <f>VLOOKUP($O414,Eco_DEM_Data!$D$1:$AC$643,21,False)</f>
        <v>6059</v>
      </c>
      <c r="BH414" s="33">
        <f>VLOOKUP($O414,Eco_DEM_Data!$D$1:$AC$643,26,False)</f>
        <v>238</v>
      </c>
      <c r="BI414" s="33" t="str">
        <f>VLOOKUP($O414,Eco_DEM_Data!$D$1:$AC$643,9,False)</f>
        <v>Petén-Veracruz moist forests</v>
      </c>
      <c r="BJ414" s="33" t="str">
        <f>VLOOKUP($O414,Eco_DEM_Data!$D$1:$AC$643,11,False)</f>
        <v>Tropical &amp; Subtropical Moist Broadleaf Forests</v>
      </c>
    </row>
    <row r="415">
      <c r="A415" s="33" t="s">
        <v>1719</v>
      </c>
      <c r="B415" s="33" t="s">
        <v>2259</v>
      </c>
      <c r="C415" s="34">
        <v>2.0</v>
      </c>
      <c r="D415" s="33" t="s">
        <v>53</v>
      </c>
      <c r="E415" s="34">
        <v>2014.0</v>
      </c>
      <c r="F415" s="33" t="s">
        <v>1720</v>
      </c>
      <c r="G415" s="33" t="s">
        <v>1721</v>
      </c>
      <c r="H415" s="33" t="s">
        <v>1386</v>
      </c>
      <c r="I415" s="33" t="s">
        <v>1722</v>
      </c>
      <c r="J415" s="33" t="s">
        <v>1723</v>
      </c>
      <c r="K415" s="34">
        <v>103.0</v>
      </c>
      <c r="L415" s="33"/>
      <c r="M415" s="6" t="s">
        <v>1724</v>
      </c>
      <c r="N415" s="35" t="s">
        <v>60</v>
      </c>
      <c r="O415" s="33" t="s">
        <v>1726</v>
      </c>
      <c r="P415" s="36" t="s">
        <v>62</v>
      </c>
      <c r="Q415" s="36" t="s">
        <v>167</v>
      </c>
      <c r="R415" s="36" t="s">
        <v>588</v>
      </c>
      <c r="S415" s="37">
        <v>17.533333</v>
      </c>
      <c r="T415" s="37">
        <v>-90.183333</v>
      </c>
      <c r="U415" s="36" t="s">
        <v>148</v>
      </c>
      <c r="V415" s="6" t="s">
        <v>95</v>
      </c>
      <c r="W415" s="6" t="s">
        <v>96</v>
      </c>
      <c r="X415" s="3" t="s">
        <v>72</v>
      </c>
      <c r="Y415" s="6" t="s">
        <v>99</v>
      </c>
      <c r="Z415" s="36"/>
      <c r="AA415" s="37">
        <v>7.0</v>
      </c>
      <c r="AB415" s="36"/>
      <c r="AC415" s="36"/>
      <c r="AD415" s="36"/>
      <c r="AE415" s="36"/>
      <c r="AF415" s="36"/>
      <c r="AG415" s="36"/>
      <c r="AH415" s="38" t="s">
        <v>72</v>
      </c>
      <c r="AI415" s="37">
        <v>-7000.0</v>
      </c>
      <c r="AJ415" s="37">
        <v>1950.0</v>
      </c>
      <c r="AK415" s="6" t="s">
        <v>73</v>
      </c>
      <c r="AL415" s="6" t="s">
        <v>72</v>
      </c>
      <c r="AM415" s="6" t="s">
        <v>132</v>
      </c>
      <c r="AN415" s="6" t="s">
        <v>72</v>
      </c>
      <c r="AO415" s="33"/>
      <c r="AP415" s="6" t="s">
        <v>102</v>
      </c>
      <c r="AQ415" s="33"/>
      <c r="AR415" s="33"/>
      <c r="AS415" s="33"/>
      <c r="AT415" s="6" t="s">
        <v>76</v>
      </c>
      <c r="AU415" s="33"/>
      <c r="AV415" s="33"/>
      <c r="AW415" s="33"/>
      <c r="AX415" s="33"/>
      <c r="AY415" s="33"/>
      <c r="AZ415" s="6" t="s">
        <v>76</v>
      </c>
      <c r="BA415" s="33"/>
      <c r="BB415" s="33">
        <f>VLOOKUP(O415,Eco_DEM_Data!$D$1:$AC$643,20,False)</f>
        <v>1598</v>
      </c>
      <c r="BC415" s="33">
        <f>VLOOKUP($O415,Eco_DEM_Data!$D$1:$AC$643,20,False)</f>
        <v>1598</v>
      </c>
      <c r="BD415" s="33">
        <f>VLOOKUP($O415,Eco_DEM_Data!$D$1:$AC$643,25,False)</f>
        <v>686</v>
      </c>
      <c r="BE415" s="33">
        <f>VLOOKUP($O415,Eco_DEM_Data!$D$1:$AC$643,22,False)</f>
        <v>33</v>
      </c>
      <c r="BF415" s="33">
        <f>VLOOKUP($O415,Eco_DEM_Data!$D$1:$AC$643,23,False)</f>
        <v>119</v>
      </c>
      <c r="BG415" s="33">
        <f>VLOOKUP($O415,Eco_DEM_Data!$D$1:$AC$643,21,False)</f>
        <v>6059</v>
      </c>
      <c r="BH415" s="33">
        <f>VLOOKUP($O415,Eco_DEM_Data!$D$1:$AC$643,26,False)</f>
        <v>238</v>
      </c>
      <c r="BI415" s="33" t="str">
        <f>VLOOKUP($O415,Eco_DEM_Data!$D$1:$AC$643,9,False)</f>
        <v>Petén-Veracruz moist forests</v>
      </c>
      <c r="BJ415" s="33" t="str">
        <f>VLOOKUP($O415,Eco_DEM_Data!$D$1:$AC$643,11,False)</f>
        <v>Tropical &amp; Subtropical Moist Broadleaf Forests</v>
      </c>
    </row>
    <row r="416">
      <c r="A416" s="33" t="s">
        <v>1607</v>
      </c>
      <c r="B416" s="33" t="s">
        <v>2259</v>
      </c>
      <c r="C416" s="34">
        <v>5.0</v>
      </c>
      <c r="D416" s="33" t="s">
        <v>53</v>
      </c>
      <c r="E416" s="34">
        <v>2014.0</v>
      </c>
      <c r="F416" s="33" t="s">
        <v>1608</v>
      </c>
      <c r="G416" s="36" t="s">
        <v>1609</v>
      </c>
      <c r="H416" s="33" t="s">
        <v>1610</v>
      </c>
      <c r="I416" s="33" t="s">
        <v>1611</v>
      </c>
      <c r="J416" s="33" t="s">
        <v>1612</v>
      </c>
      <c r="K416" s="34">
        <v>82.0</v>
      </c>
      <c r="L416" s="34">
        <v>1.0</v>
      </c>
      <c r="M416" s="6" t="s">
        <v>1613</v>
      </c>
      <c r="N416" s="35" t="s">
        <v>60</v>
      </c>
      <c r="O416" s="33" t="s">
        <v>1624</v>
      </c>
      <c r="P416" s="36" t="s">
        <v>62</v>
      </c>
      <c r="Q416" s="36" t="s">
        <v>187</v>
      </c>
      <c r="R416" s="36" t="s">
        <v>1615</v>
      </c>
      <c r="S416" s="37">
        <v>16.166667</v>
      </c>
      <c r="T416" s="37">
        <v>-89.0</v>
      </c>
      <c r="U416" s="36" t="s">
        <v>148</v>
      </c>
      <c r="V416" s="6" t="s">
        <v>80</v>
      </c>
      <c r="W416" s="33" t="s">
        <v>156</v>
      </c>
      <c r="X416" s="1" t="s">
        <v>1625</v>
      </c>
      <c r="Y416" s="6" t="s">
        <v>928</v>
      </c>
      <c r="Z416" s="36"/>
      <c r="AA416" s="37">
        <v>4.0</v>
      </c>
      <c r="AB416" s="36"/>
      <c r="AC416" s="36"/>
      <c r="AD416" s="36"/>
      <c r="AE416" s="36"/>
      <c r="AF416" s="36"/>
      <c r="AG416" s="36"/>
      <c r="AH416" s="36" t="s">
        <v>1616</v>
      </c>
      <c r="AI416" s="37">
        <v>-750.0</v>
      </c>
      <c r="AJ416" s="37">
        <v>2007.0</v>
      </c>
      <c r="AK416" s="6" t="s">
        <v>73</v>
      </c>
      <c r="AL416" s="6" t="s">
        <v>72</v>
      </c>
      <c r="AM416" s="6" t="s">
        <v>524</v>
      </c>
      <c r="AN416" s="6" t="s">
        <v>72</v>
      </c>
      <c r="AO416" s="33"/>
      <c r="AP416" s="6" t="s">
        <v>75</v>
      </c>
      <c r="AQ416" s="33"/>
      <c r="AR416" s="33"/>
      <c r="AS416" s="33"/>
      <c r="AT416" s="6" t="s">
        <v>76</v>
      </c>
      <c r="AU416" s="33"/>
      <c r="AV416" s="33"/>
      <c r="AW416" s="33"/>
      <c r="AX416" s="33"/>
      <c r="AY416" s="33"/>
      <c r="AZ416" s="6" t="s">
        <v>76</v>
      </c>
      <c r="BA416" s="33"/>
      <c r="BB416" s="33">
        <f>VLOOKUP(O416,Eco_DEM_Data!$D$1:$AC$643,20,False)</f>
        <v>3461</v>
      </c>
      <c r="BC416" s="33">
        <f>VLOOKUP($O416,Eco_DEM_Data!$D$1:$AC$643,20,False)</f>
        <v>3461</v>
      </c>
      <c r="BD416" s="33">
        <f>VLOOKUP($O416,Eco_DEM_Data!$D$1:$AC$643,25,False)</f>
        <v>1751</v>
      </c>
      <c r="BE416" s="33">
        <f>VLOOKUP($O416,Eco_DEM_Data!$D$1:$AC$643,22,False)</f>
        <v>69</v>
      </c>
      <c r="BF416" s="33">
        <f>VLOOKUP($O416,Eco_DEM_Data!$D$1:$AC$643,23,False)</f>
        <v>251</v>
      </c>
      <c r="BG416" s="33">
        <f>VLOOKUP($O416,Eco_DEM_Data!$D$1:$AC$643,21,False)</f>
        <v>7260</v>
      </c>
      <c r="BH416" s="33">
        <f>VLOOKUP($O416,Eco_DEM_Data!$D$1:$AC$643,26,False)</f>
        <v>34</v>
      </c>
      <c r="BI416" s="33" t="str">
        <f>VLOOKUP($O416,Eco_DEM_Data!$D$1:$AC$643,9,False)</f>
        <v>Petén-Veracruz moist forests</v>
      </c>
      <c r="BJ416" s="33" t="str">
        <f>VLOOKUP($O416,Eco_DEM_Data!$D$1:$AC$643,11,False)</f>
        <v>Tropical &amp; Subtropical Moist Broadleaf Forests</v>
      </c>
    </row>
    <row r="417">
      <c r="A417" s="33" t="s">
        <v>1607</v>
      </c>
      <c r="B417" s="33" t="s">
        <v>2259</v>
      </c>
      <c r="C417" s="34">
        <v>5.0</v>
      </c>
      <c r="D417" s="33" t="s">
        <v>53</v>
      </c>
      <c r="E417" s="34">
        <v>2014.0</v>
      </c>
      <c r="F417" s="33" t="s">
        <v>1608</v>
      </c>
      <c r="G417" s="33" t="s">
        <v>1609</v>
      </c>
      <c r="H417" s="33" t="s">
        <v>1610</v>
      </c>
      <c r="I417" s="33" t="s">
        <v>1611</v>
      </c>
      <c r="J417" s="33" t="s">
        <v>1612</v>
      </c>
      <c r="K417" s="34">
        <v>82.0</v>
      </c>
      <c r="L417" s="34">
        <v>1.0</v>
      </c>
      <c r="M417" s="6" t="s">
        <v>1613</v>
      </c>
      <c r="N417" s="35" t="s">
        <v>60</v>
      </c>
      <c r="O417" s="33" t="s">
        <v>1634</v>
      </c>
      <c r="P417" s="36" t="s">
        <v>62</v>
      </c>
      <c r="Q417" s="36" t="s">
        <v>187</v>
      </c>
      <c r="R417" s="36" t="s">
        <v>1615</v>
      </c>
      <c r="S417" s="37">
        <v>16.166667</v>
      </c>
      <c r="T417" s="37">
        <v>-89.0</v>
      </c>
      <c r="U417" s="36" t="s">
        <v>148</v>
      </c>
      <c r="V417" s="38" t="s">
        <v>66</v>
      </c>
      <c r="W417" s="41" t="s">
        <v>823</v>
      </c>
      <c r="X417" s="7" t="s">
        <v>589</v>
      </c>
      <c r="Y417" s="41" t="s">
        <v>70</v>
      </c>
      <c r="Z417" s="43"/>
      <c r="AA417" s="42">
        <v>4.0</v>
      </c>
      <c r="AB417" s="43"/>
      <c r="AC417" s="43"/>
      <c r="AD417" s="43"/>
      <c r="AE417" s="43"/>
      <c r="AF417" s="43"/>
      <c r="AG417" s="43"/>
      <c r="AH417" s="43" t="s">
        <v>1616</v>
      </c>
      <c r="AI417" s="42">
        <v>-2600.0</v>
      </c>
      <c r="AJ417" s="42">
        <v>2007.0</v>
      </c>
      <c r="AK417" s="5" t="s">
        <v>73</v>
      </c>
      <c r="AL417" s="5" t="s">
        <v>72</v>
      </c>
      <c r="AM417" s="6" t="s">
        <v>524</v>
      </c>
      <c r="AN417" s="5" t="s">
        <v>72</v>
      </c>
      <c r="AO417" s="41"/>
      <c r="AP417" s="5" t="s">
        <v>75</v>
      </c>
      <c r="AQ417" s="41"/>
      <c r="AR417" s="41"/>
      <c r="AS417" s="41"/>
      <c r="AT417" s="5" t="s">
        <v>60</v>
      </c>
      <c r="AU417" s="33"/>
      <c r="AV417" s="33"/>
      <c r="AW417" s="33"/>
      <c r="AX417" s="33"/>
      <c r="AY417" s="33"/>
      <c r="AZ417" s="6" t="s">
        <v>76</v>
      </c>
      <c r="BA417" s="33"/>
      <c r="BB417" s="33">
        <f>VLOOKUP(O417,Eco_DEM_Data!$D$1:$AC$643,20,False)</f>
        <v>3461</v>
      </c>
      <c r="BC417" s="33">
        <f>VLOOKUP($O417,Eco_DEM_Data!$D$1:$AC$643,20,False)</f>
        <v>3461</v>
      </c>
      <c r="BD417" s="33">
        <f>VLOOKUP($O417,Eco_DEM_Data!$D$1:$AC$643,25,False)</f>
        <v>1751</v>
      </c>
      <c r="BE417" s="33">
        <f>VLOOKUP($O417,Eco_DEM_Data!$D$1:$AC$643,22,False)</f>
        <v>69</v>
      </c>
      <c r="BF417" s="33">
        <f>VLOOKUP($O417,Eco_DEM_Data!$D$1:$AC$643,23,False)</f>
        <v>251</v>
      </c>
      <c r="BG417" s="33">
        <f>VLOOKUP($O417,Eco_DEM_Data!$D$1:$AC$643,21,False)</f>
        <v>7260</v>
      </c>
      <c r="BH417" s="33">
        <f>VLOOKUP($O417,Eco_DEM_Data!$D$1:$AC$643,26,False)</f>
        <v>34</v>
      </c>
      <c r="BI417" s="33" t="str">
        <f>VLOOKUP($O417,Eco_DEM_Data!$D$1:$AC$643,9,False)</f>
        <v>Petén-Veracruz moist forests</v>
      </c>
      <c r="BJ417" s="33" t="str">
        <f>VLOOKUP($O417,Eco_DEM_Data!$D$1:$AC$643,11,False)</f>
        <v>Tropical &amp; Subtropical Moist Broadleaf Forests</v>
      </c>
    </row>
    <row r="418">
      <c r="A418" s="33" t="s">
        <v>1607</v>
      </c>
      <c r="B418" s="33" t="s">
        <v>2259</v>
      </c>
      <c r="C418" s="34">
        <v>5.0</v>
      </c>
      <c r="D418" s="33" t="s">
        <v>53</v>
      </c>
      <c r="E418" s="34">
        <v>2014.0</v>
      </c>
      <c r="F418" s="33" t="s">
        <v>1608</v>
      </c>
      <c r="G418" s="33" t="s">
        <v>1609</v>
      </c>
      <c r="H418" s="33" t="s">
        <v>1610</v>
      </c>
      <c r="I418" s="33" t="s">
        <v>1611</v>
      </c>
      <c r="J418" s="33" t="s">
        <v>1612</v>
      </c>
      <c r="K418" s="34">
        <v>82.0</v>
      </c>
      <c r="L418" s="34">
        <v>1.0</v>
      </c>
      <c r="M418" s="6" t="s">
        <v>1613</v>
      </c>
      <c r="N418" s="35" t="s">
        <v>60</v>
      </c>
      <c r="O418" s="33" t="s">
        <v>1614</v>
      </c>
      <c r="P418" s="36" t="s">
        <v>62</v>
      </c>
      <c r="Q418" s="36" t="s">
        <v>187</v>
      </c>
      <c r="R418" s="36" t="s">
        <v>1615</v>
      </c>
      <c r="S418" s="37">
        <v>16.166667</v>
      </c>
      <c r="T418" s="37">
        <v>-89.0</v>
      </c>
      <c r="U418" s="36" t="s">
        <v>148</v>
      </c>
      <c r="V418" s="6" t="s">
        <v>189</v>
      </c>
      <c r="W418" s="33" t="s">
        <v>72</v>
      </c>
      <c r="X418" s="1" t="s">
        <v>1598</v>
      </c>
      <c r="Y418" s="33" t="s">
        <v>70</v>
      </c>
      <c r="Z418" s="36"/>
      <c r="AA418" s="37">
        <v>4.0</v>
      </c>
      <c r="AB418" s="36"/>
      <c r="AC418" s="36"/>
      <c r="AD418" s="36"/>
      <c r="AE418" s="36"/>
      <c r="AF418" s="36"/>
      <c r="AG418" s="36"/>
      <c r="AH418" s="36" t="s">
        <v>1616</v>
      </c>
      <c r="AI418" s="37">
        <v>-2600.0</v>
      </c>
      <c r="AJ418" s="37">
        <v>2007.0</v>
      </c>
      <c r="AK418" s="6" t="s">
        <v>73</v>
      </c>
      <c r="AL418" s="6" t="s">
        <v>72</v>
      </c>
      <c r="AM418" s="6" t="s">
        <v>524</v>
      </c>
      <c r="AN418" s="6" t="s">
        <v>72</v>
      </c>
      <c r="AO418" s="33"/>
      <c r="AP418" s="6" t="s">
        <v>75</v>
      </c>
      <c r="AQ418" s="33"/>
      <c r="AR418" s="33"/>
      <c r="AS418" s="33"/>
      <c r="AT418" s="6" t="s">
        <v>76</v>
      </c>
      <c r="AU418" s="33"/>
      <c r="AV418" s="33"/>
      <c r="AW418" s="33"/>
      <c r="AX418" s="33"/>
      <c r="AY418" s="33"/>
      <c r="AZ418" s="6" t="s">
        <v>76</v>
      </c>
      <c r="BA418" s="33"/>
      <c r="BB418" s="33">
        <f>VLOOKUP(O418,Eco_DEM_Data!$D$1:$AC$643,20,False)</f>
        <v>3461</v>
      </c>
      <c r="BC418" s="33">
        <f>VLOOKUP($O418,Eco_DEM_Data!$D$1:$AC$643,20,False)</f>
        <v>3461</v>
      </c>
      <c r="BD418" s="33">
        <f>VLOOKUP($O418,Eco_DEM_Data!$D$1:$AC$643,25,False)</f>
        <v>1751</v>
      </c>
      <c r="BE418" s="33">
        <f>VLOOKUP($O418,Eco_DEM_Data!$D$1:$AC$643,22,False)</f>
        <v>69</v>
      </c>
      <c r="BF418" s="33">
        <f>VLOOKUP($O418,Eco_DEM_Data!$D$1:$AC$643,23,False)</f>
        <v>251</v>
      </c>
      <c r="BG418" s="33">
        <f>VLOOKUP($O418,Eco_DEM_Data!$D$1:$AC$643,21,False)</f>
        <v>7260</v>
      </c>
      <c r="BH418" s="33">
        <f>VLOOKUP($O418,Eco_DEM_Data!$D$1:$AC$643,26,False)</f>
        <v>34</v>
      </c>
      <c r="BI418" s="33" t="str">
        <f>VLOOKUP($O418,Eco_DEM_Data!$D$1:$AC$643,9,False)</f>
        <v>Petén-Veracruz moist forests</v>
      </c>
      <c r="BJ418" s="33" t="str">
        <f>VLOOKUP($O418,Eco_DEM_Data!$D$1:$AC$643,11,False)</f>
        <v>Tropical &amp; Subtropical Moist Broadleaf Forests</v>
      </c>
    </row>
    <row r="419">
      <c r="A419" s="33" t="s">
        <v>1607</v>
      </c>
      <c r="B419" s="33" t="s">
        <v>2259</v>
      </c>
      <c r="C419" s="34">
        <v>5.0</v>
      </c>
      <c r="D419" s="33" t="s">
        <v>53</v>
      </c>
      <c r="E419" s="34">
        <v>2014.0</v>
      </c>
      <c r="F419" s="33" t="s">
        <v>1608</v>
      </c>
      <c r="G419" s="33" t="s">
        <v>1609</v>
      </c>
      <c r="H419" s="33" t="s">
        <v>1610</v>
      </c>
      <c r="I419" s="33" t="s">
        <v>1611</v>
      </c>
      <c r="J419" s="33" t="s">
        <v>1612</v>
      </c>
      <c r="K419" s="34">
        <v>82.0</v>
      </c>
      <c r="L419" s="34">
        <v>1.0</v>
      </c>
      <c r="M419" s="6" t="s">
        <v>1613</v>
      </c>
      <c r="N419" s="35" t="s">
        <v>60</v>
      </c>
      <c r="O419" s="33" t="s">
        <v>1635</v>
      </c>
      <c r="P419" s="36" t="s">
        <v>62</v>
      </c>
      <c r="Q419" s="36" t="s">
        <v>187</v>
      </c>
      <c r="R419" s="36" t="s">
        <v>1615</v>
      </c>
      <c r="S419" s="37">
        <v>16.166667</v>
      </c>
      <c r="T419" s="37">
        <v>-89.0</v>
      </c>
      <c r="U419" s="36" t="s">
        <v>148</v>
      </c>
      <c r="V419" s="38" t="s">
        <v>382</v>
      </c>
      <c r="W419" s="33" t="s">
        <v>173</v>
      </c>
      <c r="X419" s="1" t="s">
        <v>1636</v>
      </c>
      <c r="Y419" s="33" t="s">
        <v>544</v>
      </c>
      <c r="Z419" s="36"/>
      <c r="AA419" s="37">
        <v>4.0</v>
      </c>
      <c r="AB419" s="36"/>
      <c r="AC419" s="36"/>
      <c r="AD419" s="36"/>
      <c r="AE419" s="36"/>
      <c r="AF419" s="36"/>
      <c r="AG419" s="36"/>
      <c r="AH419" s="36" t="s">
        <v>1616</v>
      </c>
      <c r="AI419" s="37">
        <v>-2600.0</v>
      </c>
      <c r="AJ419" s="37">
        <v>2007.0</v>
      </c>
      <c r="AK419" s="6" t="s">
        <v>73</v>
      </c>
      <c r="AL419" s="6" t="s">
        <v>72</v>
      </c>
      <c r="AM419" s="6" t="s">
        <v>524</v>
      </c>
      <c r="AN419" s="6" t="s">
        <v>72</v>
      </c>
      <c r="AO419" s="33"/>
      <c r="AP419" s="6" t="s">
        <v>75</v>
      </c>
      <c r="AQ419" s="33"/>
      <c r="AR419" s="33"/>
      <c r="AS419" s="33"/>
      <c r="AT419" s="6" t="s">
        <v>76</v>
      </c>
      <c r="AU419" s="33"/>
      <c r="AV419" s="33"/>
      <c r="AW419" s="33"/>
      <c r="AX419" s="33"/>
      <c r="AY419" s="33"/>
      <c r="AZ419" s="6" t="s">
        <v>76</v>
      </c>
      <c r="BA419" s="33"/>
      <c r="BB419" s="33">
        <f>VLOOKUP(O419,Eco_DEM_Data!$D$1:$AC$643,20,False)</f>
        <v>3461</v>
      </c>
      <c r="BC419" s="33">
        <f>VLOOKUP($O419,Eco_DEM_Data!$D$1:$AC$643,20,False)</f>
        <v>3461</v>
      </c>
      <c r="BD419" s="33">
        <f>VLOOKUP($O419,Eco_DEM_Data!$D$1:$AC$643,25,False)</f>
        <v>1751</v>
      </c>
      <c r="BE419" s="33">
        <f>VLOOKUP($O419,Eco_DEM_Data!$D$1:$AC$643,22,False)</f>
        <v>69</v>
      </c>
      <c r="BF419" s="33">
        <f>VLOOKUP($O419,Eco_DEM_Data!$D$1:$AC$643,23,False)</f>
        <v>251</v>
      </c>
      <c r="BG419" s="33">
        <f>VLOOKUP($O419,Eco_DEM_Data!$D$1:$AC$643,21,False)</f>
        <v>7260</v>
      </c>
      <c r="BH419" s="33">
        <f>VLOOKUP($O419,Eco_DEM_Data!$D$1:$AC$643,26,False)</f>
        <v>34</v>
      </c>
      <c r="BI419" s="33" t="str">
        <f>VLOOKUP($O419,Eco_DEM_Data!$D$1:$AC$643,9,False)</f>
        <v>Petén-Veracruz moist forests</v>
      </c>
      <c r="BJ419" s="33" t="str">
        <f>VLOOKUP($O419,Eco_DEM_Data!$D$1:$AC$643,11,False)</f>
        <v>Tropical &amp; Subtropical Moist Broadleaf Forests</v>
      </c>
    </row>
    <row r="420">
      <c r="A420" s="33" t="s">
        <v>1607</v>
      </c>
      <c r="B420" s="33" t="s">
        <v>2259</v>
      </c>
      <c r="C420" s="34">
        <v>5.0</v>
      </c>
      <c r="D420" s="33" t="s">
        <v>53</v>
      </c>
      <c r="E420" s="34">
        <v>2014.0</v>
      </c>
      <c r="F420" s="33" t="s">
        <v>1608</v>
      </c>
      <c r="G420" s="33" t="s">
        <v>1609</v>
      </c>
      <c r="H420" s="33" t="s">
        <v>1610</v>
      </c>
      <c r="I420" s="33" t="s">
        <v>1611</v>
      </c>
      <c r="J420" s="33" t="s">
        <v>1612</v>
      </c>
      <c r="K420" s="34">
        <v>82.0</v>
      </c>
      <c r="L420" s="34">
        <v>1.0</v>
      </c>
      <c r="M420" s="6" t="s">
        <v>1613</v>
      </c>
      <c r="N420" s="35" t="s">
        <v>60</v>
      </c>
      <c r="O420" s="33" t="s">
        <v>1618</v>
      </c>
      <c r="P420" s="36" t="s">
        <v>62</v>
      </c>
      <c r="Q420" s="36" t="s">
        <v>187</v>
      </c>
      <c r="R420" s="36" t="s">
        <v>1615</v>
      </c>
      <c r="S420" s="37">
        <v>16.166667</v>
      </c>
      <c r="T420" s="37">
        <v>-89.0</v>
      </c>
      <c r="U420" s="36" t="s">
        <v>148</v>
      </c>
      <c r="V420" s="38" t="s">
        <v>194</v>
      </c>
      <c r="W420" s="33" t="s">
        <v>72</v>
      </c>
      <c r="X420" s="1" t="s">
        <v>1598</v>
      </c>
      <c r="Y420" s="33" t="s">
        <v>70</v>
      </c>
      <c r="Z420" s="36"/>
      <c r="AA420" s="37">
        <v>4.0</v>
      </c>
      <c r="AB420" s="36"/>
      <c r="AC420" s="36"/>
      <c r="AD420" s="36"/>
      <c r="AE420" s="36"/>
      <c r="AF420" s="36"/>
      <c r="AG420" s="36"/>
      <c r="AH420" s="36" t="s">
        <v>1616</v>
      </c>
      <c r="AI420" s="37">
        <v>-2600.0</v>
      </c>
      <c r="AJ420" s="37">
        <v>2007.0</v>
      </c>
      <c r="AK420" s="6" t="s">
        <v>73</v>
      </c>
      <c r="AL420" s="6" t="s">
        <v>72</v>
      </c>
      <c r="AM420" s="6" t="s">
        <v>524</v>
      </c>
      <c r="AN420" s="6" t="s">
        <v>72</v>
      </c>
      <c r="AO420" s="33"/>
      <c r="AP420" s="6" t="s">
        <v>75</v>
      </c>
      <c r="AQ420" s="33"/>
      <c r="AR420" s="33"/>
      <c r="AS420" s="33"/>
      <c r="AT420" s="6" t="s">
        <v>76</v>
      </c>
      <c r="AU420" s="33"/>
      <c r="AV420" s="33"/>
      <c r="AW420" s="33"/>
      <c r="AX420" s="33"/>
      <c r="AY420" s="33"/>
      <c r="AZ420" s="6" t="s">
        <v>76</v>
      </c>
      <c r="BA420" s="33"/>
      <c r="BB420" s="33">
        <f>VLOOKUP(O420,Eco_DEM_Data!$D$1:$AC$643,20,False)</f>
        <v>3461</v>
      </c>
      <c r="BC420" s="33">
        <f>VLOOKUP($O420,Eco_DEM_Data!$D$1:$AC$643,20,False)</f>
        <v>3461</v>
      </c>
      <c r="BD420" s="33">
        <f>VLOOKUP($O420,Eco_DEM_Data!$D$1:$AC$643,25,False)</f>
        <v>1751</v>
      </c>
      <c r="BE420" s="33">
        <f>VLOOKUP($O420,Eco_DEM_Data!$D$1:$AC$643,22,False)</f>
        <v>69</v>
      </c>
      <c r="BF420" s="33">
        <f>VLOOKUP($O420,Eco_DEM_Data!$D$1:$AC$643,23,False)</f>
        <v>251</v>
      </c>
      <c r="BG420" s="33">
        <f>VLOOKUP($O420,Eco_DEM_Data!$D$1:$AC$643,21,False)</f>
        <v>7260</v>
      </c>
      <c r="BH420" s="33">
        <f>VLOOKUP($O420,Eco_DEM_Data!$D$1:$AC$643,26,False)</f>
        <v>34</v>
      </c>
      <c r="BI420" s="33" t="str">
        <f>VLOOKUP($O420,Eco_DEM_Data!$D$1:$AC$643,9,False)</f>
        <v>Petén-Veracruz moist forests</v>
      </c>
      <c r="BJ420" s="33" t="str">
        <f>VLOOKUP($O420,Eco_DEM_Data!$D$1:$AC$643,11,False)</f>
        <v>Tropical &amp; Subtropical Moist Broadleaf Forests</v>
      </c>
    </row>
    <row r="421">
      <c r="A421" s="33" t="s">
        <v>217</v>
      </c>
      <c r="B421" s="33" t="s">
        <v>2258</v>
      </c>
      <c r="C421" s="34">
        <v>1.0</v>
      </c>
      <c r="D421" s="33" t="s">
        <v>53</v>
      </c>
      <c r="E421" s="34">
        <v>2015.0</v>
      </c>
      <c r="F421" s="33" t="s">
        <v>218</v>
      </c>
      <c r="G421" s="33" t="s">
        <v>219</v>
      </c>
      <c r="H421" s="33" t="s">
        <v>220</v>
      </c>
      <c r="I421" s="50" t="s">
        <v>221</v>
      </c>
      <c r="J421" s="33" t="s">
        <v>222</v>
      </c>
      <c r="K421" s="34">
        <v>45.0</v>
      </c>
      <c r="L421" s="56">
        <v>43987.0</v>
      </c>
      <c r="M421" s="6" t="s">
        <v>223</v>
      </c>
      <c r="N421" s="35" t="s">
        <v>76</v>
      </c>
      <c r="O421" s="33" t="s">
        <v>217</v>
      </c>
      <c r="P421" s="36" t="s">
        <v>62</v>
      </c>
      <c r="Q421" s="36" t="s">
        <v>167</v>
      </c>
      <c r="R421" s="36" t="s">
        <v>224</v>
      </c>
      <c r="S421" s="37">
        <v>15.51</v>
      </c>
      <c r="T421" s="37">
        <v>-91.6</v>
      </c>
      <c r="U421" s="36" t="s">
        <v>225</v>
      </c>
      <c r="V421" s="38" t="s">
        <v>225</v>
      </c>
      <c r="W421" s="6" t="s">
        <v>96</v>
      </c>
      <c r="X421" s="3" t="s">
        <v>72</v>
      </c>
      <c r="Y421" s="33" t="s">
        <v>226</v>
      </c>
      <c r="Z421" s="36"/>
      <c r="AA421" s="37"/>
      <c r="AB421" s="36"/>
      <c r="AC421" s="36"/>
      <c r="AD421" s="36"/>
      <c r="AE421" s="36"/>
      <c r="AF421" s="37">
        <v>1.0</v>
      </c>
      <c r="AG421" s="36"/>
      <c r="AH421" s="38" t="s">
        <v>72</v>
      </c>
      <c r="AI421" s="37">
        <v>1710.0</v>
      </c>
      <c r="AJ421" s="37">
        <v>2009.0</v>
      </c>
      <c r="AK421" s="6" t="s">
        <v>153</v>
      </c>
      <c r="AL421" s="6" t="s">
        <v>72</v>
      </c>
      <c r="AM421" s="5" t="s">
        <v>72</v>
      </c>
      <c r="AN421" s="6" t="s">
        <v>101</v>
      </c>
      <c r="AO421" s="33"/>
      <c r="AP421" s="6" t="s">
        <v>102</v>
      </c>
      <c r="AQ421" s="33"/>
      <c r="AR421" s="33"/>
      <c r="AS421" s="33"/>
      <c r="AT421" s="6" t="s">
        <v>76</v>
      </c>
      <c r="AU421" s="33"/>
      <c r="AV421" s="33"/>
      <c r="AW421" s="33"/>
      <c r="AX421" s="33"/>
      <c r="AY421" s="33"/>
      <c r="AZ421" s="6" t="s">
        <v>76</v>
      </c>
      <c r="BA421" s="33"/>
      <c r="BB421" s="33">
        <f>VLOOKUP(O421,Eco_DEM_Data!$D$1:$AC$643,20,False)</f>
        <v>1378</v>
      </c>
      <c r="BC421" s="33">
        <f>VLOOKUP($O421,Eco_DEM_Data!$D$1:$AC$643,20,False)</f>
        <v>1378</v>
      </c>
      <c r="BD421" s="33">
        <f>VLOOKUP($O421,Eco_DEM_Data!$D$1:$AC$643,25,False)</f>
        <v>648</v>
      </c>
      <c r="BE421" s="33">
        <f>VLOOKUP($O421,Eco_DEM_Data!$D$1:$AC$643,22,False)</f>
        <v>9</v>
      </c>
      <c r="BF421" s="33">
        <f>VLOOKUP($O421,Eco_DEM_Data!$D$1:$AC$643,23,False)</f>
        <v>42</v>
      </c>
      <c r="BG421" s="33">
        <f>VLOOKUP($O421,Eco_DEM_Data!$D$1:$AC$643,21,False)</f>
        <v>8430</v>
      </c>
      <c r="BH421" s="33">
        <f>VLOOKUP($O421,Eco_DEM_Data!$D$1:$AC$643,26,False)</f>
        <v>2720</v>
      </c>
      <c r="BI421" s="33" t="str">
        <f>VLOOKUP($O421,Eco_DEM_Data!$D$1:$AC$643,9,False)</f>
        <v>Central American pine-oak forests</v>
      </c>
      <c r="BJ421" s="33" t="str">
        <f>VLOOKUP($O421,Eco_DEM_Data!$D$1:$AC$643,11,False)</f>
        <v>Tropical &amp; Subtropical Coniferous Forests</v>
      </c>
    </row>
    <row r="422">
      <c r="A422" s="33" t="s">
        <v>1409</v>
      </c>
      <c r="B422" s="33" t="s">
        <v>2258</v>
      </c>
      <c r="C422" s="34">
        <v>4.0</v>
      </c>
      <c r="D422" s="33" t="s">
        <v>53</v>
      </c>
      <c r="E422" s="34">
        <v>2015.0</v>
      </c>
      <c r="F422" s="33" t="s">
        <v>1410</v>
      </c>
      <c r="G422" s="33" t="s">
        <v>1411</v>
      </c>
      <c r="H422" s="33" t="s">
        <v>1395</v>
      </c>
      <c r="I422" s="33" t="s">
        <v>1412</v>
      </c>
      <c r="J422" s="33" t="s">
        <v>1413</v>
      </c>
      <c r="K422" s="34">
        <v>112.0</v>
      </c>
      <c r="L422" s="34">
        <v>18.0</v>
      </c>
      <c r="M422" s="6" t="s">
        <v>1414</v>
      </c>
      <c r="N422" s="35" t="s">
        <v>60</v>
      </c>
      <c r="O422" s="33" t="s">
        <v>1415</v>
      </c>
      <c r="P422" s="36" t="s">
        <v>62</v>
      </c>
      <c r="Q422" s="36" t="s">
        <v>92</v>
      </c>
      <c r="R422" s="36" t="s">
        <v>466</v>
      </c>
      <c r="S422" s="37">
        <v>19.856</v>
      </c>
      <c r="T422" s="37">
        <v>-88.7644</v>
      </c>
      <c r="U422" s="36" t="s">
        <v>148</v>
      </c>
      <c r="V422" s="6" t="s">
        <v>135</v>
      </c>
      <c r="W422" s="6" t="s">
        <v>96</v>
      </c>
      <c r="X422" s="1" t="s">
        <v>468</v>
      </c>
      <c r="Y422" s="33" t="s">
        <v>483</v>
      </c>
      <c r="Z422" s="36"/>
      <c r="AA422" s="37">
        <v>1.0</v>
      </c>
      <c r="AB422" s="36"/>
      <c r="AC422" s="36"/>
      <c r="AD422" s="36"/>
      <c r="AE422" s="36"/>
      <c r="AF422" s="36"/>
      <c r="AG422" s="36"/>
      <c r="AH422" s="36" t="s">
        <v>1416</v>
      </c>
      <c r="AI422" s="37">
        <v>-1500.0</v>
      </c>
      <c r="AJ422" s="37">
        <v>1500.0</v>
      </c>
      <c r="AK422" s="6" t="s">
        <v>73</v>
      </c>
      <c r="AL422" s="6" t="s">
        <v>72</v>
      </c>
      <c r="AM422" s="6" t="s">
        <v>132</v>
      </c>
      <c r="AN422" s="6" t="s">
        <v>60</v>
      </c>
      <c r="AO422" s="33" t="s">
        <v>471</v>
      </c>
      <c r="AP422" s="6" t="s">
        <v>102</v>
      </c>
      <c r="AQ422" s="33"/>
      <c r="AR422" s="33"/>
      <c r="AS422" s="33"/>
      <c r="AT422" s="6" t="s">
        <v>76</v>
      </c>
      <c r="AU422" s="33"/>
      <c r="AV422" s="33"/>
      <c r="AW422" s="33"/>
      <c r="AX422" s="33"/>
      <c r="AY422" s="33"/>
      <c r="AZ422" s="6" t="s">
        <v>76</v>
      </c>
      <c r="BA422" s="45" t="s">
        <v>2271</v>
      </c>
      <c r="BB422" s="33">
        <f>VLOOKUP(O422,Eco_DEM_Data!$D$1:$AC$643,20,False)</f>
        <v>1254</v>
      </c>
      <c r="BC422" s="33">
        <f>VLOOKUP($O422,Eco_DEM_Data!$D$1:$AC$643,20,False)</f>
        <v>1254</v>
      </c>
      <c r="BD422" s="33">
        <f>VLOOKUP($O422,Eco_DEM_Data!$D$1:$AC$643,25,False)</f>
        <v>551</v>
      </c>
      <c r="BE422" s="33">
        <f>VLOOKUP($O422,Eco_DEM_Data!$D$1:$AC$643,22,False)</f>
        <v>32</v>
      </c>
      <c r="BF422" s="33">
        <f>VLOOKUP($O422,Eco_DEM_Data!$D$1:$AC$643,23,False)</f>
        <v>107</v>
      </c>
      <c r="BG422" s="33">
        <f>VLOOKUP($O422,Eco_DEM_Data!$D$1:$AC$643,21,False)</f>
        <v>6228</v>
      </c>
      <c r="BH422" s="33">
        <f>VLOOKUP($O422,Eco_DEM_Data!$D$1:$AC$643,26,False)</f>
        <v>36</v>
      </c>
      <c r="BI422" s="33" t="str">
        <f>VLOOKUP($O422,Eco_DEM_Data!$D$1:$AC$643,9,False)</f>
        <v>Yucatán moist forests</v>
      </c>
      <c r="BJ422" s="33" t="str">
        <f>VLOOKUP($O422,Eco_DEM_Data!$D$1:$AC$643,11,False)</f>
        <v>Tropical &amp; Subtropical Moist Broadleaf Forests</v>
      </c>
    </row>
    <row r="423">
      <c r="A423" s="33" t="s">
        <v>1409</v>
      </c>
      <c r="B423" s="33" t="s">
        <v>2258</v>
      </c>
      <c r="C423" s="34">
        <v>4.0</v>
      </c>
      <c r="D423" s="33" t="s">
        <v>53</v>
      </c>
      <c r="E423" s="34">
        <v>2015.0</v>
      </c>
      <c r="F423" s="33" t="s">
        <v>1410</v>
      </c>
      <c r="G423" s="33" t="s">
        <v>1411</v>
      </c>
      <c r="H423" s="33" t="s">
        <v>1395</v>
      </c>
      <c r="I423" s="33" t="s">
        <v>1412</v>
      </c>
      <c r="J423" s="33" t="s">
        <v>1413</v>
      </c>
      <c r="K423" s="34">
        <v>112.0</v>
      </c>
      <c r="L423" s="34">
        <v>18.0</v>
      </c>
      <c r="M423" s="6" t="s">
        <v>1414</v>
      </c>
      <c r="N423" s="35" t="s">
        <v>60</v>
      </c>
      <c r="O423" s="33" t="s">
        <v>1417</v>
      </c>
      <c r="P423" s="36" t="s">
        <v>62</v>
      </c>
      <c r="Q423" s="36" t="s">
        <v>92</v>
      </c>
      <c r="R423" s="36" t="s">
        <v>878</v>
      </c>
      <c r="S423" s="37">
        <v>16.98567</v>
      </c>
      <c r="T423" s="37">
        <v>-89.674358</v>
      </c>
      <c r="U423" s="36" t="s">
        <v>148</v>
      </c>
      <c r="V423" s="6" t="s">
        <v>135</v>
      </c>
      <c r="W423" s="6" t="s">
        <v>96</v>
      </c>
      <c r="X423" s="1" t="s">
        <v>468</v>
      </c>
      <c r="Y423" s="33" t="s">
        <v>483</v>
      </c>
      <c r="Z423" s="36"/>
      <c r="AA423" s="37">
        <v>1.0</v>
      </c>
      <c r="AB423" s="36"/>
      <c r="AC423" s="36"/>
      <c r="AD423" s="36"/>
      <c r="AE423" s="36"/>
      <c r="AF423" s="36"/>
      <c r="AG423" s="36"/>
      <c r="AH423" s="36" t="s">
        <v>1416</v>
      </c>
      <c r="AI423" s="37">
        <v>-2000.0</v>
      </c>
      <c r="AJ423" s="37">
        <v>1950.0</v>
      </c>
      <c r="AK423" s="6" t="s">
        <v>73</v>
      </c>
      <c r="AL423" s="6" t="s">
        <v>72</v>
      </c>
      <c r="AM423" s="6" t="s">
        <v>132</v>
      </c>
      <c r="AN423" s="6" t="s">
        <v>60</v>
      </c>
      <c r="AO423" s="33" t="s">
        <v>471</v>
      </c>
      <c r="AP423" s="6" t="s">
        <v>102</v>
      </c>
      <c r="AQ423" s="33"/>
      <c r="AR423" s="33"/>
      <c r="AS423" s="33"/>
      <c r="AT423" s="6" t="s">
        <v>76</v>
      </c>
      <c r="AU423" s="33"/>
      <c r="AV423" s="33"/>
      <c r="AW423" s="33"/>
      <c r="AX423" s="33"/>
      <c r="AY423" s="33"/>
      <c r="AZ423" s="6" t="s">
        <v>76</v>
      </c>
      <c r="BA423" s="45" t="s">
        <v>2272</v>
      </c>
      <c r="BB423" s="33">
        <f>VLOOKUP(O423,Eco_DEM_Data!$D$1:$AC$643,20,False)</f>
        <v>1757</v>
      </c>
      <c r="BC423" s="33">
        <f>VLOOKUP($O423,Eco_DEM_Data!$D$1:$AC$643,20,False)</f>
        <v>1757</v>
      </c>
      <c r="BD423" s="33">
        <f>VLOOKUP($O423,Eco_DEM_Data!$D$1:$AC$643,25,False)</f>
        <v>704</v>
      </c>
      <c r="BE423" s="33">
        <f>VLOOKUP($O423,Eco_DEM_Data!$D$1:$AC$643,22,False)</f>
        <v>37</v>
      </c>
      <c r="BF423" s="33">
        <f>VLOOKUP($O423,Eco_DEM_Data!$D$1:$AC$643,23,False)</f>
        <v>141</v>
      </c>
      <c r="BG423" s="33">
        <f>VLOOKUP($O423,Eco_DEM_Data!$D$1:$AC$643,21,False)</f>
        <v>5662</v>
      </c>
      <c r="BH423" s="33">
        <f>VLOOKUP($O423,Eco_DEM_Data!$D$1:$AC$643,26,False)</f>
        <v>118</v>
      </c>
      <c r="BI423" s="33" t="str">
        <f>VLOOKUP($O423,Eco_DEM_Data!$D$1:$AC$643,9,False)</f>
        <v>Petén-Veracruz moist forests</v>
      </c>
      <c r="BJ423" s="33" t="str">
        <f>VLOOKUP($O423,Eco_DEM_Data!$D$1:$AC$643,11,False)</f>
        <v>Tropical &amp; Subtropical Moist Broadleaf Forests</v>
      </c>
    </row>
    <row r="424">
      <c r="A424" s="33" t="s">
        <v>1409</v>
      </c>
      <c r="B424" s="33" t="s">
        <v>2258</v>
      </c>
      <c r="C424" s="34">
        <v>4.0</v>
      </c>
      <c r="D424" s="33" t="s">
        <v>53</v>
      </c>
      <c r="E424" s="34">
        <v>2015.0</v>
      </c>
      <c r="F424" s="33" t="s">
        <v>1410</v>
      </c>
      <c r="G424" s="33" t="s">
        <v>1411</v>
      </c>
      <c r="H424" s="33" t="s">
        <v>1395</v>
      </c>
      <c r="I424" s="33" t="s">
        <v>1412</v>
      </c>
      <c r="J424" s="33" t="s">
        <v>1413</v>
      </c>
      <c r="K424" s="34">
        <v>112.0</v>
      </c>
      <c r="L424" s="56">
        <v>18.0</v>
      </c>
      <c r="M424" s="6" t="s">
        <v>1414</v>
      </c>
      <c r="N424" s="35" t="s">
        <v>60</v>
      </c>
      <c r="O424" s="33" t="s">
        <v>1426</v>
      </c>
      <c r="P424" s="36" t="s">
        <v>62</v>
      </c>
      <c r="Q424" s="36" t="s">
        <v>92</v>
      </c>
      <c r="R424" s="36" t="s">
        <v>466</v>
      </c>
      <c r="S424" s="37">
        <v>19.856</v>
      </c>
      <c r="T424" s="37">
        <v>-88.7644</v>
      </c>
      <c r="U424" s="36" t="s">
        <v>148</v>
      </c>
      <c r="V424" s="38" t="s">
        <v>474</v>
      </c>
      <c r="W424" s="6" t="s">
        <v>96</v>
      </c>
      <c r="X424" s="1" t="s">
        <v>468</v>
      </c>
      <c r="Y424" s="33" t="s">
        <v>483</v>
      </c>
      <c r="Z424" s="36"/>
      <c r="AA424" s="37">
        <v>1.0</v>
      </c>
      <c r="AB424" s="36"/>
      <c r="AC424" s="36"/>
      <c r="AD424" s="36"/>
      <c r="AE424" s="36"/>
      <c r="AF424" s="36"/>
      <c r="AG424" s="36"/>
      <c r="AH424" s="36" t="s">
        <v>1416</v>
      </c>
      <c r="AI424" s="37">
        <v>-1500.0</v>
      </c>
      <c r="AJ424" s="37">
        <v>1500.0</v>
      </c>
      <c r="AK424" s="6" t="s">
        <v>73</v>
      </c>
      <c r="AL424" s="6" t="s">
        <v>72</v>
      </c>
      <c r="AM424" s="6" t="s">
        <v>132</v>
      </c>
      <c r="AN424" s="6" t="s">
        <v>60</v>
      </c>
      <c r="AO424" s="33" t="s">
        <v>471</v>
      </c>
      <c r="AP424" s="6" t="s">
        <v>102</v>
      </c>
      <c r="AQ424" s="33"/>
      <c r="AR424" s="33"/>
      <c r="AS424" s="33"/>
      <c r="AT424" s="6" t="s">
        <v>76</v>
      </c>
      <c r="AU424" s="33"/>
      <c r="AV424" s="33"/>
      <c r="AW424" s="33"/>
      <c r="AX424" s="33"/>
      <c r="AY424" s="33"/>
      <c r="AZ424" s="6" t="s">
        <v>76</v>
      </c>
      <c r="BA424" s="45" t="s">
        <v>2272</v>
      </c>
      <c r="BB424" s="33">
        <f>VLOOKUP(O424,Eco_DEM_Data!$D$1:$AC$643,20,False)</f>
        <v>1254</v>
      </c>
      <c r="BC424" s="33">
        <f>VLOOKUP($O424,Eco_DEM_Data!$D$1:$AC$643,20,False)</f>
        <v>1254</v>
      </c>
      <c r="BD424" s="33">
        <f>VLOOKUP($O424,Eco_DEM_Data!$D$1:$AC$643,25,False)</f>
        <v>551</v>
      </c>
      <c r="BE424" s="33">
        <f>VLOOKUP($O424,Eco_DEM_Data!$D$1:$AC$643,22,False)</f>
        <v>32</v>
      </c>
      <c r="BF424" s="33">
        <f>VLOOKUP($O424,Eco_DEM_Data!$D$1:$AC$643,23,False)</f>
        <v>107</v>
      </c>
      <c r="BG424" s="33">
        <f>VLOOKUP($O424,Eco_DEM_Data!$D$1:$AC$643,21,False)</f>
        <v>6228</v>
      </c>
      <c r="BH424" s="33">
        <f>VLOOKUP($O424,Eco_DEM_Data!$D$1:$AC$643,26,False)</f>
        <v>36</v>
      </c>
      <c r="BI424" s="33" t="str">
        <f>VLOOKUP($O424,Eco_DEM_Data!$D$1:$AC$643,9,False)</f>
        <v>Yucatán moist forests</v>
      </c>
      <c r="BJ424" s="33" t="str">
        <f>VLOOKUP($O424,Eco_DEM_Data!$D$1:$AC$643,11,False)</f>
        <v>Tropical &amp; Subtropical Moist Broadleaf Forests</v>
      </c>
    </row>
    <row r="425">
      <c r="A425" s="33" t="s">
        <v>1409</v>
      </c>
      <c r="B425" s="33" t="s">
        <v>2258</v>
      </c>
      <c r="C425" s="34">
        <v>4.0</v>
      </c>
      <c r="D425" s="33" t="s">
        <v>53</v>
      </c>
      <c r="E425" s="34">
        <v>2015.0</v>
      </c>
      <c r="F425" s="33" t="s">
        <v>1410</v>
      </c>
      <c r="G425" s="33" t="s">
        <v>1411</v>
      </c>
      <c r="H425" s="33" t="s">
        <v>1395</v>
      </c>
      <c r="I425" s="33" t="s">
        <v>1412</v>
      </c>
      <c r="J425" s="33" t="s">
        <v>1413</v>
      </c>
      <c r="K425" s="34">
        <v>112.0</v>
      </c>
      <c r="L425" s="34">
        <v>18.0</v>
      </c>
      <c r="M425" s="6" t="s">
        <v>1414</v>
      </c>
      <c r="N425" s="35" t="s">
        <v>60</v>
      </c>
      <c r="O425" s="33" t="s">
        <v>1427</v>
      </c>
      <c r="P425" s="36" t="s">
        <v>62</v>
      </c>
      <c r="Q425" s="36" t="s">
        <v>92</v>
      </c>
      <c r="R425" s="36" t="s">
        <v>878</v>
      </c>
      <c r="S425" s="37">
        <v>16.98567</v>
      </c>
      <c r="T425" s="37">
        <v>-89.674358</v>
      </c>
      <c r="U425" s="36" t="s">
        <v>148</v>
      </c>
      <c r="V425" s="38" t="s">
        <v>474</v>
      </c>
      <c r="W425" s="6" t="s">
        <v>96</v>
      </c>
      <c r="X425" s="1" t="s">
        <v>468</v>
      </c>
      <c r="Y425" s="33" t="s">
        <v>483</v>
      </c>
      <c r="Z425" s="36"/>
      <c r="AA425" s="37">
        <v>1.0</v>
      </c>
      <c r="AB425" s="36"/>
      <c r="AC425" s="36"/>
      <c r="AD425" s="36"/>
      <c r="AE425" s="36"/>
      <c r="AF425" s="36"/>
      <c r="AG425" s="36"/>
      <c r="AH425" s="36" t="s">
        <v>1416</v>
      </c>
      <c r="AI425" s="37">
        <v>-2000.0</v>
      </c>
      <c r="AJ425" s="37">
        <v>1950.0</v>
      </c>
      <c r="AK425" s="6" t="s">
        <v>73</v>
      </c>
      <c r="AL425" s="6" t="s">
        <v>72</v>
      </c>
      <c r="AM425" s="6" t="s">
        <v>132</v>
      </c>
      <c r="AN425" s="6" t="s">
        <v>60</v>
      </c>
      <c r="AO425" s="33" t="s">
        <v>471</v>
      </c>
      <c r="AP425" s="6" t="s">
        <v>102</v>
      </c>
      <c r="AQ425" s="33"/>
      <c r="AR425" s="33"/>
      <c r="AS425" s="33"/>
      <c r="AT425" s="6" t="s">
        <v>76</v>
      </c>
      <c r="AU425" s="33"/>
      <c r="AV425" s="33"/>
      <c r="AW425" s="33"/>
      <c r="AX425" s="33"/>
      <c r="AY425" s="33"/>
      <c r="AZ425" s="6" t="s">
        <v>76</v>
      </c>
      <c r="BA425" s="45" t="s">
        <v>2272</v>
      </c>
      <c r="BB425" s="33">
        <f>VLOOKUP(O425,Eco_DEM_Data!$D$1:$AC$643,20,False)</f>
        <v>1757</v>
      </c>
      <c r="BC425" s="33">
        <f>VLOOKUP($O425,Eco_DEM_Data!$D$1:$AC$643,20,False)</f>
        <v>1757</v>
      </c>
      <c r="BD425" s="33">
        <f>VLOOKUP($O425,Eco_DEM_Data!$D$1:$AC$643,25,False)</f>
        <v>704</v>
      </c>
      <c r="BE425" s="33">
        <f>VLOOKUP($O425,Eco_DEM_Data!$D$1:$AC$643,22,False)</f>
        <v>37</v>
      </c>
      <c r="BF425" s="33">
        <f>VLOOKUP($O425,Eco_DEM_Data!$D$1:$AC$643,23,False)</f>
        <v>141</v>
      </c>
      <c r="BG425" s="33">
        <f>VLOOKUP($O425,Eco_DEM_Data!$D$1:$AC$643,21,False)</f>
        <v>5662</v>
      </c>
      <c r="BH425" s="33">
        <f>VLOOKUP($O425,Eco_DEM_Data!$D$1:$AC$643,26,False)</f>
        <v>118</v>
      </c>
      <c r="BI425" s="33" t="str">
        <f>VLOOKUP($O425,Eco_DEM_Data!$D$1:$AC$643,9,False)</f>
        <v>Petén-Veracruz moist forests</v>
      </c>
      <c r="BJ425" s="33" t="str">
        <f>VLOOKUP($O425,Eco_DEM_Data!$D$1:$AC$643,11,False)</f>
        <v>Tropical &amp; Subtropical Moist Broadleaf Forests</v>
      </c>
    </row>
    <row r="426">
      <c r="A426" s="33" t="s">
        <v>1626</v>
      </c>
      <c r="B426" s="33" t="s">
        <v>2259</v>
      </c>
      <c r="C426" s="34">
        <v>2.0</v>
      </c>
      <c r="D426" s="33" t="s">
        <v>268</v>
      </c>
      <c r="E426" s="34">
        <v>2015.0</v>
      </c>
      <c r="F426" s="33" t="s">
        <v>1627</v>
      </c>
      <c r="G426" s="45" t="s">
        <v>1628</v>
      </c>
      <c r="H426" s="46"/>
      <c r="I426" s="33"/>
      <c r="J426" s="33" t="s">
        <v>1629</v>
      </c>
      <c r="K426" s="34">
        <v>25.0</v>
      </c>
      <c r="L426" s="33"/>
      <c r="M426" s="6" t="s">
        <v>1630</v>
      </c>
      <c r="N426" s="35" t="s">
        <v>60</v>
      </c>
      <c r="O426" s="33" t="s">
        <v>2179</v>
      </c>
      <c r="P426" s="36" t="s">
        <v>62</v>
      </c>
      <c r="Q426" s="36" t="s">
        <v>92</v>
      </c>
      <c r="R426" s="36" t="s">
        <v>1632</v>
      </c>
      <c r="S426" s="37">
        <v>15.149667</v>
      </c>
      <c r="T426" s="37">
        <v>-92.751</v>
      </c>
      <c r="U426" s="36" t="s">
        <v>1108</v>
      </c>
      <c r="V426" s="38" t="s">
        <v>66</v>
      </c>
      <c r="W426" s="5" t="s">
        <v>2180</v>
      </c>
      <c r="X426" s="7" t="s">
        <v>2181</v>
      </c>
      <c r="Y426" s="41" t="s">
        <v>70</v>
      </c>
      <c r="Z426" s="43"/>
      <c r="AA426" s="42">
        <v>4.0</v>
      </c>
      <c r="AB426" s="43"/>
      <c r="AC426" s="43"/>
      <c r="AD426" s="43"/>
      <c r="AE426" s="43"/>
      <c r="AF426" s="43"/>
      <c r="AG426" s="43"/>
      <c r="AH426" s="43" t="s">
        <v>1633</v>
      </c>
      <c r="AI426" s="42">
        <v>-4200.0</v>
      </c>
      <c r="AJ426" s="42">
        <v>1100.0</v>
      </c>
      <c r="AK426" s="5" t="s">
        <v>73</v>
      </c>
      <c r="AL426" s="5" t="s">
        <v>72</v>
      </c>
      <c r="AM426" s="6" t="s">
        <v>132</v>
      </c>
      <c r="AN426" s="5" t="s">
        <v>60</v>
      </c>
      <c r="AO426" s="41"/>
      <c r="AP426" s="5" t="s">
        <v>75</v>
      </c>
      <c r="AQ426" s="41"/>
      <c r="AR426" s="41"/>
      <c r="AS426" s="41"/>
      <c r="AT426" s="5" t="s">
        <v>60</v>
      </c>
      <c r="AU426" s="33"/>
      <c r="AV426" s="33"/>
      <c r="AW426" s="33"/>
      <c r="AX426" s="33"/>
      <c r="AY426" s="33"/>
      <c r="AZ426" s="6" t="s">
        <v>76</v>
      </c>
      <c r="BA426" s="33"/>
      <c r="BB426" s="33">
        <f>VLOOKUP(O426,Eco_DEM_Data!$D$1:$AC$643,20,False)</f>
        <v>1799</v>
      </c>
      <c r="BC426" s="33">
        <f>VLOOKUP($O426,Eco_DEM_Data!$D$1:$AC$643,20,False)</f>
        <v>1799</v>
      </c>
      <c r="BD426" s="33">
        <f>VLOOKUP($O426,Eco_DEM_Data!$D$1:$AC$643,25,False)</f>
        <v>961</v>
      </c>
      <c r="BE426" s="33">
        <f>VLOOKUP($O426,Eco_DEM_Data!$D$1:$AC$643,22,False)</f>
        <v>2</v>
      </c>
      <c r="BF426" s="33">
        <f>VLOOKUP($O426,Eco_DEM_Data!$D$1:$AC$643,23,False)</f>
        <v>12</v>
      </c>
      <c r="BG426" s="33">
        <f>VLOOKUP($O426,Eco_DEM_Data!$D$1:$AC$643,21,False)</f>
        <v>9833</v>
      </c>
      <c r="BH426" s="33">
        <f>VLOOKUP($O426,Eco_DEM_Data!$D$1:$AC$643,26,False)</f>
        <v>1</v>
      </c>
      <c r="BI426" s="33" t="str">
        <f>VLOOKUP($O426,Eco_DEM_Data!$D$1:$AC$643,9,False)</f>
        <v>Southern Mesoamerican Pacific mangroves</v>
      </c>
      <c r="BJ426" s="33" t="str">
        <f>VLOOKUP($O426,Eco_DEM_Data!$D$1:$AC$643,11,False)</f>
        <v>Mangroves</v>
      </c>
    </row>
    <row r="427">
      <c r="A427" s="33" t="s">
        <v>1626</v>
      </c>
      <c r="B427" s="33" t="s">
        <v>2259</v>
      </c>
      <c r="C427" s="34">
        <v>2.0</v>
      </c>
      <c r="D427" s="33" t="s">
        <v>268</v>
      </c>
      <c r="E427" s="34">
        <v>2015.0</v>
      </c>
      <c r="F427" s="33" t="s">
        <v>1627</v>
      </c>
      <c r="G427" s="45" t="s">
        <v>1628</v>
      </c>
      <c r="H427" s="46"/>
      <c r="I427" s="33"/>
      <c r="J427" s="33" t="s">
        <v>1629</v>
      </c>
      <c r="K427" s="34">
        <v>25.0</v>
      </c>
      <c r="L427" s="33"/>
      <c r="M427" s="6" t="s">
        <v>1630</v>
      </c>
      <c r="N427" s="35" t="s">
        <v>60</v>
      </c>
      <c r="O427" s="33" t="s">
        <v>1631</v>
      </c>
      <c r="P427" s="36" t="s">
        <v>62</v>
      </c>
      <c r="Q427" s="36" t="s">
        <v>92</v>
      </c>
      <c r="R427" s="36" t="s">
        <v>1632</v>
      </c>
      <c r="S427" s="37">
        <v>15.149667</v>
      </c>
      <c r="T427" s="37">
        <v>-92.751</v>
      </c>
      <c r="U427" s="36" t="s">
        <v>1108</v>
      </c>
      <c r="V427" s="6" t="s">
        <v>275</v>
      </c>
      <c r="W427" s="33" t="s">
        <v>72</v>
      </c>
      <c r="X427" s="1" t="s">
        <v>278</v>
      </c>
      <c r="Y427" s="33" t="s">
        <v>279</v>
      </c>
      <c r="Z427" s="36"/>
      <c r="AA427" s="37">
        <v>4.0</v>
      </c>
      <c r="AB427" s="36"/>
      <c r="AC427" s="36"/>
      <c r="AD427" s="36"/>
      <c r="AE427" s="36"/>
      <c r="AF427" s="36"/>
      <c r="AG427" s="36"/>
      <c r="AH427" s="36" t="s">
        <v>1633</v>
      </c>
      <c r="AI427" s="37">
        <v>-4200.0</v>
      </c>
      <c r="AJ427" s="37">
        <v>1950.0</v>
      </c>
      <c r="AK427" s="6" t="s">
        <v>73</v>
      </c>
      <c r="AL427" s="6" t="s">
        <v>72</v>
      </c>
      <c r="AM427" s="6" t="s">
        <v>132</v>
      </c>
      <c r="AN427" s="6" t="s">
        <v>60</v>
      </c>
      <c r="AO427" s="33"/>
      <c r="AP427" s="6" t="s">
        <v>75</v>
      </c>
      <c r="AQ427" s="33"/>
      <c r="AR427" s="33"/>
      <c r="AS427" s="33"/>
      <c r="AT427" s="6" t="s">
        <v>76</v>
      </c>
      <c r="AU427" s="33"/>
      <c r="AV427" s="33"/>
      <c r="AW427" s="33"/>
      <c r="AX427" s="33"/>
      <c r="AY427" s="33"/>
      <c r="AZ427" s="6" t="s">
        <v>76</v>
      </c>
      <c r="BA427" s="33"/>
      <c r="BB427" s="33">
        <f>VLOOKUP(O427,Eco_DEM_Data!$D$1:$AC$643,20,False)</f>
        <v>1799</v>
      </c>
      <c r="BC427" s="33">
        <f>VLOOKUP($O427,Eco_DEM_Data!$D$1:$AC$643,20,False)</f>
        <v>1799</v>
      </c>
      <c r="BD427" s="33">
        <f>VLOOKUP($O427,Eco_DEM_Data!$D$1:$AC$643,25,False)</f>
        <v>961</v>
      </c>
      <c r="BE427" s="33">
        <f>VLOOKUP($O427,Eco_DEM_Data!$D$1:$AC$643,22,False)</f>
        <v>2</v>
      </c>
      <c r="BF427" s="33">
        <f>VLOOKUP($O427,Eco_DEM_Data!$D$1:$AC$643,23,False)</f>
        <v>12</v>
      </c>
      <c r="BG427" s="33">
        <f>VLOOKUP($O427,Eco_DEM_Data!$D$1:$AC$643,21,False)</f>
        <v>9833</v>
      </c>
      <c r="BH427" s="33">
        <f>VLOOKUP($O427,Eco_DEM_Data!$D$1:$AC$643,26,False)</f>
        <v>1</v>
      </c>
      <c r="BI427" s="33" t="str">
        <f>VLOOKUP($O427,Eco_DEM_Data!$D$1:$AC$643,9,False)</f>
        <v>Southern Mesoamerican Pacific mangroves</v>
      </c>
      <c r="BJ427" s="33" t="str">
        <f>VLOOKUP($O427,Eco_DEM_Data!$D$1:$AC$643,11,False)</f>
        <v>Mangroves</v>
      </c>
    </row>
    <row r="428">
      <c r="A428" s="33" t="s">
        <v>1244</v>
      </c>
      <c r="B428" s="33" t="s">
        <v>2259</v>
      </c>
      <c r="C428" s="34">
        <v>1.0</v>
      </c>
      <c r="D428" s="33" t="s">
        <v>53</v>
      </c>
      <c r="E428" s="34">
        <v>2015.0</v>
      </c>
      <c r="F428" s="33" t="s">
        <v>1245</v>
      </c>
      <c r="G428" s="33" t="s">
        <v>1246</v>
      </c>
      <c r="H428" s="33" t="s">
        <v>1247</v>
      </c>
      <c r="I428" s="33" t="s">
        <v>1248</v>
      </c>
      <c r="J428" s="33" t="s">
        <v>1249</v>
      </c>
      <c r="K428" s="34">
        <v>8.0</v>
      </c>
      <c r="L428" s="34">
        <v>3.0</v>
      </c>
      <c r="M428" s="6" t="s">
        <v>1250</v>
      </c>
      <c r="N428" s="35" t="s">
        <v>76</v>
      </c>
      <c r="O428" s="33" t="s">
        <v>1244</v>
      </c>
      <c r="P428" s="36" t="s">
        <v>62</v>
      </c>
      <c r="Q428" s="36" t="s">
        <v>187</v>
      </c>
      <c r="R428" s="36" t="s">
        <v>1251</v>
      </c>
      <c r="S428" s="37">
        <v>16.20855</v>
      </c>
      <c r="T428" s="37">
        <v>-89.07345</v>
      </c>
      <c r="U428" s="36" t="s">
        <v>94</v>
      </c>
      <c r="V428" s="6" t="s">
        <v>135</v>
      </c>
      <c r="W428" s="6" t="s">
        <v>96</v>
      </c>
      <c r="X428" s="1" t="s">
        <v>1252</v>
      </c>
      <c r="Y428" s="6" t="s">
        <v>99</v>
      </c>
      <c r="Z428" s="37"/>
      <c r="AA428" s="37"/>
      <c r="AB428" s="36"/>
      <c r="AC428" s="36"/>
      <c r="AD428" s="36"/>
      <c r="AE428" s="37">
        <v>18.0</v>
      </c>
      <c r="AF428" s="36"/>
      <c r="AG428" s="36"/>
      <c r="AH428" s="36"/>
      <c r="AI428" s="37">
        <v>1550.0</v>
      </c>
      <c r="AJ428" s="37">
        <v>2006.0</v>
      </c>
      <c r="AK428" s="6" t="s">
        <v>153</v>
      </c>
      <c r="AL428" s="6" t="s">
        <v>72</v>
      </c>
      <c r="AM428" s="5" t="s">
        <v>72</v>
      </c>
      <c r="AN428" s="6" t="s">
        <v>101</v>
      </c>
      <c r="AO428" s="33"/>
      <c r="AP428" s="6" t="s">
        <v>102</v>
      </c>
      <c r="AQ428" s="33"/>
      <c r="AR428" s="33"/>
      <c r="AS428" s="33"/>
      <c r="AT428" s="6" t="s">
        <v>76</v>
      </c>
      <c r="AU428" s="33"/>
      <c r="AV428" s="33"/>
      <c r="AW428" s="33"/>
      <c r="AX428" s="33"/>
      <c r="AY428" s="33"/>
      <c r="AZ428" s="6" t="s">
        <v>60</v>
      </c>
      <c r="BA428" s="33"/>
      <c r="BB428" s="33">
        <f>VLOOKUP(O428,Eco_DEM_Data!$D$1:$AC$643,20,False)</f>
        <v>3284</v>
      </c>
      <c r="BC428" s="33">
        <f>VLOOKUP($O428,Eco_DEM_Data!$D$1:$AC$643,20,False)</f>
        <v>3284</v>
      </c>
      <c r="BD428" s="33">
        <f>VLOOKUP($O428,Eco_DEM_Data!$D$1:$AC$643,25,False)</f>
        <v>1631</v>
      </c>
      <c r="BE428" s="33">
        <f>VLOOKUP($O428,Eco_DEM_Data!$D$1:$AC$643,22,False)</f>
        <v>70</v>
      </c>
      <c r="BF428" s="33">
        <f>VLOOKUP($O428,Eco_DEM_Data!$D$1:$AC$643,23,False)</f>
        <v>253</v>
      </c>
      <c r="BG428" s="33">
        <f>VLOOKUP($O428,Eco_DEM_Data!$D$1:$AC$643,21,False)</f>
        <v>6997</v>
      </c>
      <c r="BH428" s="33">
        <f>VLOOKUP($O428,Eco_DEM_Data!$D$1:$AC$643,26,False)</f>
        <v>319</v>
      </c>
      <c r="BI428" s="33" t="str">
        <f>VLOOKUP($O428,Eco_DEM_Data!$D$1:$AC$643,9,False)</f>
        <v>Petén-Veracruz moist forests</v>
      </c>
      <c r="BJ428" s="33" t="str">
        <f>VLOOKUP($O428,Eco_DEM_Data!$D$1:$AC$643,11,False)</f>
        <v>Tropical &amp; Subtropical Moist Broadleaf Forests</v>
      </c>
    </row>
    <row r="429">
      <c r="A429" s="33" t="s">
        <v>1727</v>
      </c>
      <c r="B429" s="33" t="s">
        <v>2259</v>
      </c>
      <c r="C429" s="34">
        <v>2.0</v>
      </c>
      <c r="D429" s="33" t="s">
        <v>53</v>
      </c>
      <c r="E429" s="34">
        <v>2015.0</v>
      </c>
      <c r="F429" s="33" t="s">
        <v>1728</v>
      </c>
      <c r="G429" s="33" t="s">
        <v>1729</v>
      </c>
      <c r="H429" s="33" t="s">
        <v>1386</v>
      </c>
      <c r="I429" s="33" t="s">
        <v>1730</v>
      </c>
      <c r="J429" s="33" t="s">
        <v>1731</v>
      </c>
      <c r="K429" s="34">
        <v>115.0</v>
      </c>
      <c r="L429" s="33"/>
      <c r="M429" s="6" t="s">
        <v>1732</v>
      </c>
      <c r="N429" s="35" t="s">
        <v>60</v>
      </c>
      <c r="O429" s="33" t="s">
        <v>1733</v>
      </c>
      <c r="P429" s="36" t="s">
        <v>62</v>
      </c>
      <c r="Q429" s="36" t="s">
        <v>167</v>
      </c>
      <c r="R429" s="36" t="s">
        <v>512</v>
      </c>
      <c r="S429" s="37">
        <v>17.0</v>
      </c>
      <c r="T429" s="37">
        <v>-89.5</v>
      </c>
      <c r="U429" s="36" t="s">
        <v>148</v>
      </c>
      <c r="V429" s="6" t="s">
        <v>80</v>
      </c>
      <c r="W429" s="33" t="s">
        <v>156</v>
      </c>
      <c r="X429" s="1" t="s">
        <v>1734</v>
      </c>
      <c r="Y429" s="6" t="s">
        <v>928</v>
      </c>
      <c r="Z429" s="36"/>
      <c r="AA429" s="37">
        <v>12.0</v>
      </c>
      <c r="AB429" s="36"/>
      <c r="AC429" s="36"/>
      <c r="AD429" s="36"/>
      <c r="AE429" s="36"/>
      <c r="AF429" s="36"/>
      <c r="AG429" s="36"/>
      <c r="AH429" s="36" t="s">
        <v>523</v>
      </c>
      <c r="AI429" s="37">
        <v>-8500.0</v>
      </c>
      <c r="AJ429" s="37">
        <v>1950.0</v>
      </c>
      <c r="AK429" s="6" t="s">
        <v>73</v>
      </c>
      <c r="AL429" s="6" t="s">
        <v>60</v>
      </c>
      <c r="AM429" s="6" t="s">
        <v>132</v>
      </c>
      <c r="AN429" s="6" t="s">
        <v>72</v>
      </c>
      <c r="AO429" s="33"/>
      <c r="AP429" s="6" t="s">
        <v>75</v>
      </c>
      <c r="AQ429" s="33"/>
      <c r="AR429" s="33"/>
      <c r="AS429" s="33"/>
      <c r="AT429" s="6" t="s">
        <v>76</v>
      </c>
      <c r="AU429" s="33"/>
      <c r="AV429" s="33"/>
      <c r="AW429" s="33"/>
      <c r="AX429" s="33"/>
      <c r="AY429" s="33"/>
      <c r="AZ429" s="6" t="s">
        <v>76</v>
      </c>
      <c r="BA429" s="33"/>
      <c r="BB429" s="33">
        <f>VLOOKUP(O429,Eco_DEM_Data!$D$1:$AC$643,20,False)</f>
        <v>1860</v>
      </c>
      <c r="BC429" s="33">
        <f>VLOOKUP($O429,Eco_DEM_Data!$D$1:$AC$643,20,False)</f>
        <v>1860</v>
      </c>
      <c r="BD429" s="33">
        <f>VLOOKUP($O429,Eco_DEM_Data!$D$1:$AC$643,25,False)</f>
        <v>756</v>
      </c>
      <c r="BE429" s="33">
        <f>VLOOKUP($O429,Eco_DEM_Data!$D$1:$AC$643,22,False)</f>
        <v>41</v>
      </c>
      <c r="BF429" s="33">
        <f>VLOOKUP($O429,Eco_DEM_Data!$D$1:$AC$643,23,False)</f>
        <v>153</v>
      </c>
      <c r="BG429" s="33">
        <f>VLOOKUP($O429,Eco_DEM_Data!$D$1:$AC$643,21,False)</f>
        <v>5571</v>
      </c>
      <c r="BH429" s="33">
        <f>VLOOKUP($O429,Eco_DEM_Data!$D$1:$AC$643,26,False)</f>
        <v>226</v>
      </c>
      <c r="BI429" s="33" t="str">
        <f>VLOOKUP($O429,Eco_DEM_Data!$D$1:$AC$643,9,False)</f>
        <v>Petén-Veracruz moist forests</v>
      </c>
      <c r="BJ429" s="33" t="str">
        <f>VLOOKUP($O429,Eco_DEM_Data!$D$1:$AC$643,11,False)</f>
        <v>Tropical &amp; Subtropical Moist Broadleaf Forests</v>
      </c>
    </row>
    <row r="430">
      <c r="A430" s="33" t="s">
        <v>1727</v>
      </c>
      <c r="B430" s="33" t="s">
        <v>2259</v>
      </c>
      <c r="C430" s="34">
        <v>2.0</v>
      </c>
      <c r="D430" s="33" t="s">
        <v>53</v>
      </c>
      <c r="E430" s="34">
        <v>2015.0</v>
      </c>
      <c r="F430" s="33" t="s">
        <v>1728</v>
      </c>
      <c r="G430" s="33" t="s">
        <v>1729</v>
      </c>
      <c r="H430" s="33" t="s">
        <v>1386</v>
      </c>
      <c r="I430" s="33" t="s">
        <v>1730</v>
      </c>
      <c r="J430" s="33" t="s">
        <v>1731</v>
      </c>
      <c r="K430" s="34">
        <v>115.0</v>
      </c>
      <c r="L430" s="33"/>
      <c r="M430" s="6" t="s">
        <v>1732</v>
      </c>
      <c r="N430" s="35" t="s">
        <v>60</v>
      </c>
      <c r="O430" s="33" t="s">
        <v>1735</v>
      </c>
      <c r="P430" s="36" t="s">
        <v>62</v>
      </c>
      <c r="Q430" s="36" t="s">
        <v>167</v>
      </c>
      <c r="R430" s="36" t="s">
        <v>512</v>
      </c>
      <c r="S430" s="37">
        <v>17.0</v>
      </c>
      <c r="T430" s="37">
        <v>-89.5</v>
      </c>
      <c r="U430" s="36" t="s">
        <v>148</v>
      </c>
      <c r="V430" s="38" t="s">
        <v>194</v>
      </c>
      <c r="W430" s="33" t="s">
        <v>1736</v>
      </c>
      <c r="X430" s="1" t="s">
        <v>1737</v>
      </c>
      <c r="Y430" s="33" t="s">
        <v>70</v>
      </c>
      <c r="Z430" s="36"/>
      <c r="AA430" s="37">
        <v>12.0</v>
      </c>
      <c r="AB430" s="36"/>
      <c r="AC430" s="36"/>
      <c r="AD430" s="36"/>
      <c r="AE430" s="36"/>
      <c r="AF430" s="36"/>
      <c r="AG430" s="36"/>
      <c r="AH430" s="36" t="s">
        <v>523</v>
      </c>
      <c r="AI430" s="37">
        <v>-8500.0</v>
      </c>
      <c r="AJ430" s="37">
        <v>1950.0</v>
      </c>
      <c r="AK430" s="6" t="s">
        <v>73</v>
      </c>
      <c r="AL430" s="6" t="s">
        <v>60</v>
      </c>
      <c r="AM430" s="6" t="s">
        <v>132</v>
      </c>
      <c r="AN430" s="6" t="s">
        <v>72</v>
      </c>
      <c r="AO430" s="33"/>
      <c r="AP430" s="6" t="s">
        <v>75</v>
      </c>
      <c r="AQ430" s="33"/>
      <c r="AR430" s="33"/>
      <c r="AS430" s="33"/>
      <c r="AT430" s="6" t="s">
        <v>76</v>
      </c>
      <c r="AU430" s="33"/>
      <c r="AV430" s="33"/>
      <c r="AW430" s="33"/>
      <c r="AX430" s="33"/>
      <c r="AY430" s="33"/>
      <c r="AZ430" s="6" t="s">
        <v>76</v>
      </c>
      <c r="BA430" s="33"/>
      <c r="BB430" s="33">
        <f>VLOOKUP(O430,Eco_DEM_Data!$D$1:$AC$643,20,False)</f>
        <v>1860</v>
      </c>
      <c r="BC430" s="33">
        <f>VLOOKUP($O430,Eco_DEM_Data!$D$1:$AC$643,20,False)</f>
        <v>1860</v>
      </c>
      <c r="BD430" s="33">
        <f>VLOOKUP($O430,Eco_DEM_Data!$D$1:$AC$643,25,False)</f>
        <v>756</v>
      </c>
      <c r="BE430" s="33">
        <f>VLOOKUP($O430,Eco_DEM_Data!$D$1:$AC$643,22,False)</f>
        <v>41</v>
      </c>
      <c r="BF430" s="33">
        <f>VLOOKUP($O430,Eco_DEM_Data!$D$1:$AC$643,23,False)</f>
        <v>153</v>
      </c>
      <c r="BG430" s="33">
        <f>VLOOKUP($O430,Eco_DEM_Data!$D$1:$AC$643,21,False)</f>
        <v>5571</v>
      </c>
      <c r="BH430" s="33">
        <f>VLOOKUP($O430,Eco_DEM_Data!$D$1:$AC$643,26,False)</f>
        <v>226</v>
      </c>
      <c r="BI430" s="33" t="str">
        <f>VLOOKUP($O430,Eco_DEM_Data!$D$1:$AC$643,9,False)</f>
        <v>Petén-Veracruz moist forests</v>
      </c>
      <c r="BJ430" s="33" t="str">
        <f>VLOOKUP($O430,Eco_DEM_Data!$D$1:$AC$643,11,False)</f>
        <v>Tropical &amp; Subtropical Moist Broadleaf Forests</v>
      </c>
    </row>
    <row r="431">
      <c r="A431" s="33" t="s">
        <v>1446</v>
      </c>
      <c r="B431" s="33" t="s">
        <v>2259</v>
      </c>
      <c r="C431" s="34">
        <v>4.0</v>
      </c>
      <c r="D431" s="33" t="s">
        <v>53</v>
      </c>
      <c r="E431" s="34">
        <v>2015.0</v>
      </c>
      <c r="F431" s="33" t="s">
        <v>1447</v>
      </c>
      <c r="G431" s="33" t="s">
        <v>1448</v>
      </c>
      <c r="H431" s="33" t="s">
        <v>1186</v>
      </c>
      <c r="I431" s="33" t="s">
        <v>1449</v>
      </c>
      <c r="J431" s="33" t="s">
        <v>1450</v>
      </c>
      <c r="K431" s="34">
        <v>365.0</v>
      </c>
      <c r="L431" s="33"/>
      <c r="M431" s="6" t="s">
        <v>1451</v>
      </c>
      <c r="N431" s="35" t="s">
        <v>60</v>
      </c>
      <c r="O431" s="33" t="s">
        <v>1452</v>
      </c>
      <c r="P431" s="36" t="s">
        <v>62</v>
      </c>
      <c r="Q431" s="36" t="s">
        <v>92</v>
      </c>
      <c r="R431" s="36" t="s">
        <v>1453</v>
      </c>
      <c r="S431" s="37">
        <v>17.718838</v>
      </c>
      <c r="T431" s="37">
        <v>-91.695387</v>
      </c>
      <c r="U431" s="36" t="s">
        <v>1454</v>
      </c>
      <c r="V431" s="6" t="s">
        <v>135</v>
      </c>
      <c r="W431" s="5" t="s">
        <v>1455</v>
      </c>
      <c r="X431" s="7" t="s">
        <v>1456</v>
      </c>
      <c r="Y431" s="64" t="s">
        <v>256</v>
      </c>
      <c r="Z431" s="43"/>
      <c r="AA431" s="42">
        <v>7.0</v>
      </c>
      <c r="AB431" s="42">
        <v>3.0</v>
      </c>
      <c r="AC431" s="43"/>
      <c r="AD431" s="43"/>
      <c r="AE431" s="43"/>
      <c r="AF431" s="43"/>
      <c r="AG431" s="43"/>
      <c r="AH431" s="43" t="s">
        <v>1457</v>
      </c>
      <c r="AI431" s="42">
        <v>-65000.0</v>
      </c>
      <c r="AJ431" s="42">
        <v>980.0</v>
      </c>
      <c r="AK431" s="5" t="s">
        <v>100</v>
      </c>
      <c r="AL431" s="5" t="s">
        <v>76</v>
      </c>
      <c r="AM431" s="5" t="s">
        <v>72</v>
      </c>
      <c r="AN431" s="5" t="s">
        <v>72</v>
      </c>
      <c r="AO431" s="41"/>
      <c r="AP431" s="5" t="s">
        <v>75</v>
      </c>
      <c r="AQ431" s="41"/>
      <c r="AR431" s="41"/>
      <c r="AS431" s="41"/>
      <c r="AT431" s="6" t="s">
        <v>76</v>
      </c>
      <c r="AU431" s="33"/>
      <c r="AV431" s="33"/>
      <c r="AW431" s="33"/>
      <c r="AX431" s="33"/>
      <c r="AY431" s="33"/>
      <c r="AZ431" s="6" t="s">
        <v>76</v>
      </c>
      <c r="BA431" s="33"/>
      <c r="BB431" s="33">
        <f>VLOOKUP(O431,Eco_DEM_Data!$D$1:$AC$643,20,False)</f>
        <v>2096</v>
      </c>
      <c r="BC431" s="33">
        <f>VLOOKUP($O431,Eco_DEM_Data!$D$1:$AC$643,20,False)</f>
        <v>2096</v>
      </c>
      <c r="BD431" s="33">
        <f>VLOOKUP($O431,Eco_DEM_Data!$D$1:$AC$643,25,False)</f>
        <v>892</v>
      </c>
      <c r="BE431" s="33">
        <f>VLOOKUP($O431,Eco_DEM_Data!$D$1:$AC$643,22,False)</f>
        <v>57</v>
      </c>
      <c r="BF431" s="33">
        <f>VLOOKUP($O431,Eco_DEM_Data!$D$1:$AC$643,23,False)</f>
        <v>205</v>
      </c>
      <c r="BG431" s="33">
        <f>VLOOKUP($O431,Eco_DEM_Data!$D$1:$AC$643,21,False)</f>
        <v>5426</v>
      </c>
      <c r="BH431" s="33">
        <f>VLOOKUP($O431,Eco_DEM_Data!$D$1:$AC$643,26,False)</f>
        <v>15</v>
      </c>
      <c r="BI431" s="33" t="str">
        <f>VLOOKUP($O431,Eco_DEM_Data!$D$1:$AC$643,9,False)</f>
        <v>Pantanos de Centla</v>
      </c>
      <c r="BJ431" s="33" t="str">
        <f>VLOOKUP($O431,Eco_DEM_Data!$D$1:$AC$643,11,False)</f>
        <v>Tropical &amp; Subtropical Moist Broadleaf Forests</v>
      </c>
    </row>
    <row r="432">
      <c r="A432" s="33" t="s">
        <v>1446</v>
      </c>
      <c r="B432" s="33" t="s">
        <v>2259</v>
      </c>
      <c r="C432" s="34">
        <v>4.0</v>
      </c>
      <c r="D432" s="33" t="s">
        <v>53</v>
      </c>
      <c r="E432" s="34">
        <v>2015.0</v>
      </c>
      <c r="F432" s="33" t="s">
        <v>1447</v>
      </c>
      <c r="G432" s="33" t="s">
        <v>1448</v>
      </c>
      <c r="H432" s="33" t="s">
        <v>1186</v>
      </c>
      <c r="I432" s="33" t="s">
        <v>1449</v>
      </c>
      <c r="J432" s="33" t="s">
        <v>1450</v>
      </c>
      <c r="K432" s="34">
        <v>365.0</v>
      </c>
      <c r="L432" s="33"/>
      <c r="M432" s="6" t="s">
        <v>1451</v>
      </c>
      <c r="N432" s="35" t="s">
        <v>60</v>
      </c>
      <c r="O432" s="33" t="s">
        <v>1458</v>
      </c>
      <c r="P432" s="36" t="s">
        <v>62</v>
      </c>
      <c r="Q432" s="36" t="s">
        <v>92</v>
      </c>
      <c r="R432" s="36" t="s">
        <v>1453</v>
      </c>
      <c r="S432" s="37">
        <v>17.718838</v>
      </c>
      <c r="T432" s="37">
        <v>-91.695387</v>
      </c>
      <c r="U432" s="36" t="s">
        <v>1454</v>
      </c>
      <c r="V432" s="38" t="s">
        <v>1459</v>
      </c>
      <c r="W432" s="33" t="s">
        <v>1460</v>
      </c>
      <c r="X432" s="1" t="s">
        <v>1461</v>
      </c>
      <c r="Y432" s="33" t="s">
        <v>279</v>
      </c>
      <c r="Z432" s="36"/>
      <c r="AA432" s="37">
        <v>7.0</v>
      </c>
      <c r="AB432" s="37">
        <v>3.0</v>
      </c>
      <c r="AC432" s="36"/>
      <c r="AD432" s="36"/>
      <c r="AE432" s="36"/>
      <c r="AF432" s="36"/>
      <c r="AG432" s="36"/>
      <c r="AH432" s="36" t="s">
        <v>1457</v>
      </c>
      <c r="AI432" s="37">
        <v>-65000.0</v>
      </c>
      <c r="AJ432" s="37">
        <v>980.0</v>
      </c>
      <c r="AK432" s="6" t="s">
        <v>100</v>
      </c>
      <c r="AL432" s="6" t="s">
        <v>76</v>
      </c>
      <c r="AM432" s="6" t="s">
        <v>72</v>
      </c>
      <c r="AN432" s="6" t="s">
        <v>72</v>
      </c>
      <c r="AO432" s="33"/>
      <c r="AP432" s="6" t="s">
        <v>75</v>
      </c>
      <c r="AQ432" s="33"/>
      <c r="AR432" s="33"/>
      <c r="AS432" s="33"/>
      <c r="AT432" s="6" t="s">
        <v>76</v>
      </c>
      <c r="AU432" s="33"/>
      <c r="AV432" s="33"/>
      <c r="AW432" s="33"/>
      <c r="AX432" s="33"/>
      <c r="AY432" s="33"/>
      <c r="AZ432" s="6" t="s">
        <v>76</v>
      </c>
      <c r="BA432" s="33"/>
      <c r="BB432" s="33">
        <f>VLOOKUP(O432,Eco_DEM_Data!$D$1:$AC$643,20,False)</f>
        <v>2096</v>
      </c>
      <c r="BC432" s="33">
        <f>VLOOKUP($O432,Eco_DEM_Data!$D$1:$AC$643,20,False)</f>
        <v>2096</v>
      </c>
      <c r="BD432" s="33">
        <f>VLOOKUP($O432,Eco_DEM_Data!$D$1:$AC$643,25,False)</f>
        <v>892</v>
      </c>
      <c r="BE432" s="33">
        <f>VLOOKUP($O432,Eco_DEM_Data!$D$1:$AC$643,22,False)</f>
        <v>57</v>
      </c>
      <c r="BF432" s="33">
        <f>VLOOKUP($O432,Eco_DEM_Data!$D$1:$AC$643,23,False)</f>
        <v>205</v>
      </c>
      <c r="BG432" s="33">
        <f>VLOOKUP($O432,Eco_DEM_Data!$D$1:$AC$643,21,False)</f>
        <v>5426</v>
      </c>
      <c r="BH432" s="33">
        <f>VLOOKUP($O432,Eco_DEM_Data!$D$1:$AC$643,26,False)</f>
        <v>15</v>
      </c>
      <c r="BI432" s="33" t="str">
        <f>VLOOKUP($O432,Eco_DEM_Data!$D$1:$AC$643,9,False)</f>
        <v>Pantanos de Centla</v>
      </c>
      <c r="BJ432" s="33" t="str">
        <f>VLOOKUP($O432,Eco_DEM_Data!$D$1:$AC$643,11,False)</f>
        <v>Tropical &amp; Subtropical Moist Broadleaf Forests</v>
      </c>
    </row>
    <row r="433">
      <c r="A433" s="33" t="s">
        <v>1446</v>
      </c>
      <c r="B433" s="33" t="s">
        <v>2259</v>
      </c>
      <c r="C433" s="34">
        <v>4.0</v>
      </c>
      <c r="D433" s="33" t="s">
        <v>53</v>
      </c>
      <c r="E433" s="34">
        <v>2015.0</v>
      </c>
      <c r="F433" s="33" t="s">
        <v>1447</v>
      </c>
      <c r="G433" s="33" t="s">
        <v>1448</v>
      </c>
      <c r="H433" s="33" t="s">
        <v>1186</v>
      </c>
      <c r="I433" s="33" t="s">
        <v>1449</v>
      </c>
      <c r="J433" s="33" t="s">
        <v>1450</v>
      </c>
      <c r="K433" s="34">
        <v>365.0</v>
      </c>
      <c r="L433" s="33"/>
      <c r="M433" s="6" t="s">
        <v>1451</v>
      </c>
      <c r="N433" s="35" t="s">
        <v>60</v>
      </c>
      <c r="O433" s="33" t="s">
        <v>1462</v>
      </c>
      <c r="P433" s="36" t="s">
        <v>62</v>
      </c>
      <c r="Q433" s="36" t="s">
        <v>92</v>
      </c>
      <c r="R433" s="36" t="s">
        <v>1453</v>
      </c>
      <c r="S433" s="37">
        <v>17.718838</v>
      </c>
      <c r="T433" s="37">
        <v>-91.695387</v>
      </c>
      <c r="U433" s="36" t="s">
        <v>1454</v>
      </c>
      <c r="V433" s="38" t="s">
        <v>293</v>
      </c>
      <c r="W433" s="41" t="s">
        <v>823</v>
      </c>
      <c r="X433" s="7" t="s">
        <v>1463</v>
      </c>
      <c r="Y433" s="41" t="s">
        <v>70</v>
      </c>
      <c r="Z433" s="43"/>
      <c r="AA433" s="42">
        <v>7.0</v>
      </c>
      <c r="AB433" s="42">
        <v>3.0</v>
      </c>
      <c r="AC433" s="43"/>
      <c r="AD433" s="43"/>
      <c r="AE433" s="43"/>
      <c r="AF433" s="43"/>
      <c r="AG433" s="43"/>
      <c r="AH433" s="43" t="s">
        <v>1457</v>
      </c>
      <c r="AI433" s="42">
        <v>-65000.0</v>
      </c>
      <c r="AJ433" s="42">
        <v>980.0</v>
      </c>
      <c r="AK433" s="5" t="s">
        <v>100</v>
      </c>
      <c r="AL433" s="5" t="s">
        <v>76</v>
      </c>
      <c r="AM433" s="5" t="s">
        <v>72</v>
      </c>
      <c r="AN433" s="5" t="s">
        <v>72</v>
      </c>
      <c r="AO433" s="41"/>
      <c r="AP433" s="5" t="s">
        <v>75</v>
      </c>
      <c r="AQ433" s="41"/>
      <c r="AR433" s="41"/>
      <c r="AS433" s="41"/>
      <c r="AT433" s="5" t="s">
        <v>60</v>
      </c>
      <c r="AU433" s="33"/>
      <c r="AV433" s="33"/>
      <c r="AW433" s="33"/>
      <c r="AX433" s="33"/>
      <c r="AY433" s="33"/>
      <c r="AZ433" s="6" t="s">
        <v>76</v>
      </c>
      <c r="BA433" s="33"/>
      <c r="BB433" s="33">
        <f>VLOOKUP(O433,Eco_DEM_Data!$D$1:$AC$643,20,False)</f>
        <v>2096</v>
      </c>
      <c r="BC433" s="33">
        <f>VLOOKUP($O433,Eco_DEM_Data!$D$1:$AC$643,20,False)</f>
        <v>2096</v>
      </c>
      <c r="BD433" s="33">
        <f>VLOOKUP($O433,Eco_DEM_Data!$D$1:$AC$643,25,False)</f>
        <v>892</v>
      </c>
      <c r="BE433" s="33">
        <f>VLOOKUP($O433,Eco_DEM_Data!$D$1:$AC$643,22,False)</f>
        <v>57</v>
      </c>
      <c r="BF433" s="33">
        <f>VLOOKUP($O433,Eco_DEM_Data!$D$1:$AC$643,23,False)</f>
        <v>205</v>
      </c>
      <c r="BG433" s="33">
        <f>VLOOKUP($O433,Eco_DEM_Data!$D$1:$AC$643,21,False)</f>
        <v>5426</v>
      </c>
      <c r="BH433" s="33">
        <f>VLOOKUP($O433,Eco_DEM_Data!$D$1:$AC$643,26,False)</f>
        <v>15</v>
      </c>
      <c r="BI433" s="33" t="str">
        <f>VLOOKUP($O433,Eco_DEM_Data!$D$1:$AC$643,9,False)</f>
        <v>Pantanos de Centla</v>
      </c>
      <c r="BJ433" s="33" t="str">
        <f>VLOOKUP($O433,Eco_DEM_Data!$D$1:$AC$643,11,False)</f>
        <v>Tropical &amp; Subtropical Moist Broadleaf Forests</v>
      </c>
    </row>
    <row r="434">
      <c r="A434" s="33" t="s">
        <v>1446</v>
      </c>
      <c r="B434" s="33" t="s">
        <v>2259</v>
      </c>
      <c r="C434" s="34">
        <v>4.0</v>
      </c>
      <c r="D434" s="33" t="s">
        <v>53</v>
      </c>
      <c r="E434" s="34">
        <v>2015.0</v>
      </c>
      <c r="F434" s="33" t="s">
        <v>1447</v>
      </c>
      <c r="G434" s="33" t="s">
        <v>1448</v>
      </c>
      <c r="H434" s="33" t="s">
        <v>1186</v>
      </c>
      <c r="I434" s="33" t="s">
        <v>1449</v>
      </c>
      <c r="J434" s="33" t="s">
        <v>1450</v>
      </c>
      <c r="K434" s="34">
        <v>365.0</v>
      </c>
      <c r="L434" s="33"/>
      <c r="M434" s="6" t="s">
        <v>1451</v>
      </c>
      <c r="N434" s="35" t="s">
        <v>60</v>
      </c>
      <c r="O434" s="33" t="s">
        <v>1464</v>
      </c>
      <c r="P434" s="36" t="s">
        <v>62</v>
      </c>
      <c r="Q434" s="36" t="s">
        <v>92</v>
      </c>
      <c r="R434" s="36" t="s">
        <v>1453</v>
      </c>
      <c r="S434" s="37">
        <v>17.718838</v>
      </c>
      <c r="T434" s="37">
        <v>-91.695387</v>
      </c>
      <c r="U434" s="36" t="s">
        <v>1454</v>
      </c>
      <c r="V434" s="6" t="s">
        <v>275</v>
      </c>
      <c r="W434" s="33" t="s">
        <v>1460</v>
      </c>
      <c r="X434" s="1" t="s">
        <v>278</v>
      </c>
      <c r="Y434" s="33" t="s">
        <v>279</v>
      </c>
      <c r="Z434" s="36"/>
      <c r="AA434" s="37">
        <v>7.0</v>
      </c>
      <c r="AB434" s="37">
        <v>3.0</v>
      </c>
      <c r="AC434" s="36"/>
      <c r="AD434" s="36"/>
      <c r="AE434" s="36"/>
      <c r="AF434" s="36"/>
      <c r="AG434" s="36"/>
      <c r="AH434" s="36" t="s">
        <v>1457</v>
      </c>
      <c r="AI434" s="37">
        <v>-65000.0</v>
      </c>
      <c r="AJ434" s="37">
        <v>980.0</v>
      </c>
      <c r="AK434" s="6" t="s">
        <v>100</v>
      </c>
      <c r="AL434" s="6" t="s">
        <v>76</v>
      </c>
      <c r="AM434" s="6" t="s">
        <v>72</v>
      </c>
      <c r="AN434" s="6" t="s">
        <v>72</v>
      </c>
      <c r="AO434" s="33"/>
      <c r="AP434" s="6" t="s">
        <v>75</v>
      </c>
      <c r="AQ434" s="33"/>
      <c r="AR434" s="33"/>
      <c r="AS434" s="33"/>
      <c r="AT434" s="6" t="s">
        <v>76</v>
      </c>
      <c r="AU434" s="33"/>
      <c r="AV434" s="33"/>
      <c r="AW434" s="33"/>
      <c r="AX434" s="33"/>
      <c r="AY434" s="33"/>
      <c r="AZ434" s="6" t="s">
        <v>76</v>
      </c>
      <c r="BA434" s="33"/>
      <c r="BB434" s="33">
        <f>VLOOKUP(O434,Eco_DEM_Data!$D$1:$AC$643,20,False)</f>
        <v>2096</v>
      </c>
      <c r="BC434" s="33">
        <f>VLOOKUP($O434,Eco_DEM_Data!$D$1:$AC$643,20,False)</f>
        <v>2096</v>
      </c>
      <c r="BD434" s="33">
        <f>VLOOKUP($O434,Eco_DEM_Data!$D$1:$AC$643,25,False)</f>
        <v>892</v>
      </c>
      <c r="BE434" s="33">
        <f>VLOOKUP($O434,Eco_DEM_Data!$D$1:$AC$643,22,False)</f>
        <v>57</v>
      </c>
      <c r="BF434" s="33">
        <f>VLOOKUP($O434,Eco_DEM_Data!$D$1:$AC$643,23,False)</f>
        <v>205</v>
      </c>
      <c r="BG434" s="33">
        <f>VLOOKUP($O434,Eco_DEM_Data!$D$1:$AC$643,21,False)</f>
        <v>5426</v>
      </c>
      <c r="BH434" s="33">
        <f>VLOOKUP($O434,Eco_DEM_Data!$D$1:$AC$643,26,False)</f>
        <v>15</v>
      </c>
      <c r="BI434" s="33" t="str">
        <f>VLOOKUP($O434,Eco_DEM_Data!$D$1:$AC$643,9,False)</f>
        <v>Pantanos de Centla</v>
      </c>
      <c r="BJ434" s="33" t="str">
        <f>VLOOKUP($O434,Eco_DEM_Data!$D$1:$AC$643,11,False)</f>
        <v>Tropical &amp; Subtropical Moist Broadleaf Forests</v>
      </c>
    </row>
    <row r="435">
      <c r="A435" s="33" t="s">
        <v>969</v>
      </c>
      <c r="B435" s="33" t="s">
        <v>2259</v>
      </c>
      <c r="C435" s="34">
        <v>15.0</v>
      </c>
      <c r="D435" s="33" t="s">
        <v>53</v>
      </c>
      <c r="E435" s="34">
        <v>2015.0</v>
      </c>
      <c r="F435" s="33" t="s">
        <v>970</v>
      </c>
      <c r="G435" s="33" t="s">
        <v>971</v>
      </c>
      <c r="H435" s="33" t="s">
        <v>732</v>
      </c>
      <c r="I435" s="33" t="s">
        <v>972</v>
      </c>
      <c r="J435" s="33" t="s">
        <v>973</v>
      </c>
      <c r="K435" s="34">
        <v>54.0</v>
      </c>
      <c r="L435" s="34">
        <v>4.0</v>
      </c>
      <c r="M435" s="6" t="s">
        <v>974</v>
      </c>
      <c r="N435" s="35" t="s">
        <v>60</v>
      </c>
      <c r="O435" s="33" t="s">
        <v>975</v>
      </c>
      <c r="P435" s="36" t="s">
        <v>62</v>
      </c>
      <c r="Q435" s="36" t="s">
        <v>112</v>
      </c>
      <c r="R435" s="36" t="s">
        <v>597</v>
      </c>
      <c r="S435" s="37">
        <v>8.812</v>
      </c>
      <c r="T435" s="37">
        <v>-82.961</v>
      </c>
      <c r="U435" s="36" t="s">
        <v>148</v>
      </c>
      <c r="V435" s="6" t="s">
        <v>189</v>
      </c>
      <c r="W435" s="33" t="s">
        <v>173</v>
      </c>
      <c r="X435" s="1" t="s">
        <v>977</v>
      </c>
      <c r="Y435" s="55" t="s">
        <v>70</v>
      </c>
      <c r="Z435" s="36"/>
      <c r="AA435" s="37">
        <v>3.0</v>
      </c>
      <c r="AB435" s="36"/>
      <c r="AC435" s="36"/>
      <c r="AD435" s="36"/>
      <c r="AE435" s="36"/>
      <c r="AF435" s="36"/>
      <c r="AG435" s="36"/>
      <c r="AH435" s="36" t="s">
        <v>978</v>
      </c>
      <c r="AI435" s="37">
        <v>0.0</v>
      </c>
      <c r="AJ435" s="37">
        <v>1950.0</v>
      </c>
      <c r="AK435" s="6" t="s">
        <v>73</v>
      </c>
      <c r="AL435" s="6" t="s">
        <v>72</v>
      </c>
      <c r="AM435" s="33" t="s">
        <v>238</v>
      </c>
      <c r="AN435" s="6" t="s">
        <v>72</v>
      </c>
      <c r="AO435" s="33"/>
      <c r="AP435" s="6" t="s">
        <v>102</v>
      </c>
      <c r="AQ435" s="33"/>
      <c r="AR435" s="33"/>
      <c r="AS435" s="33"/>
      <c r="AT435" s="6" t="s">
        <v>76</v>
      </c>
      <c r="AU435" s="33"/>
      <c r="AV435" s="33"/>
      <c r="AW435" s="33"/>
      <c r="AX435" s="33"/>
      <c r="AY435" s="33"/>
      <c r="AZ435" s="6" t="s">
        <v>76</v>
      </c>
      <c r="BA435" s="33"/>
      <c r="BB435" s="33">
        <f>VLOOKUP(O435,Eco_DEM_Data!$D$1:$AC$643,20,False)</f>
        <v>2841</v>
      </c>
      <c r="BC435" s="33">
        <f>VLOOKUP($O435,Eco_DEM_Data!$D$1:$AC$643,20,False)</f>
        <v>2841</v>
      </c>
      <c r="BD435" s="33">
        <f>VLOOKUP($O435,Eco_DEM_Data!$D$1:$AC$643,25,False)</f>
        <v>1165</v>
      </c>
      <c r="BE435" s="33">
        <f>VLOOKUP($O435,Eco_DEM_Data!$D$1:$AC$643,22,False)</f>
        <v>40</v>
      </c>
      <c r="BF435" s="33">
        <f>VLOOKUP($O435,Eco_DEM_Data!$D$1:$AC$643,23,False)</f>
        <v>166</v>
      </c>
      <c r="BG435" s="33">
        <f>VLOOKUP($O435,Eco_DEM_Data!$D$1:$AC$643,21,False)</f>
        <v>6482</v>
      </c>
      <c r="BH435" s="33">
        <f>VLOOKUP($O435,Eco_DEM_Data!$D$1:$AC$643,26,False)</f>
        <v>1094</v>
      </c>
      <c r="BI435" s="33" t="str">
        <f>VLOOKUP($O435,Eco_DEM_Data!$D$1:$AC$643,9,False)</f>
        <v>Talamancan montane forests</v>
      </c>
      <c r="BJ435" s="33" t="str">
        <f>VLOOKUP($O435,Eco_DEM_Data!$D$1:$AC$643,11,False)</f>
        <v>Tropical &amp; Subtropical Moist Broadleaf Forests</v>
      </c>
    </row>
    <row r="436">
      <c r="A436" s="33" t="s">
        <v>969</v>
      </c>
      <c r="B436" s="33" t="s">
        <v>2259</v>
      </c>
      <c r="C436" s="34">
        <v>15.0</v>
      </c>
      <c r="D436" s="33" t="s">
        <v>53</v>
      </c>
      <c r="E436" s="34">
        <v>2015.0</v>
      </c>
      <c r="F436" s="33" t="s">
        <v>970</v>
      </c>
      <c r="G436" s="33" t="s">
        <v>971</v>
      </c>
      <c r="H436" s="33" t="s">
        <v>732</v>
      </c>
      <c r="I436" s="33" t="s">
        <v>972</v>
      </c>
      <c r="J436" s="33" t="s">
        <v>973</v>
      </c>
      <c r="K436" s="34">
        <v>54.0</v>
      </c>
      <c r="L436" s="34">
        <v>4.0</v>
      </c>
      <c r="M436" s="6" t="s">
        <v>974</v>
      </c>
      <c r="N436" s="35" t="s">
        <v>60</v>
      </c>
      <c r="O436" s="33" t="s">
        <v>979</v>
      </c>
      <c r="P436" s="36" t="s">
        <v>62</v>
      </c>
      <c r="Q436" s="36" t="s">
        <v>112</v>
      </c>
      <c r="R436" s="36" t="s">
        <v>597</v>
      </c>
      <c r="S436" s="37">
        <v>8.812</v>
      </c>
      <c r="T436" s="37">
        <v>-82.961</v>
      </c>
      <c r="U436" s="36" t="s">
        <v>148</v>
      </c>
      <c r="V436" s="6" t="s">
        <v>189</v>
      </c>
      <c r="W436" s="33" t="s">
        <v>173</v>
      </c>
      <c r="X436" s="1" t="s">
        <v>977</v>
      </c>
      <c r="Y436" s="55" t="s">
        <v>70</v>
      </c>
      <c r="Z436" s="36"/>
      <c r="AA436" s="37">
        <v>2.0</v>
      </c>
      <c r="AB436" s="36"/>
      <c r="AC436" s="36"/>
      <c r="AD436" s="36"/>
      <c r="AE436" s="36"/>
      <c r="AF436" s="36"/>
      <c r="AG436" s="36"/>
      <c r="AH436" s="36" t="s">
        <v>980</v>
      </c>
      <c r="AI436" s="37">
        <v>0.0</v>
      </c>
      <c r="AJ436" s="37">
        <v>1950.0</v>
      </c>
      <c r="AK436" s="6" t="s">
        <v>100</v>
      </c>
      <c r="AL436" s="6" t="s">
        <v>72</v>
      </c>
      <c r="AM436" s="33" t="s">
        <v>238</v>
      </c>
      <c r="AN436" s="6" t="s">
        <v>72</v>
      </c>
      <c r="AO436" s="33"/>
      <c r="AP436" s="6" t="s">
        <v>102</v>
      </c>
      <c r="AQ436" s="33"/>
      <c r="AR436" s="33"/>
      <c r="AS436" s="33"/>
      <c r="AT436" s="6" t="s">
        <v>76</v>
      </c>
      <c r="AU436" s="33"/>
      <c r="AV436" s="33"/>
      <c r="AW436" s="33"/>
      <c r="AX436" s="33"/>
      <c r="AY436" s="33"/>
      <c r="AZ436" s="6" t="s">
        <v>76</v>
      </c>
      <c r="BA436" s="33"/>
      <c r="BB436" s="33">
        <f>VLOOKUP(O436,Eco_DEM_Data!$D$1:$AC$643,20,False)</f>
        <v>2841</v>
      </c>
      <c r="BC436" s="33">
        <f>VLOOKUP($O436,Eco_DEM_Data!$D$1:$AC$643,20,False)</f>
        <v>2841</v>
      </c>
      <c r="BD436" s="33">
        <f>VLOOKUP($O436,Eco_DEM_Data!$D$1:$AC$643,25,False)</f>
        <v>1165</v>
      </c>
      <c r="BE436" s="33">
        <f>VLOOKUP($O436,Eco_DEM_Data!$D$1:$AC$643,22,False)</f>
        <v>40</v>
      </c>
      <c r="BF436" s="33">
        <f>VLOOKUP($O436,Eco_DEM_Data!$D$1:$AC$643,23,False)</f>
        <v>166</v>
      </c>
      <c r="BG436" s="33">
        <f>VLOOKUP($O436,Eco_DEM_Data!$D$1:$AC$643,21,False)</f>
        <v>6482</v>
      </c>
      <c r="BH436" s="33">
        <f>VLOOKUP($O436,Eco_DEM_Data!$D$1:$AC$643,26,False)</f>
        <v>1094</v>
      </c>
      <c r="BI436" s="33" t="str">
        <f>VLOOKUP($O436,Eco_DEM_Data!$D$1:$AC$643,9,False)</f>
        <v>Talamancan montane forests</v>
      </c>
      <c r="BJ436" s="33" t="str">
        <f>VLOOKUP($O436,Eco_DEM_Data!$D$1:$AC$643,11,False)</f>
        <v>Tropical &amp; Subtropical Moist Broadleaf Forests</v>
      </c>
    </row>
    <row r="437">
      <c r="A437" s="33" t="s">
        <v>969</v>
      </c>
      <c r="B437" s="33" t="s">
        <v>2259</v>
      </c>
      <c r="C437" s="34">
        <v>15.0</v>
      </c>
      <c r="D437" s="33" t="s">
        <v>53</v>
      </c>
      <c r="E437" s="34">
        <v>2015.0</v>
      </c>
      <c r="F437" s="33" t="s">
        <v>970</v>
      </c>
      <c r="G437" s="33" t="s">
        <v>971</v>
      </c>
      <c r="H437" s="33" t="s">
        <v>732</v>
      </c>
      <c r="I437" s="33" t="s">
        <v>972</v>
      </c>
      <c r="J437" s="33" t="s">
        <v>973</v>
      </c>
      <c r="K437" s="34">
        <v>54.0</v>
      </c>
      <c r="L437" s="34">
        <v>4.0</v>
      </c>
      <c r="M437" s="6" t="s">
        <v>974</v>
      </c>
      <c r="N437" s="35" t="s">
        <v>60</v>
      </c>
      <c r="O437" s="33" t="s">
        <v>981</v>
      </c>
      <c r="P437" s="36" t="s">
        <v>62</v>
      </c>
      <c r="Q437" s="36" t="s">
        <v>112</v>
      </c>
      <c r="R437" s="36" t="s">
        <v>597</v>
      </c>
      <c r="S437" s="37">
        <v>8.812</v>
      </c>
      <c r="T437" s="37">
        <v>-82.961</v>
      </c>
      <c r="U437" s="36" t="s">
        <v>148</v>
      </c>
      <c r="V437" s="6" t="s">
        <v>189</v>
      </c>
      <c r="W437" s="33" t="s">
        <v>173</v>
      </c>
      <c r="X437" s="1" t="s">
        <v>977</v>
      </c>
      <c r="Y437" s="55" t="s">
        <v>70</v>
      </c>
      <c r="Z437" s="36"/>
      <c r="AA437" s="37">
        <v>3.0</v>
      </c>
      <c r="AB437" s="36"/>
      <c r="AC437" s="36"/>
      <c r="AD437" s="36"/>
      <c r="AE437" s="36"/>
      <c r="AF437" s="36"/>
      <c r="AG437" s="36"/>
      <c r="AH437" s="36" t="s">
        <v>425</v>
      </c>
      <c r="AI437" s="37">
        <v>0.0</v>
      </c>
      <c r="AJ437" s="37">
        <v>1950.0</v>
      </c>
      <c r="AK437" s="6" t="s">
        <v>100</v>
      </c>
      <c r="AL437" s="6" t="s">
        <v>72</v>
      </c>
      <c r="AM437" s="33" t="s">
        <v>238</v>
      </c>
      <c r="AN437" s="6" t="s">
        <v>72</v>
      </c>
      <c r="AO437" s="33"/>
      <c r="AP437" s="6" t="s">
        <v>102</v>
      </c>
      <c r="AQ437" s="33"/>
      <c r="AR437" s="33"/>
      <c r="AS437" s="33"/>
      <c r="AT437" s="6" t="s">
        <v>76</v>
      </c>
      <c r="AU437" s="33"/>
      <c r="AV437" s="33"/>
      <c r="AW437" s="33"/>
      <c r="AX437" s="33"/>
      <c r="AY437" s="33"/>
      <c r="AZ437" s="6" t="s">
        <v>76</v>
      </c>
      <c r="BA437" s="33"/>
      <c r="BB437" s="33">
        <f>VLOOKUP(O437,Eco_DEM_Data!$D$1:$AC$643,20,False)</f>
        <v>2841</v>
      </c>
      <c r="BC437" s="33">
        <f>VLOOKUP($O437,Eco_DEM_Data!$D$1:$AC$643,20,False)</f>
        <v>2841</v>
      </c>
      <c r="BD437" s="33">
        <f>VLOOKUP($O437,Eco_DEM_Data!$D$1:$AC$643,25,False)</f>
        <v>1165</v>
      </c>
      <c r="BE437" s="33">
        <f>VLOOKUP($O437,Eco_DEM_Data!$D$1:$AC$643,22,False)</f>
        <v>40</v>
      </c>
      <c r="BF437" s="33">
        <f>VLOOKUP($O437,Eco_DEM_Data!$D$1:$AC$643,23,False)</f>
        <v>166</v>
      </c>
      <c r="BG437" s="33">
        <f>VLOOKUP($O437,Eco_DEM_Data!$D$1:$AC$643,21,False)</f>
        <v>6482</v>
      </c>
      <c r="BH437" s="33">
        <f>VLOOKUP($O437,Eco_DEM_Data!$D$1:$AC$643,26,False)</f>
        <v>1094</v>
      </c>
      <c r="BI437" s="33" t="str">
        <f>VLOOKUP($O437,Eco_DEM_Data!$D$1:$AC$643,9,False)</f>
        <v>Talamancan montane forests</v>
      </c>
      <c r="BJ437" s="33" t="str">
        <f>VLOOKUP($O437,Eco_DEM_Data!$D$1:$AC$643,11,False)</f>
        <v>Tropical &amp; Subtropical Moist Broadleaf Forests</v>
      </c>
    </row>
    <row r="438">
      <c r="A438" s="33" t="s">
        <v>969</v>
      </c>
      <c r="B438" s="33" t="s">
        <v>2259</v>
      </c>
      <c r="C438" s="34">
        <v>15.0</v>
      </c>
      <c r="D438" s="33" t="s">
        <v>53</v>
      </c>
      <c r="E438" s="34">
        <v>2015.0</v>
      </c>
      <c r="F438" s="33" t="s">
        <v>970</v>
      </c>
      <c r="G438" s="33" t="s">
        <v>971</v>
      </c>
      <c r="H438" s="33" t="s">
        <v>732</v>
      </c>
      <c r="I438" s="33" t="s">
        <v>972</v>
      </c>
      <c r="J438" s="33" t="s">
        <v>973</v>
      </c>
      <c r="K438" s="34">
        <v>54.0</v>
      </c>
      <c r="L438" s="34">
        <v>4.0</v>
      </c>
      <c r="M438" s="6" t="s">
        <v>974</v>
      </c>
      <c r="N438" s="35" t="s">
        <v>60</v>
      </c>
      <c r="O438" s="33" t="s">
        <v>982</v>
      </c>
      <c r="P438" s="36" t="s">
        <v>62</v>
      </c>
      <c r="Q438" s="36" t="s">
        <v>112</v>
      </c>
      <c r="R438" s="36" t="s">
        <v>597</v>
      </c>
      <c r="S438" s="37">
        <v>8.812</v>
      </c>
      <c r="T438" s="37">
        <v>-82.961</v>
      </c>
      <c r="U438" s="36" t="s">
        <v>148</v>
      </c>
      <c r="V438" s="6" t="s">
        <v>189</v>
      </c>
      <c r="W438" s="33" t="s">
        <v>173</v>
      </c>
      <c r="X438" s="1" t="s">
        <v>977</v>
      </c>
      <c r="Y438" s="55" t="s">
        <v>70</v>
      </c>
      <c r="Z438" s="36"/>
      <c r="AA438" s="37">
        <v>2.0</v>
      </c>
      <c r="AB438" s="36"/>
      <c r="AC438" s="36"/>
      <c r="AD438" s="36"/>
      <c r="AE438" s="36"/>
      <c r="AF438" s="36"/>
      <c r="AG438" s="36"/>
      <c r="AH438" s="36" t="s">
        <v>983</v>
      </c>
      <c r="AI438" s="37">
        <v>0.0</v>
      </c>
      <c r="AJ438" s="37">
        <v>1950.0</v>
      </c>
      <c r="AK438" s="6" t="s">
        <v>73</v>
      </c>
      <c r="AL438" s="6" t="s">
        <v>72</v>
      </c>
      <c r="AM438" s="33" t="s">
        <v>238</v>
      </c>
      <c r="AN438" s="6" t="s">
        <v>72</v>
      </c>
      <c r="AO438" s="33"/>
      <c r="AP438" s="6" t="s">
        <v>102</v>
      </c>
      <c r="AQ438" s="33"/>
      <c r="AR438" s="33"/>
      <c r="AS438" s="33"/>
      <c r="AT438" s="6" t="s">
        <v>76</v>
      </c>
      <c r="AU438" s="33"/>
      <c r="AV438" s="33"/>
      <c r="AW438" s="33"/>
      <c r="AX438" s="33"/>
      <c r="AY438" s="33"/>
      <c r="AZ438" s="6" t="s">
        <v>76</v>
      </c>
      <c r="BA438" s="33"/>
      <c r="BB438" s="33">
        <f>VLOOKUP(O438,Eco_DEM_Data!$D$1:$AC$643,20,False)</f>
        <v>2841</v>
      </c>
      <c r="BC438" s="33">
        <f>VLOOKUP($O438,Eco_DEM_Data!$D$1:$AC$643,20,False)</f>
        <v>2841</v>
      </c>
      <c r="BD438" s="33">
        <f>VLOOKUP($O438,Eco_DEM_Data!$D$1:$AC$643,25,False)</f>
        <v>1165</v>
      </c>
      <c r="BE438" s="33">
        <f>VLOOKUP($O438,Eco_DEM_Data!$D$1:$AC$643,22,False)</f>
        <v>40</v>
      </c>
      <c r="BF438" s="33">
        <f>VLOOKUP($O438,Eco_DEM_Data!$D$1:$AC$643,23,False)</f>
        <v>166</v>
      </c>
      <c r="BG438" s="33">
        <f>VLOOKUP($O438,Eco_DEM_Data!$D$1:$AC$643,21,False)</f>
        <v>6482</v>
      </c>
      <c r="BH438" s="33">
        <f>VLOOKUP($O438,Eco_DEM_Data!$D$1:$AC$643,26,False)</f>
        <v>1094</v>
      </c>
      <c r="BI438" s="33" t="str">
        <f>VLOOKUP($O438,Eco_DEM_Data!$D$1:$AC$643,9,False)</f>
        <v>Talamancan montane forests</v>
      </c>
      <c r="BJ438" s="33" t="str">
        <f>VLOOKUP($O438,Eco_DEM_Data!$D$1:$AC$643,11,False)</f>
        <v>Tropical &amp; Subtropical Moist Broadleaf Forests</v>
      </c>
    </row>
    <row r="439">
      <c r="A439" s="33" t="s">
        <v>969</v>
      </c>
      <c r="B439" s="33" t="s">
        <v>2259</v>
      </c>
      <c r="C439" s="34">
        <v>15.0</v>
      </c>
      <c r="D439" s="33" t="s">
        <v>53</v>
      </c>
      <c r="E439" s="34">
        <v>2015.0</v>
      </c>
      <c r="F439" s="33" t="s">
        <v>970</v>
      </c>
      <c r="G439" s="33" t="s">
        <v>971</v>
      </c>
      <c r="H439" s="33" t="s">
        <v>732</v>
      </c>
      <c r="I439" s="33" t="s">
        <v>972</v>
      </c>
      <c r="J439" s="33" t="s">
        <v>973</v>
      </c>
      <c r="K439" s="34">
        <v>54.0</v>
      </c>
      <c r="L439" s="34">
        <v>4.0</v>
      </c>
      <c r="M439" s="6" t="s">
        <v>974</v>
      </c>
      <c r="N439" s="35" t="s">
        <v>60</v>
      </c>
      <c r="O439" s="33" t="s">
        <v>984</v>
      </c>
      <c r="P439" s="36" t="s">
        <v>62</v>
      </c>
      <c r="Q439" s="36" t="s">
        <v>112</v>
      </c>
      <c r="R439" s="36" t="s">
        <v>597</v>
      </c>
      <c r="S439" s="37">
        <v>8.812</v>
      </c>
      <c r="T439" s="37">
        <v>-82.961</v>
      </c>
      <c r="U439" s="36" t="s">
        <v>148</v>
      </c>
      <c r="V439" s="6" t="s">
        <v>189</v>
      </c>
      <c r="W439" s="33" t="s">
        <v>173</v>
      </c>
      <c r="X439" s="1" t="s">
        <v>977</v>
      </c>
      <c r="Y439" s="55" t="s">
        <v>70</v>
      </c>
      <c r="Z439" s="36"/>
      <c r="AA439" s="37">
        <v>3.0</v>
      </c>
      <c r="AB439" s="36"/>
      <c r="AC439" s="36"/>
      <c r="AD439" s="36"/>
      <c r="AE439" s="36"/>
      <c r="AF439" s="36"/>
      <c r="AG439" s="36"/>
      <c r="AH439" s="36" t="s">
        <v>985</v>
      </c>
      <c r="AI439" s="37">
        <v>0.0</v>
      </c>
      <c r="AJ439" s="37">
        <v>1950.0</v>
      </c>
      <c r="AK439" s="6" t="s">
        <v>73</v>
      </c>
      <c r="AL439" s="6" t="s">
        <v>72</v>
      </c>
      <c r="AM439" s="33" t="s">
        <v>238</v>
      </c>
      <c r="AN439" s="6" t="s">
        <v>72</v>
      </c>
      <c r="AO439" s="33"/>
      <c r="AP439" s="6" t="s">
        <v>102</v>
      </c>
      <c r="AQ439" s="33"/>
      <c r="AR439" s="33"/>
      <c r="AS439" s="33"/>
      <c r="AT439" s="6" t="s">
        <v>76</v>
      </c>
      <c r="AU439" s="33"/>
      <c r="AV439" s="33"/>
      <c r="AW439" s="33"/>
      <c r="AX439" s="33"/>
      <c r="AY439" s="33"/>
      <c r="AZ439" s="6" t="s">
        <v>76</v>
      </c>
      <c r="BA439" s="33"/>
      <c r="BB439" s="33">
        <f>VLOOKUP(O439,Eco_DEM_Data!$D$1:$AC$643,20,False)</f>
        <v>2841</v>
      </c>
      <c r="BC439" s="33">
        <f>VLOOKUP($O439,Eco_DEM_Data!$D$1:$AC$643,20,False)</f>
        <v>2841</v>
      </c>
      <c r="BD439" s="33">
        <f>VLOOKUP($O439,Eco_DEM_Data!$D$1:$AC$643,25,False)</f>
        <v>1165</v>
      </c>
      <c r="BE439" s="33">
        <f>VLOOKUP($O439,Eco_DEM_Data!$D$1:$AC$643,22,False)</f>
        <v>40</v>
      </c>
      <c r="BF439" s="33">
        <f>VLOOKUP($O439,Eco_DEM_Data!$D$1:$AC$643,23,False)</f>
        <v>166</v>
      </c>
      <c r="BG439" s="33">
        <f>VLOOKUP($O439,Eco_DEM_Data!$D$1:$AC$643,21,False)</f>
        <v>6482</v>
      </c>
      <c r="BH439" s="33">
        <f>VLOOKUP($O439,Eco_DEM_Data!$D$1:$AC$643,26,False)</f>
        <v>1094</v>
      </c>
      <c r="BI439" s="33" t="str">
        <f>VLOOKUP($O439,Eco_DEM_Data!$D$1:$AC$643,9,False)</f>
        <v>Talamancan montane forests</v>
      </c>
      <c r="BJ439" s="33" t="str">
        <f>VLOOKUP($O439,Eco_DEM_Data!$D$1:$AC$643,11,False)</f>
        <v>Tropical &amp; Subtropical Moist Broadleaf Forests</v>
      </c>
    </row>
    <row r="440">
      <c r="A440" s="33" t="s">
        <v>969</v>
      </c>
      <c r="B440" s="33" t="s">
        <v>2259</v>
      </c>
      <c r="C440" s="34">
        <v>15.0</v>
      </c>
      <c r="D440" s="33" t="s">
        <v>53</v>
      </c>
      <c r="E440" s="34">
        <v>2015.0</v>
      </c>
      <c r="F440" s="33" t="s">
        <v>970</v>
      </c>
      <c r="G440" s="33" t="s">
        <v>971</v>
      </c>
      <c r="H440" s="33" t="s">
        <v>732</v>
      </c>
      <c r="I440" s="33" t="s">
        <v>972</v>
      </c>
      <c r="J440" s="33" t="s">
        <v>973</v>
      </c>
      <c r="K440" s="34">
        <v>54.0</v>
      </c>
      <c r="L440" s="34">
        <v>4.0</v>
      </c>
      <c r="M440" s="6" t="s">
        <v>974</v>
      </c>
      <c r="N440" s="35" t="s">
        <v>60</v>
      </c>
      <c r="O440" s="33" t="s">
        <v>986</v>
      </c>
      <c r="P440" s="36" t="s">
        <v>62</v>
      </c>
      <c r="Q440" s="36" t="s">
        <v>112</v>
      </c>
      <c r="R440" s="36" t="s">
        <v>597</v>
      </c>
      <c r="S440" s="37">
        <v>8.812</v>
      </c>
      <c r="T440" s="37">
        <v>-82.961</v>
      </c>
      <c r="U440" s="36" t="s">
        <v>148</v>
      </c>
      <c r="V440" s="6" t="s">
        <v>135</v>
      </c>
      <c r="W440" s="5" t="s">
        <v>2273</v>
      </c>
      <c r="X440" s="7" t="s">
        <v>987</v>
      </c>
      <c r="Y440" s="6" t="s">
        <v>99</v>
      </c>
      <c r="Z440" s="43"/>
      <c r="AA440" s="42">
        <v>3.0</v>
      </c>
      <c r="AB440" s="43"/>
      <c r="AC440" s="43"/>
      <c r="AD440" s="43"/>
      <c r="AE440" s="43"/>
      <c r="AF440" s="43"/>
      <c r="AG440" s="43"/>
      <c r="AH440" s="43" t="s">
        <v>978</v>
      </c>
      <c r="AI440" s="42">
        <v>0.0</v>
      </c>
      <c r="AJ440" s="42">
        <v>1950.0</v>
      </c>
      <c r="AK440" s="5" t="s">
        <v>100</v>
      </c>
      <c r="AL440" s="5" t="s">
        <v>72</v>
      </c>
      <c r="AM440" s="33" t="s">
        <v>238</v>
      </c>
      <c r="AN440" s="5" t="s">
        <v>72</v>
      </c>
      <c r="AO440" s="41"/>
      <c r="AP440" s="5" t="s">
        <v>102</v>
      </c>
      <c r="AQ440" s="41"/>
      <c r="AR440" s="41"/>
      <c r="AS440" s="41"/>
      <c r="AT440" s="6" t="s">
        <v>76</v>
      </c>
      <c r="AU440" s="33"/>
      <c r="AV440" s="33"/>
      <c r="AW440" s="33"/>
      <c r="AX440" s="33"/>
      <c r="AY440" s="33"/>
      <c r="AZ440" s="6" t="s">
        <v>76</v>
      </c>
      <c r="BA440" s="33"/>
      <c r="BB440" s="33">
        <f>VLOOKUP(O440,Eco_DEM_Data!$D$1:$AC$643,20,False)</f>
        <v>2841</v>
      </c>
      <c r="BC440" s="33">
        <f>VLOOKUP($O440,Eco_DEM_Data!$D$1:$AC$643,20,False)</f>
        <v>2841</v>
      </c>
      <c r="BD440" s="33">
        <f>VLOOKUP($O440,Eco_DEM_Data!$D$1:$AC$643,25,False)</f>
        <v>1165</v>
      </c>
      <c r="BE440" s="33">
        <f>VLOOKUP($O440,Eco_DEM_Data!$D$1:$AC$643,22,False)</f>
        <v>40</v>
      </c>
      <c r="BF440" s="33">
        <f>VLOOKUP($O440,Eco_DEM_Data!$D$1:$AC$643,23,False)</f>
        <v>166</v>
      </c>
      <c r="BG440" s="33">
        <f>VLOOKUP($O440,Eco_DEM_Data!$D$1:$AC$643,21,False)</f>
        <v>6482</v>
      </c>
      <c r="BH440" s="33">
        <f>VLOOKUP($O440,Eco_DEM_Data!$D$1:$AC$643,26,False)</f>
        <v>1094</v>
      </c>
      <c r="BI440" s="33" t="str">
        <f>VLOOKUP($O440,Eco_DEM_Data!$D$1:$AC$643,9,False)</f>
        <v>Talamancan montane forests</v>
      </c>
      <c r="BJ440" s="33" t="str">
        <f>VLOOKUP($O440,Eco_DEM_Data!$D$1:$AC$643,11,False)</f>
        <v>Tropical &amp; Subtropical Moist Broadleaf Forests</v>
      </c>
    </row>
    <row r="441">
      <c r="A441" s="33" t="s">
        <v>969</v>
      </c>
      <c r="B441" s="33" t="s">
        <v>2259</v>
      </c>
      <c r="C441" s="34">
        <v>15.0</v>
      </c>
      <c r="D441" s="33" t="s">
        <v>53</v>
      </c>
      <c r="E441" s="34">
        <v>2015.0</v>
      </c>
      <c r="F441" s="33" t="s">
        <v>970</v>
      </c>
      <c r="G441" s="33" t="s">
        <v>971</v>
      </c>
      <c r="H441" s="33" t="s">
        <v>732</v>
      </c>
      <c r="I441" s="33" t="s">
        <v>972</v>
      </c>
      <c r="J441" s="33" t="s">
        <v>973</v>
      </c>
      <c r="K441" s="34">
        <v>54.0</v>
      </c>
      <c r="L441" s="34">
        <v>4.0</v>
      </c>
      <c r="M441" s="6" t="s">
        <v>974</v>
      </c>
      <c r="N441" s="35" t="s">
        <v>60</v>
      </c>
      <c r="O441" s="33" t="s">
        <v>988</v>
      </c>
      <c r="P441" s="36" t="s">
        <v>62</v>
      </c>
      <c r="Q441" s="36" t="s">
        <v>112</v>
      </c>
      <c r="R441" s="36" t="s">
        <v>597</v>
      </c>
      <c r="S441" s="37">
        <v>8.812</v>
      </c>
      <c r="T441" s="37">
        <v>-82.961</v>
      </c>
      <c r="U441" s="36" t="s">
        <v>148</v>
      </c>
      <c r="V441" s="6" t="s">
        <v>135</v>
      </c>
      <c r="W441" s="5" t="s">
        <v>2273</v>
      </c>
      <c r="X441" s="7" t="s">
        <v>987</v>
      </c>
      <c r="Y441" s="6" t="s">
        <v>99</v>
      </c>
      <c r="Z441" s="43"/>
      <c r="AA441" s="42">
        <v>2.0</v>
      </c>
      <c r="AB441" s="43"/>
      <c r="AC441" s="43"/>
      <c r="AD441" s="43"/>
      <c r="AE441" s="43"/>
      <c r="AF441" s="43"/>
      <c r="AG441" s="43"/>
      <c r="AH441" s="43" t="s">
        <v>980</v>
      </c>
      <c r="AI441" s="42">
        <v>0.0</v>
      </c>
      <c r="AJ441" s="42">
        <v>1950.0</v>
      </c>
      <c r="AK441" s="5" t="s">
        <v>100</v>
      </c>
      <c r="AL441" s="5" t="s">
        <v>72</v>
      </c>
      <c r="AM441" s="33" t="s">
        <v>238</v>
      </c>
      <c r="AN441" s="5" t="s">
        <v>72</v>
      </c>
      <c r="AO441" s="41"/>
      <c r="AP441" s="5" t="s">
        <v>102</v>
      </c>
      <c r="AQ441" s="41"/>
      <c r="AR441" s="41"/>
      <c r="AS441" s="41"/>
      <c r="AT441" s="6" t="s">
        <v>76</v>
      </c>
      <c r="AU441" s="33"/>
      <c r="AV441" s="33"/>
      <c r="AW441" s="33"/>
      <c r="AX441" s="33"/>
      <c r="AY441" s="33"/>
      <c r="AZ441" s="6" t="s">
        <v>76</v>
      </c>
      <c r="BA441" s="33"/>
      <c r="BB441" s="33">
        <f>VLOOKUP(O441,Eco_DEM_Data!$D$1:$AC$643,20,False)</f>
        <v>2841</v>
      </c>
      <c r="BC441" s="33">
        <f>VLOOKUP($O441,Eco_DEM_Data!$D$1:$AC$643,20,False)</f>
        <v>2841</v>
      </c>
      <c r="BD441" s="33">
        <f>VLOOKUP($O441,Eco_DEM_Data!$D$1:$AC$643,25,False)</f>
        <v>1165</v>
      </c>
      <c r="BE441" s="33">
        <f>VLOOKUP($O441,Eco_DEM_Data!$D$1:$AC$643,22,False)</f>
        <v>40</v>
      </c>
      <c r="BF441" s="33">
        <f>VLOOKUP($O441,Eco_DEM_Data!$D$1:$AC$643,23,False)</f>
        <v>166</v>
      </c>
      <c r="BG441" s="33">
        <f>VLOOKUP($O441,Eco_DEM_Data!$D$1:$AC$643,21,False)</f>
        <v>6482</v>
      </c>
      <c r="BH441" s="33">
        <f>VLOOKUP($O441,Eco_DEM_Data!$D$1:$AC$643,26,False)</f>
        <v>1094</v>
      </c>
      <c r="BI441" s="33" t="str">
        <f>VLOOKUP($O441,Eco_DEM_Data!$D$1:$AC$643,9,False)</f>
        <v>Talamancan montane forests</v>
      </c>
      <c r="BJ441" s="33" t="str">
        <f>VLOOKUP($O441,Eco_DEM_Data!$D$1:$AC$643,11,False)</f>
        <v>Tropical &amp; Subtropical Moist Broadleaf Forests</v>
      </c>
    </row>
    <row r="442">
      <c r="A442" s="33" t="s">
        <v>969</v>
      </c>
      <c r="B442" s="33" t="s">
        <v>2259</v>
      </c>
      <c r="C442" s="34">
        <v>15.0</v>
      </c>
      <c r="D442" s="33" t="s">
        <v>53</v>
      </c>
      <c r="E442" s="34">
        <v>2015.0</v>
      </c>
      <c r="F442" s="33" t="s">
        <v>970</v>
      </c>
      <c r="G442" s="33" t="s">
        <v>971</v>
      </c>
      <c r="H442" s="33" t="s">
        <v>732</v>
      </c>
      <c r="I442" s="33" t="s">
        <v>972</v>
      </c>
      <c r="J442" s="33" t="s">
        <v>973</v>
      </c>
      <c r="K442" s="34">
        <v>54.0</v>
      </c>
      <c r="L442" s="34">
        <v>4.0</v>
      </c>
      <c r="M442" s="6" t="s">
        <v>974</v>
      </c>
      <c r="N442" s="35" t="s">
        <v>60</v>
      </c>
      <c r="O442" s="33" t="s">
        <v>989</v>
      </c>
      <c r="P442" s="36" t="s">
        <v>62</v>
      </c>
      <c r="Q442" s="36" t="s">
        <v>112</v>
      </c>
      <c r="R442" s="36" t="s">
        <v>597</v>
      </c>
      <c r="S442" s="37">
        <v>8.812</v>
      </c>
      <c r="T442" s="37">
        <v>-82.961</v>
      </c>
      <c r="U442" s="36" t="s">
        <v>148</v>
      </c>
      <c r="V442" s="6" t="s">
        <v>135</v>
      </c>
      <c r="W442" s="5" t="s">
        <v>2273</v>
      </c>
      <c r="X442" s="7" t="s">
        <v>987</v>
      </c>
      <c r="Y442" s="6" t="s">
        <v>99</v>
      </c>
      <c r="Z442" s="43"/>
      <c r="AA442" s="42">
        <v>3.0</v>
      </c>
      <c r="AB442" s="43"/>
      <c r="AC442" s="43"/>
      <c r="AD442" s="43"/>
      <c r="AE442" s="43"/>
      <c r="AF442" s="43"/>
      <c r="AG442" s="43"/>
      <c r="AH442" s="43" t="s">
        <v>425</v>
      </c>
      <c r="AI442" s="42">
        <v>0.0</v>
      </c>
      <c r="AJ442" s="42">
        <v>1950.0</v>
      </c>
      <c r="AK442" s="5" t="s">
        <v>73</v>
      </c>
      <c r="AL442" s="5" t="s">
        <v>72</v>
      </c>
      <c r="AM442" s="33" t="s">
        <v>238</v>
      </c>
      <c r="AN442" s="5" t="s">
        <v>72</v>
      </c>
      <c r="AO442" s="41"/>
      <c r="AP442" s="5" t="s">
        <v>102</v>
      </c>
      <c r="AQ442" s="41"/>
      <c r="AR442" s="41"/>
      <c r="AS442" s="41"/>
      <c r="AT442" s="6" t="s">
        <v>76</v>
      </c>
      <c r="AU442" s="33"/>
      <c r="AV442" s="33"/>
      <c r="AW442" s="33"/>
      <c r="AX442" s="33"/>
      <c r="AY442" s="33"/>
      <c r="AZ442" s="6" t="s">
        <v>76</v>
      </c>
      <c r="BA442" s="33"/>
      <c r="BB442" s="33">
        <f>VLOOKUP(O442,Eco_DEM_Data!$D$1:$AC$643,20,False)</f>
        <v>2841</v>
      </c>
      <c r="BC442" s="33">
        <f>VLOOKUP($O442,Eco_DEM_Data!$D$1:$AC$643,20,False)</f>
        <v>2841</v>
      </c>
      <c r="BD442" s="33">
        <f>VLOOKUP($O442,Eco_DEM_Data!$D$1:$AC$643,25,False)</f>
        <v>1165</v>
      </c>
      <c r="BE442" s="33">
        <f>VLOOKUP($O442,Eco_DEM_Data!$D$1:$AC$643,22,False)</f>
        <v>40</v>
      </c>
      <c r="BF442" s="33">
        <f>VLOOKUP($O442,Eco_DEM_Data!$D$1:$AC$643,23,False)</f>
        <v>166</v>
      </c>
      <c r="BG442" s="33">
        <f>VLOOKUP($O442,Eco_DEM_Data!$D$1:$AC$643,21,False)</f>
        <v>6482</v>
      </c>
      <c r="BH442" s="33">
        <f>VLOOKUP($O442,Eco_DEM_Data!$D$1:$AC$643,26,False)</f>
        <v>1094</v>
      </c>
      <c r="BI442" s="33" t="str">
        <f>VLOOKUP($O442,Eco_DEM_Data!$D$1:$AC$643,9,False)</f>
        <v>Talamancan montane forests</v>
      </c>
      <c r="BJ442" s="33" t="str">
        <f>VLOOKUP($O442,Eco_DEM_Data!$D$1:$AC$643,11,False)</f>
        <v>Tropical &amp; Subtropical Moist Broadleaf Forests</v>
      </c>
    </row>
    <row r="443">
      <c r="A443" s="33" t="s">
        <v>969</v>
      </c>
      <c r="B443" s="33" t="s">
        <v>2259</v>
      </c>
      <c r="C443" s="34">
        <v>15.0</v>
      </c>
      <c r="D443" s="33" t="s">
        <v>53</v>
      </c>
      <c r="E443" s="34">
        <v>2015.0</v>
      </c>
      <c r="F443" s="33" t="s">
        <v>970</v>
      </c>
      <c r="G443" s="33" t="s">
        <v>971</v>
      </c>
      <c r="H443" s="33" t="s">
        <v>732</v>
      </c>
      <c r="I443" s="33" t="s">
        <v>972</v>
      </c>
      <c r="J443" s="33" t="s">
        <v>973</v>
      </c>
      <c r="K443" s="34">
        <v>54.0</v>
      </c>
      <c r="L443" s="34">
        <v>4.0</v>
      </c>
      <c r="M443" s="6" t="s">
        <v>974</v>
      </c>
      <c r="N443" s="35" t="s">
        <v>60</v>
      </c>
      <c r="O443" s="33" t="s">
        <v>990</v>
      </c>
      <c r="P443" s="36" t="s">
        <v>62</v>
      </c>
      <c r="Q443" s="36" t="s">
        <v>112</v>
      </c>
      <c r="R443" s="36" t="s">
        <v>597</v>
      </c>
      <c r="S443" s="37">
        <v>8.812</v>
      </c>
      <c r="T443" s="37">
        <v>-82.961</v>
      </c>
      <c r="U443" s="36" t="s">
        <v>148</v>
      </c>
      <c r="V443" s="6" t="s">
        <v>135</v>
      </c>
      <c r="W443" s="5" t="s">
        <v>2273</v>
      </c>
      <c r="X443" s="7" t="s">
        <v>987</v>
      </c>
      <c r="Y443" s="6" t="s">
        <v>99</v>
      </c>
      <c r="Z443" s="43"/>
      <c r="AA443" s="42">
        <v>2.0</v>
      </c>
      <c r="AB443" s="43"/>
      <c r="AC443" s="43"/>
      <c r="AD443" s="43"/>
      <c r="AE443" s="43"/>
      <c r="AF443" s="43"/>
      <c r="AG443" s="43"/>
      <c r="AH443" s="43" t="s">
        <v>983</v>
      </c>
      <c r="AI443" s="42">
        <v>0.0</v>
      </c>
      <c r="AJ443" s="42">
        <v>1950.0</v>
      </c>
      <c r="AK443" s="5" t="s">
        <v>73</v>
      </c>
      <c r="AL443" s="5" t="s">
        <v>72</v>
      </c>
      <c r="AM443" s="33" t="s">
        <v>238</v>
      </c>
      <c r="AN443" s="5" t="s">
        <v>72</v>
      </c>
      <c r="AO443" s="41"/>
      <c r="AP443" s="5" t="s">
        <v>102</v>
      </c>
      <c r="AQ443" s="41"/>
      <c r="AR443" s="41"/>
      <c r="AS443" s="41"/>
      <c r="AT443" s="6" t="s">
        <v>76</v>
      </c>
      <c r="AU443" s="33"/>
      <c r="AV443" s="33"/>
      <c r="AW443" s="33"/>
      <c r="AX443" s="33"/>
      <c r="AY443" s="33"/>
      <c r="AZ443" s="6" t="s">
        <v>76</v>
      </c>
      <c r="BA443" s="33"/>
      <c r="BB443" s="33">
        <f>VLOOKUP(O443,Eco_DEM_Data!$D$1:$AC$643,20,False)</f>
        <v>2841</v>
      </c>
      <c r="BC443" s="33">
        <f>VLOOKUP($O443,Eco_DEM_Data!$D$1:$AC$643,20,False)</f>
        <v>2841</v>
      </c>
      <c r="BD443" s="33">
        <f>VLOOKUP($O443,Eco_DEM_Data!$D$1:$AC$643,25,False)</f>
        <v>1165</v>
      </c>
      <c r="BE443" s="33">
        <f>VLOOKUP($O443,Eco_DEM_Data!$D$1:$AC$643,22,False)</f>
        <v>40</v>
      </c>
      <c r="BF443" s="33">
        <f>VLOOKUP($O443,Eco_DEM_Data!$D$1:$AC$643,23,False)</f>
        <v>166</v>
      </c>
      <c r="BG443" s="33">
        <f>VLOOKUP($O443,Eco_DEM_Data!$D$1:$AC$643,21,False)</f>
        <v>6482</v>
      </c>
      <c r="BH443" s="33">
        <f>VLOOKUP($O443,Eco_DEM_Data!$D$1:$AC$643,26,False)</f>
        <v>1094</v>
      </c>
      <c r="BI443" s="33" t="str">
        <f>VLOOKUP($O443,Eco_DEM_Data!$D$1:$AC$643,9,False)</f>
        <v>Talamancan montane forests</v>
      </c>
      <c r="BJ443" s="33" t="str">
        <f>VLOOKUP($O443,Eco_DEM_Data!$D$1:$AC$643,11,False)</f>
        <v>Tropical &amp; Subtropical Moist Broadleaf Forests</v>
      </c>
    </row>
    <row r="444">
      <c r="A444" s="33" t="s">
        <v>969</v>
      </c>
      <c r="B444" s="33" t="s">
        <v>2259</v>
      </c>
      <c r="C444" s="34">
        <v>15.0</v>
      </c>
      <c r="D444" s="33" t="s">
        <v>53</v>
      </c>
      <c r="E444" s="34">
        <v>2015.0</v>
      </c>
      <c r="F444" s="33" t="s">
        <v>970</v>
      </c>
      <c r="G444" s="33" t="s">
        <v>971</v>
      </c>
      <c r="H444" s="33" t="s">
        <v>732</v>
      </c>
      <c r="I444" s="33" t="s">
        <v>972</v>
      </c>
      <c r="J444" s="33" t="s">
        <v>973</v>
      </c>
      <c r="K444" s="34">
        <v>54.0</v>
      </c>
      <c r="L444" s="34">
        <v>4.0</v>
      </c>
      <c r="M444" s="6" t="s">
        <v>974</v>
      </c>
      <c r="N444" s="35" t="s">
        <v>60</v>
      </c>
      <c r="O444" s="33" t="s">
        <v>991</v>
      </c>
      <c r="P444" s="36" t="s">
        <v>62</v>
      </c>
      <c r="Q444" s="36" t="s">
        <v>112</v>
      </c>
      <c r="R444" s="36" t="s">
        <v>597</v>
      </c>
      <c r="S444" s="37">
        <v>8.812</v>
      </c>
      <c r="T444" s="37">
        <v>-82.961</v>
      </c>
      <c r="U444" s="36" t="s">
        <v>148</v>
      </c>
      <c r="V444" s="6" t="s">
        <v>135</v>
      </c>
      <c r="W444" s="5" t="s">
        <v>2273</v>
      </c>
      <c r="X444" s="7" t="s">
        <v>987</v>
      </c>
      <c r="Y444" s="6" t="s">
        <v>99</v>
      </c>
      <c r="Z444" s="43"/>
      <c r="AA444" s="42">
        <v>3.0</v>
      </c>
      <c r="AB444" s="43"/>
      <c r="AC444" s="43"/>
      <c r="AD444" s="43"/>
      <c r="AE444" s="43"/>
      <c r="AF444" s="43"/>
      <c r="AG444" s="43"/>
      <c r="AH444" s="43" t="s">
        <v>985</v>
      </c>
      <c r="AI444" s="42">
        <v>0.0</v>
      </c>
      <c r="AJ444" s="42">
        <v>1950.0</v>
      </c>
      <c r="AK444" s="5" t="s">
        <v>100</v>
      </c>
      <c r="AL444" s="5" t="s">
        <v>72</v>
      </c>
      <c r="AM444" s="33" t="s">
        <v>238</v>
      </c>
      <c r="AN444" s="5" t="s">
        <v>72</v>
      </c>
      <c r="AO444" s="41"/>
      <c r="AP444" s="5" t="s">
        <v>102</v>
      </c>
      <c r="AQ444" s="41"/>
      <c r="AR444" s="41"/>
      <c r="AS444" s="41"/>
      <c r="AT444" s="6" t="s">
        <v>76</v>
      </c>
      <c r="AU444" s="33"/>
      <c r="AV444" s="33"/>
      <c r="AW444" s="33"/>
      <c r="AX444" s="33"/>
      <c r="AY444" s="33"/>
      <c r="AZ444" s="6" t="s">
        <v>76</v>
      </c>
      <c r="BA444" s="33"/>
      <c r="BB444" s="33">
        <f>VLOOKUP(O444,Eco_DEM_Data!$D$1:$AC$643,20,False)</f>
        <v>2841</v>
      </c>
      <c r="BC444" s="33">
        <f>VLOOKUP($O444,Eco_DEM_Data!$D$1:$AC$643,20,False)</f>
        <v>2841</v>
      </c>
      <c r="BD444" s="33">
        <f>VLOOKUP($O444,Eco_DEM_Data!$D$1:$AC$643,25,False)</f>
        <v>1165</v>
      </c>
      <c r="BE444" s="33">
        <f>VLOOKUP($O444,Eco_DEM_Data!$D$1:$AC$643,22,False)</f>
        <v>40</v>
      </c>
      <c r="BF444" s="33">
        <f>VLOOKUP($O444,Eco_DEM_Data!$D$1:$AC$643,23,False)</f>
        <v>166</v>
      </c>
      <c r="BG444" s="33">
        <f>VLOOKUP($O444,Eco_DEM_Data!$D$1:$AC$643,21,False)</f>
        <v>6482</v>
      </c>
      <c r="BH444" s="33">
        <f>VLOOKUP($O444,Eco_DEM_Data!$D$1:$AC$643,26,False)</f>
        <v>1094</v>
      </c>
      <c r="BI444" s="33" t="str">
        <f>VLOOKUP($O444,Eco_DEM_Data!$D$1:$AC$643,9,False)</f>
        <v>Talamancan montane forests</v>
      </c>
      <c r="BJ444" s="33" t="str">
        <f>VLOOKUP($O444,Eco_DEM_Data!$D$1:$AC$643,11,False)</f>
        <v>Tropical &amp; Subtropical Moist Broadleaf Forests</v>
      </c>
    </row>
    <row r="445">
      <c r="A445" s="33" t="s">
        <v>969</v>
      </c>
      <c r="B445" s="33" t="s">
        <v>2259</v>
      </c>
      <c r="C445" s="34">
        <v>15.0</v>
      </c>
      <c r="D445" s="33" t="s">
        <v>53</v>
      </c>
      <c r="E445" s="34">
        <v>2015.0</v>
      </c>
      <c r="F445" s="33" t="s">
        <v>970</v>
      </c>
      <c r="G445" s="33" t="s">
        <v>971</v>
      </c>
      <c r="H445" s="33" t="s">
        <v>732</v>
      </c>
      <c r="I445" s="33" t="s">
        <v>972</v>
      </c>
      <c r="J445" s="33" t="s">
        <v>973</v>
      </c>
      <c r="K445" s="34">
        <v>54.0</v>
      </c>
      <c r="L445" s="34">
        <v>4.0</v>
      </c>
      <c r="M445" s="6" t="s">
        <v>974</v>
      </c>
      <c r="N445" s="35" t="s">
        <v>60</v>
      </c>
      <c r="O445" s="33" t="s">
        <v>992</v>
      </c>
      <c r="P445" s="36" t="s">
        <v>62</v>
      </c>
      <c r="Q445" s="36" t="s">
        <v>112</v>
      </c>
      <c r="R445" s="36" t="s">
        <v>597</v>
      </c>
      <c r="S445" s="37">
        <v>8.812</v>
      </c>
      <c r="T445" s="37">
        <v>-82.961</v>
      </c>
      <c r="U445" s="36" t="s">
        <v>148</v>
      </c>
      <c r="V445" s="38" t="s">
        <v>194</v>
      </c>
      <c r="W445" s="33" t="s">
        <v>173</v>
      </c>
      <c r="X445" s="1" t="s">
        <v>977</v>
      </c>
      <c r="Y445" s="33" t="s">
        <v>70</v>
      </c>
      <c r="Z445" s="36"/>
      <c r="AA445" s="37">
        <v>3.0</v>
      </c>
      <c r="AB445" s="36"/>
      <c r="AC445" s="36"/>
      <c r="AD445" s="36"/>
      <c r="AE445" s="36"/>
      <c r="AF445" s="36"/>
      <c r="AG445" s="36"/>
      <c r="AH445" s="36" t="s">
        <v>978</v>
      </c>
      <c r="AI445" s="37">
        <v>0.0</v>
      </c>
      <c r="AJ445" s="37">
        <v>1950.0</v>
      </c>
      <c r="AK445" s="6" t="s">
        <v>100</v>
      </c>
      <c r="AL445" s="6" t="s">
        <v>72</v>
      </c>
      <c r="AM445" s="33" t="s">
        <v>238</v>
      </c>
      <c r="AN445" s="6" t="s">
        <v>72</v>
      </c>
      <c r="AO445" s="33"/>
      <c r="AP445" s="6" t="s">
        <v>102</v>
      </c>
      <c r="AQ445" s="33"/>
      <c r="AR445" s="33"/>
      <c r="AS445" s="33"/>
      <c r="AT445" s="6" t="s">
        <v>76</v>
      </c>
      <c r="AU445" s="33"/>
      <c r="AV445" s="33"/>
      <c r="AW445" s="33"/>
      <c r="AX445" s="33"/>
      <c r="AY445" s="33"/>
      <c r="AZ445" s="6" t="s">
        <v>76</v>
      </c>
      <c r="BA445" s="33"/>
      <c r="BB445" s="33">
        <f>VLOOKUP(O445,Eco_DEM_Data!$D$1:$AC$643,20,False)</f>
        <v>2841</v>
      </c>
      <c r="BC445" s="33">
        <f>VLOOKUP($O445,Eco_DEM_Data!$D$1:$AC$643,20,False)</f>
        <v>2841</v>
      </c>
      <c r="BD445" s="33">
        <f>VLOOKUP($O445,Eco_DEM_Data!$D$1:$AC$643,25,False)</f>
        <v>1165</v>
      </c>
      <c r="BE445" s="33">
        <f>VLOOKUP($O445,Eco_DEM_Data!$D$1:$AC$643,22,False)</f>
        <v>40</v>
      </c>
      <c r="BF445" s="33">
        <f>VLOOKUP($O445,Eco_DEM_Data!$D$1:$AC$643,23,False)</f>
        <v>166</v>
      </c>
      <c r="BG445" s="33">
        <f>VLOOKUP($O445,Eco_DEM_Data!$D$1:$AC$643,21,False)</f>
        <v>6482</v>
      </c>
      <c r="BH445" s="33">
        <f>VLOOKUP($O445,Eco_DEM_Data!$D$1:$AC$643,26,False)</f>
        <v>1094</v>
      </c>
      <c r="BI445" s="33" t="str">
        <f>VLOOKUP($O445,Eco_DEM_Data!$D$1:$AC$643,9,False)</f>
        <v>Talamancan montane forests</v>
      </c>
      <c r="BJ445" s="33" t="str">
        <f>VLOOKUP($O445,Eco_DEM_Data!$D$1:$AC$643,11,False)</f>
        <v>Tropical &amp; Subtropical Moist Broadleaf Forests</v>
      </c>
    </row>
    <row r="446">
      <c r="A446" s="33" t="s">
        <v>969</v>
      </c>
      <c r="B446" s="33" t="s">
        <v>2259</v>
      </c>
      <c r="C446" s="34">
        <v>15.0</v>
      </c>
      <c r="D446" s="33" t="s">
        <v>53</v>
      </c>
      <c r="E446" s="34">
        <v>2015.0</v>
      </c>
      <c r="F446" s="33" t="s">
        <v>970</v>
      </c>
      <c r="G446" s="33" t="s">
        <v>971</v>
      </c>
      <c r="H446" s="33" t="s">
        <v>732</v>
      </c>
      <c r="I446" s="33" t="s">
        <v>972</v>
      </c>
      <c r="J446" s="33" t="s">
        <v>973</v>
      </c>
      <c r="K446" s="34">
        <v>54.0</v>
      </c>
      <c r="L446" s="34">
        <v>4.0</v>
      </c>
      <c r="M446" s="6" t="s">
        <v>974</v>
      </c>
      <c r="N446" s="35" t="s">
        <v>60</v>
      </c>
      <c r="O446" s="33" t="s">
        <v>1001</v>
      </c>
      <c r="P446" s="36" t="s">
        <v>62</v>
      </c>
      <c r="Q446" s="36" t="s">
        <v>112</v>
      </c>
      <c r="R446" s="36" t="s">
        <v>597</v>
      </c>
      <c r="S446" s="37">
        <v>8.812</v>
      </c>
      <c r="T446" s="37">
        <v>-82.961</v>
      </c>
      <c r="U446" s="36" t="s">
        <v>148</v>
      </c>
      <c r="V446" s="38" t="s">
        <v>194</v>
      </c>
      <c r="W446" s="33" t="s">
        <v>173</v>
      </c>
      <c r="X446" s="1" t="s">
        <v>977</v>
      </c>
      <c r="Y446" s="33" t="s">
        <v>70</v>
      </c>
      <c r="Z446" s="36"/>
      <c r="AA446" s="37">
        <v>2.0</v>
      </c>
      <c r="AB446" s="36"/>
      <c r="AC446" s="36"/>
      <c r="AD446" s="36"/>
      <c r="AE446" s="36"/>
      <c r="AF446" s="36"/>
      <c r="AG446" s="36"/>
      <c r="AH446" s="36" t="s">
        <v>980</v>
      </c>
      <c r="AI446" s="37">
        <v>0.0</v>
      </c>
      <c r="AJ446" s="37">
        <v>1950.0</v>
      </c>
      <c r="AK446" s="6" t="s">
        <v>73</v>
      </c>
      <c r="AL446" s="6" t="s">
        <v>72</v>
      </c>
      <c r="AM446" s="33" t="s">
        <v>238</v>
      </c>
      <c r="AN446" s="6" t="s">
        <v>72</v>
      </c>
      <c r="AO446" s="33"/>
      <c r="AP446" s="6" t="s">
        <v>102</v>
      </c>
      <c r="AQ446" s="33"/>
      <c r="AR446" s="33"/>
      <c r="AS446" s="33"/>
      <c r="AT446" s="6" t="s">
        <v>76</v>
      </c>
      <c r="AU446" s="33"/>
      <c r="AV446" s="33"/>
      <c r="AW446" s="33"/>
      <c r="AX446" s="33"/>
      <c r="AY446" s="33"/>
      <c r="AZ446" s="6" t="s">
        <v>76</v>
      </c>
      <c r="BA446" s="33"/>
      <c r="BB446" s="33">
        <f>VLOOKUP(O446,Eco_DEM_Data!$D$1:$AC$643,20,False)</f>
        <v>2841</v>
      </c>
      <c r="BC446" s="33">
        <f>VLOOKUP($O446,Eco_DEM_Data!$D$1:$AC$643,20,False)</f>
        <v>2841</v>
      </c>
      <c r="BD446" s="33">
        <f>VLOOKUP($O446,Eco_DEM_Data!$D$1:$AC$643,25,False)</f>
        <v>1165</v>
      </c>
      <c r="BE446" s="33">
        <f>VLOOKUP($O446,Eco_DEM_Data!$D$1:$AC$643,22,False)</f>
        <v>40</v>
      </c>
      <c r="BF446" s="33">
        <f>VLOOKUP($O446,Eco_DEM_Data!$D$1:$AC$643,23,False)</f>
        <v>166</v>
      </c>
      <c r="BG446" s="33">
        <f>VLOOKUP($O446,Eco_DEM_Data!$D$1:$AC$643,21,False)</f>
        <v>6482</v>
      </c>
      <c r="BH446" s="33">
        <f>VLOOKUP($O446,Eco_DEM_Data!$D$1:$AC$643,26,False)</f>
        <v>1094</v>
      </c>
      <c r="BI446" s="33" t="str">
        <f>VLOOKUP($O446,Eco_DEM_Data!$D$1:$AC$643,9,False)</f>
        <v>Talamancan montane forests</v>
      </c>
      <c r="BJ446" s="33" t="str">
        <f>VLOOKUP($O446,Eco_DEM_Data!$D$1:$AC$643,11,False)</f>
        <v>Tropical &amp; Subtropical Moist Broadleaf Forests</v>
      </c>
    </row>
    <row r="447">
      <c r="A447" s="33" t="s">
        <v>969</v>
      </c>
      <c r="B447" s="33" t="s">
        <v>2259</v>
      </c>
      <c r="C447" s="34">
        <v>15.0</v>
      </c>
      <c r="D447" s="33" t="s">
        <v>53</v>
      </c>
      <c r="E447" s="34">
        <v>2015.0</v>
      </c>
      <c r="F447" s="33" t="s">
        <v>970</v>
      </c>
      <c r="G447" s="33" t="s">
        <v>971</v>
      </c>
      <c r="H447" s="33" t="s">
        <v>732</v>
      </c>
      <c r="I447" s="33" t="s">
        <v>972</v>
      </c>
      <c r="J447" s="33" t="s">
        <v>973</v>
      </c>
      <c r="K447" s="34">
        <v>54.0</v>
      </c>
      <c r="L447" s="34">
        <v>4.0</v>
      </c>
      <c r="M447" s="6" t="s">
        <v>974</v>
      </c>
      <c r="N447" s="35" t="s">
        <v>60</v>
      </c>
      <c r="O447" s="33" t="s">
        <v>1002</v>
      </c>
      <c r="P447" s="36" t="s">
        <v>62</v>
      </c>
      <c r="Q447" s="36" t="s">
        <v>112</v>
      </c>
      <c r="R447" s="36" t="s">
        <v>597</v>
      </c>
      <c r="S447" s="37">
        <v>8.812</v>
      </c>
      <c r="T447" s="37">
        <v>-82.961</v>
      </c>
      <c r="U447" s="36" t="s">
        <v>148</v>
      </c>
      <c r="V447" s="38" t="s">
        <v>194</v>
      </c>
      <c r="W447" s="33" t="s">
        <v>173</v>
      </c>
      <c r="X447" s="1" t="s">
        <v>977</v>
      </c>
      <c r="Y447" s="33" t="s">
        <v>70</v>
      </c>
      <c r="Z447" s="36"/>
      <c r="AA447" s="37">
        <v>3.0</v>
      </c>
      <c r="AB447" s="36"/>
      <c r="AC447" s="36"/>
      <c r="AD447" s="36"/>
      <c r="AE447" s="36"/>
      <c r="AF447" s="36"/>
      <c r="AG447" s="36"/>
      <c r="AH447" s="36" t="s">
        <v>425</v>
      </c>
      <c r="AI447" s="37">
        <v>0.0</v>
      </c>
      <c r="AJ447" s="37">
        <v>1950.0</v>
      </c>
      <c r="AK447" s="6" t="s">
        <v>73</v>
      </c>
      <c r="AL447" s="6" t="s">
        <v>72</v>
      </c>
      <c r="AM447" s="33" t="s">
        <v>238</v>
      </c>
      <c r="AN447" s="6" t="s">
        <v>72</v>
      </c>
      <c r="AO447" s="33"/>
      <c r="AP447" s="6" t="s">
        <v>102</v>
      </c>
      <c r="AQ447" s="33"/>
      <c r="AR447" s="33"/>
      <c r="AS447" s="33"/>
      <c r="AT447" s="6" t="s">
        <v>76</v>
      </c>
      <c r="AU447" s="33"/>
      <c r="AV447" s="33"/>
      <c r="AW447" s="33"/>
      <c r="AX447" s="33"/>
      <c r="AY447" s="33"/>
      <c r="AZ447" s="6" t="s">
        <v>76</v>
      </c>
      <c r="BA447" s="33"/>
      <c r="BB447" s="33">
        <f>VLOOKUP(O447,Eco_DEM_Data!$D$1:$AC$643,20,False)</f>
        <v>2841</v>
      </c>
      <c r="BC447" s="33">
        <f>VLOOKUP($O447,Eco_DEM_Data!$D$1:$AC$643,20,False)</f>
        <v>2841</v>
      </c>
      <c r="BD447" s="33">
        <f>VLOOKUP($O447,Eco_DEM_Data!$D$1:$AC$643,25,False)</f>
        <v>1165</v>
      </c>
      <c r="BE447" s="33">
        <f>VLOOKUP($O447,Eco_DEM_Data!$D$1:$AC$643,22,False)</f>
        <v>40</v>
      </c>
      <c r="BF447" s="33">
        <f>VLOOKUP($O447,Eco_DEM_Data!$D$1:$AC$643,23,False)</f>
        <v>166</v>
      </c>
      <c r="BG447" s="33">
        <f>VLOOKUP($O447,Eco_DEM_Data!$D$1:$AC$643,21,False)</f>
        <v>6482</v>
      </c>
      <c r="BH447" s="33">
        <f>VLOOKUP($O447,Eco_DEM_Data!$D$1:$AC$643,26,False)</f>
        <v>1094</v>
      </c>
      <c r="BI447" s="33" t="str">
        <f>VLOOKUP($O447,Eco_DEM_Data!$D$1:$AC$643,9,False)</f>
        <v>Talamancan montane forests</v>
      </c>
      <c r="BJ447" s="33" t="str">
        <f>VLOOKUP($O447,Eco_DEM_Data!$D$1:$AC$643,11,False)</f>
        <v>Tropical &amp; Subtropical Moist Broadleaf Forests</v>
      </c>
    </row>
    <row r="448">
      <c r="A448" s="33" t="s">
        <v>969</v>
      </c>
      <c r="B448" s="33" t="s">
        <v>2259</v>
      </c>
      <c r="C448" s="34">
        <v>15.0</v>
      </c>
      <c r="D448" s="33" t="s">
        <v>53</v>
      </c>
      <c r="E448" s="34">
        <v>2015.0</v>
      </c>
      <c r="F448" s="33" t="s">
        <v>970</v>
      </c>
      <c r="G448" s="33" t="s">
        <v>971</v>
      </c>
      <c r="H448" s="33" t="s">
        <v>732</v>
      </c>
      <c r="I448" s="33" t="s">
        <v>972</v>
      </c>
      <c r="J448" s="33" t="s">
        <v>973</v>
      </c>
      <c r="K448" s="34">
        <v>54.0</v>
      </c>
      <c r="L448" s="34">
        <v>4.0</v>
      </c>
      <c r="M448" s="6" t="s">
        <v>974</v>
      </c>
      <c r="N448" s="35" t="s">
        <v>60</v>
      </c>
      <c r="O448" s="33" t="s">
        <v>1003</v>
      </c>
      <c r="P448" s="36" t="s">
        <v>62</v>
      </c>
      <c r="Q448" s="36" t="s">
        <v>112</v>
      </c>
      <c r="R448" s="36" t="s">
        <v>597</v>
      </c>
      <c r="S448" s="37">
        <v>8.812</v>
      </c>
      <c r="T448" s="37">
        <v>-82.961</v>
      </c>
      <c r="U448" s="36" t="s">
        <v>148</v>
      </c>
      <c r="V448" s="38" t="s">
        <v>194</v>
      </c>
      <c r="W448" s="33" t="s">
        <v>173</v>
      </c>
      <c r="X448" s="1" t="s">
        <v>977</v>
      </c>
      <c r="Y448" s="33" t="s">
        <v>70</v>
      </c>
      <c r="Z448" s="36"/>
      <c r="AA448" s="37">
        <v>2.0</v>
      </c>
      <c r="AB448" s="36"/>
      <c r="AC448" s="36"/>
      <c r="AD448" s="36"/>
      <c r="AE448" s="36"/>
      <c r="AF448" s="36"/>
      <c r="AG448" s="36"/>
      <c r="AH448" s="36" t="s">
        <v>983</v>
      </c>
      <c r="AI448" s="37">
        <v>0.0</v>
      </c>
      <c r="AJ448" s="37">
        <v>1950.0</v>
      </c>
      <c r="AK448" s="6" t="s">
        <v>100</v>
      </c>
      <c r="AL448" s="6" t="s">
        <v>72</v>
      </c>
      <c r="AM448" s="33" t="s">
        <v>238</v>
      </c>
      <c r="AN448" s="6" t="s">
        <v>72</v>
      </c>
      <c r="AO448" s="33"/>
      <c r="AP448" s="6" t="s">
        <v>102</v>
      </c>
      <c r="AQ448" s="33"/>
      <c r="AR448" s="33"/>
      <c r="AS448" s="33"/>
      <c r="AT448" s="6" t="s">
        <v>76</v>
      </c>
      <c r="AU448" s="33"/>
      <c r="AV448" s="33"/>
      <c r="AW448" s="33"/>
      <c r="AX448" s="33"/>
      <c r="AY448" s="33"/>
      <c r="AZ448" s="6" t="s">
        <v>76</v>
      </c>
      <c r="BA448" s="33"/>
      <c r="BB448" s="33">
        <f>VLOOKUP(O448,Eco_DEM_Data!$D$1:$AC$643,20,False)</f>
        <v>2841</v>
      </c>
      <c r="BC448" s="33">
        <f>VLOOKUP($O448,Eco_DEM_Data!$D$1:$AC$643,20,False)</f>
        <v>2841</v>
      </c>
      <c r="BD448" s="33">
        <f>VLOOKUP($O448,Eco_DEM_Data!$D$1:$AC$643,25,False)</f>
        <v>1165</v>
      </c>
      <c r="BE448" s="33">
        <f>VLOOKUP($O448,Eco_DEM_Data!$D$1:$AC$643,22,False)</f>
        <v>40</v>
      </c>
      <c r="BF448" s="33">
        <f>VLOOKUP($O448,Eco_DEM_Data!$D$1:$AC$643,23,False)</f>
        <v>166</v>
      </c>
      <c r="BG448" s="33">
        <f>VLOOKUP($O448,Eco_DEM_Data!$D$1:$AC$643,21,False)</f>
        <v>6482</v>
      </c>
      <c r="BH448" s="33">
        <f>VLOOKUP($O448,Eco_DEM_Data!$D$1:$AC$643,26,False)</f>
        <v>1094</v>
      </c>
      <c r="BI448" s="33" t="str">
        <f>VLOOKUP($O448,Eco_DEM_Data!$D$1:$AC$643,9,False)</f>
        <v>Talamancan montane forests</v>
      </c>
      <c r="BJ448" s="33" t="str">
        <f>VLOOKUP($O448,Eco_DEM_Data!$D$1:$AC$643,11,False)</f>
        <v>Tropical &amp; Subtropical Moist Broadleaf Forests</v>
      </c>
    </row>
    <row r="449">
      <c r="A449" s="33" t="s">
        <v>969</v>
      </c>
      <c r="B449" s="33" t="s">
        <v>2259</v>
      </c>
      <c r="C449" s="34">
        <v>15.0</v>
      </c>
      <c r="D449" s="33" t="s">
        <v>53</v>
      </c>
      <c r="E449" s="34">
        <v>2015.0</v>
      </c>
      <c r="F449" s="33" t="s">
        <v>970</v>
      </c>
      <c r="G449" s="33" t="s">
        <v>971</v>
      </c>
      <c r="H449" s="33" t="s">
        <v>732</v>
      </c>
      <c r="I449" s="33" t="s">
        <v>972</v>
      </c>
      <c r="J449" s="33" t="s">
        <v>973</v>
      </c>
      <c r="K449" s="34">
        <v>54.0</v>
      </c>
      <c r="L449" s="34">
        <v>4.0</v>
      </c>
      <c r="M449" s="6" t="s">
        <v>974</v>
      </c>
      <c r="N449" s="35" t="s">
        <v>60</v>
      </c>
      <c r="O449" s="33" t="s">
        <v>1004</v>
      </c>
      <c r="P449" s="36" t="s">
        <v>62</v>
      </c>
      <c r="Q449" s="36" t="s">
        <v>112</v>
      </c>
      <c r="R449" s="36" t="s">
        <v>597</v>
      </c>
      <c r="S449" s="37">
        <v>8.812</v>
      </c>
      <c r="T449" s="37">
        <v>-82.961</v>
      </c>
      <c r="U449" s="36" t="s">
        <v>148</v>
      </c>
      <c r="V449" s="38" t="s">
        <v>194</v>
      </c>
      <c r="W449" s="33" t="s">
        <v>173</v>
      </c>
      <c r="X449" s="1" t="s">
        <v>977</v>
      </c>
      <c r="Y449" s="33" t="s">
        <v>70</v>
      </c>
      <c r="Z449" s="36"/>
      <c r="AA449" s="37">
        <v>3.0</v>
      </c>
      <c r="AB449" s="36"/>
      <c r="AC449" s="36"/>
      <c r="AD449" s="36"/>
      <c r="AE449" s="36"/>
      <c r="AF449" s="36"/>
      <c r="AG449" s="36"/>
      <c r="AH449" s="36" t="s">
        <v>985</v>
      </c>
      <c r="AI449" s="37">
        <v>0.0</v>
      </c>
      <c r="AJ449" s="37">
        <v>1950.0</v>
      </c>
      <c r="AK449" s="6" t="s">
        <v>100</v>
      </c>
      <c r="AL449" s="6" t="s">
        <v>72</v>
      </c>
      <c r="AM449" s="33" t="s">
        <v>238</v>
      </c>
      <c r="AN449" s="6" t="s">
        <v>72</v>
      </c>
      <c r="AO449" s="33"/>
      <c r="AP449" s="6" t="s">
        <v>102</v>
      </c>
      <c r="AQ449" s="33"/>
      <c r="AR449" s="33"/>
      <c r="AS449" s="33"/>
      <c r="AT449" s="6" t="s">
        <v>76</v>
      </c>
      <c r="AU449" s="33"/>
      <c r="AV449" s="33"/>
      <c r="AW449" s="33"/>
      <c r="AX449" s="33"/>
      <c r="AY449" s="33"/>
      <c r="AZ449" s="6" t="s">
        <v>76</v>
      </c>
      <c r="BA449" s="33"/>
      <c r="BB449" s="33">
        <f>VLOOKUP(O449,Eco_DEM_Data!$D$1:$AC$643,20,False)</f>
        <v>2841</v>
      </c>
      <c r="BC449" s="33">
        <f>VLOOKUP($O449,Eco_DEM_Data!$D$1:$AC$643,20,False)</f>
        <v>2841</v>
      </c>
      <c r="BD449" s="33">
        <f>VLOOKUP($O449,Eco_DEM_Data!$D$1:$AC$643,25,False)</f>
        <v>1165</v>
      </c>
      <c r="BE449" s="33">
        <f>VLOOKUP($O449,Eco_DEM_Data!$D$1:$AC$643,22,False)</f>
        <v>40</v>
      </c>
      <c r="BF449" s="33">
        <f>VLOOKUP($O449,Eco_DEM_Data!$D$1:$AC$643,23,False)</f>
        <v>166</v>
      </c>
      <c r="BG449" s="33">
        <f>VLOOKUP($O449,Eco_DEM_Data!$D$1:$AC$643,21,False)</f>
        <v>6482</v>
      </c>
      <c r="BH449" s="33">
        <f>VLOOKUP($O449,Eco_DEM_Data!$D$1:$AC$643,26,False)</f>
        <v>1094</v>
      </c>
      <c r="BI449" s="33" t="str">
        <f>VLOOKUP($O449,Eco_DEM_Data!$D$1:$AC$643,9,False)</f>
        <v>Talamancan montane forests</v>
      </c>
      <c r="BJ449" s="33" t="str">
        <f>VLOOKUP($O449,Eco_DEM_Data!$D$1:$AC$643,11,False)</f>
        <v>Tropical &amp; Subtropical Moist Broadleaf Forests</v>
      </c>
    </row>
    <row r="450">
      <c r="A450" s="33" t="s">
        <v>969</v>
      </c>
      <c r="B450" s="33" t="s">
        <v>2259</v>
      </c>
      <c r="C450" s="34">
        <v>15.0</v>
      </c>
      <c r="D450" s="33" t="s">
        <v>53</v>
      </c>
      <c r="E450" s="34">
        <v>2015.0</v>
      </c>
      <c r="F450" s="33" t="s">
        <v>970</v>
      </c>
      <c r="G450" s="33" t="s">
        <v>971</v>
      </c>
      <c r="H450" s="33" t="s">
        <v>732</v>
      </c>
      <c r="I450" s="33" t="s">
        <v>972</v>
      </c>
      <c r="J450" s="33" t="s">
        <v>973</v>
      </c>
      <c r="K450" s="34">
        <v>54.0</v>
      </c>
      <c r="L450" s="34">
        <v>4.0</v>
      </c>
      <c r="M450" s="6" t="s">
        <v>974</v>
      </c>
      <c r="N450" s="35" t="s">
        <v>60</v>
      </c>
      <c r="O450" s="33" t="s">
        <v>1005</v>
      </c>
      <c r="P450" s="36" t="s">
        <v>62</v>
      </c>
      <c r="Q450" s="36" t="s">
        <v>112</v>
      </c>
      <c r="R450" s="36" t="s">
        <v>597</v>
      </c>
      <c r="S450" s="37">
        <v>8.812</v>
      </c>
      <c r="T450" s="37">
        <v>-82.961</v>
      </c>
      <c r="U450" s="36" t="s">
        <v>148</v>
      </c>
      <c r="V450" s="6" t="s">
        <v>388</v>
      </c>
      <c r="W450" s="6" t="s">
        <v>540</v>
      </c>
      <c r="X450" s="1" t="s">
        <v>987</v>
      </c>
      <c r="Y450" s="55" t="s">
        <v>256</v>
      </c>
      <c r="Z450" s="36"/>
      <c r="AA450" s="37">
        <v>3.0</v>
      </c>
      <c r="AB450" s="36"/>
      <c r="AC450" s="36"/>
      <c r="AD450" s="36"/>
      <c r="AE450" s="36"/>
      <c r="AF450" s="36"/>
      <c r="AG450" s="36"/>
      <c r="AH450" s="36" t="s">
        <v>978</v>
      </c>
      <c r="AI450" s="37">
        <v>0.0</v>
      </c>
      <c r="AJ450" s="37">
        <v>1950.0</v>
      </c>
      <c r="AK450" s="6" t="s">
        <v>73</v>
      </c>
      <c r="AL450" s="6" t="s">
        <v>72</v>
      </c>
      <c r="AM450" s="33" t="s">
        <v>238</v>
      </c>
      <c r="AN450" s="6" t="s">
        <v>72</v>
      </c>
      <c r="AO450" s="33"/>
      <c r="AP450" s="6" t="s">
        <v>102</v>
      </c>
      <c r="AQ450" s="33"/>
      <c r="AR450" s="33"/>
      <c r="AS450" s="33"/>
      <c r="AT450" s="6" t="s">
        <v>76</v>
      </c>
      <c r="AU450" s="33"/>
      <c r="AV450" s="33"/>
      <c r="AW450" s="33"/>
      <c r="AX450" s="33"/>
      <c r="AY450" s="33"/>
      <c r="AZ450" s="6" t="s">
        <v>76</v>
      </c>
      <c r="BA450" s="33"/>
      <c r="BB450" s="33">
        <f>VLOOKUP(O450,Eco_DEM_Data!$D$1:$AC$643,20,False)</f>
        <v>2841</v>
      </c>
      <c r="BC450" s="33">
        <f>VLOOKUP($O450,Eco_DEM_Data!$D$1:$AC$643,20,False)</f>
        <v>2841</v>
      </c>
      <c r="BD450" s="33">
        <f>VLOOKUP($O450,Eco_DEM_Data!$D$1:$AC$643,25,False)</f>
        <v>1165</v>
      </c>
      <c r="BE450" s="33">
        <f>VLOOKUP($O450,Eco_DEM_Data!$D$1:$AC$643,22,False)</f>
        <v>40</v>
      </c>
      <c r="BF450" s="33">
        <f>VLOOKUP($O450,Eco_DEM_Data!$D$1:$AC$643,23,False)</f>
        <v>166</v>
      </c>
      <c r="BG450" s="33">
        <f>VLOOKUP($O450,Eco_DEM_Data!$D$1:$AC$643,21,False)</f>
        <v>6482</v>
      </c>
      <c r="BH450" s="33">
        <f>VLOOKUP($O450,Eco_DEM_Data!$D$1:$AC$643,26,False)</f>
        <v>1094</v>
      </c>
      <c r="BI450" s="33" t="str">
        <f>VLOOKUP($O450,Eco_DEM_Data!$D$1:$AC$643,9,False)</f>
        <v>Talamancan montane forests</v>
      </c>
      <c r="BJ450" s="33" t="str">
        <f>VLOOKUP($O450,Eco_DEM_Data!$D$1:$AC$643,11,False)</f>
        <v>Tropical &amp; Subtropical Moist Broadleaf Forests</v>
      </c>
    </row>
    <row r="451">
      <c r="A451" s="33" t="s">
        <v>969</v>
      </c>
      <c r="B451" s="33" t="s">
        <v>2259</v>
      </c>
      <c r="C451" s="34">
        <v>15.0</v>
      </c>
      <c r="D451" s="33" t="s">
        <v>53</v>
      </c>
      <c r="E451" s="34">
        <v>2015.0</v>
      </c>
      <c r="F451" s="33" t="s">
        <v>970</v>
      </c>
      <c r="G451" s="33" t="s">
        <v>971</v>
      </c>
      <c r="H451" s="33" t="s">
        <v>732</v>
      </c>
      <c r="I451" s="33" t="s">
        <v>972</v>
      </c>
      <c r="J451" s="33" t="s">
        <v>973</v>
      </c>
      <c r="K451" s="34">
        <v>54.0</v>
      </c>
      <c r="L451" s="34">
        <v>4.0</v>
      </c>
      <c r="M451" s="6" t="s">
        <v>974</v>
      </c>
      <c r="N451" s="35" t="s">
        <v>60</v>
      </c>
      <c r="O451" s="33" t="s">
        <v>1006</v>
      </c>
      <c r="P451" s="36" t="s">
        <v>62</v>
      </c>
      <c r="Q451" s="36" t="s">
        <v>112</v>
      </c>
      <c r="R451" s="36" t="s">
        <v>597</v>
      </c>
      <c r="S451" s="37">
        <v>8.812</v>
      </c>
      <c r="T451" s="37">
        <v>-82.961</v>
      </c>
      <c r="U451" s="36" t="s">
        <v>148</v>
      </c>
      <c r="V451" s="6" t="s">
        <v>388</v>
      </c>
      <c r="W451" s="6" t="s">
        <v>540</v>
      </c>
      <c r="X451" s="1" t="s">
        <v>987</v>
      </c>
      <c r="Y451" s="55" t="s">
        <v>256</v>
      </c>
      <c r="Z451" s="36"/>
      <c r="AA451" s="37">
        <v>2.0</v>
      </c>
      <c r="AB451" s="36"/>
      <c r="AC451" s="36"/>
      <c r="AD451" s="36"/>
      <c r="AE451" s="36"/>
      <c r="AF451" s="36"/>
      <c r="AG451" s="36"/>
      <c r="AH451" s="36" t="s">
        <v>980</v>
      </c>
      <c r="AI451" s="37">
        <v>0.0</v>
      </c>
      <c r="AJ451" s="37">
        <v>1950.0</v>
      </c>
      <c r="AK451" s="6" t="s">
        <v>73</v>
      </c>
      <c r="AL451" s="6" t="s">
        <v>72</v>
      </c>
      <c r="AM451" s="33" t="s">
        <v>238</v>
      </c>
      <c r="AN451" s="6" t="s">
        <v>72</v>
      </c>
      <c r="AO451" s="33"/>
      <c r="AP451" s="6" t="s">
        <v>102</v>
      </c>
      <c r="AQ451" s="33"/>
      <c r="AR451" s="33"/>
      <c r="AS451" s="33"/>
      <c r="AT451" s="6" t="s">
        <v>76</v>
      </c>
      <c r="AU451" s="33"/>
      <c r="AV451" s="33"/>
      <c r="AW451" s="33"/>
      <c r="AX451" s="33"/>
      <c r="AY451" s="33"/>
      <c r="AZ451" s="6" t="s">
        <v>76</v>
      </c>
      <c r="BA451" s="33"/>
      <c r="BB451" s="33">
        <f>VLOOKUP(O451,Eco_DEM_Data!$D$1:$AC$643,20,False)</f>
        <v>2841</v>
      </c>
      <c r="BC451" s="33">
        <f>VLOOKUP($O451,Eco_DEM_Data!$D$1:$AC$643,20,False)</f>
        <v>2841</v>
      </c>
      <c r="BD451" s="33">
        <f>VLOOKUP($O451,Eco_DEM_Data!$D$1:$AC$643,25,False)</f>
        <v>1165</v>
      </c>
      <c r="BE451" s="33">
        <f>VLOOKUP($O451,Eco_DEM_Data!$D$1:$AC$643,22,False)</f>
        <v>40</v>
      </c>
      <c r="BF451" s="33">
        <f>VLOOKUP($O451,Eco_DEM_Data!$D$1:$AC$643,23,False)</f>
        <v>166</v>
      </c>
      <c r="BG451" s="33">
        <f>VLOOKUP($O451,Eco_DEM_Data!$D$1:$AC$643,21,False)</f>
        <v>6482</v>
      </c>
      <c r="BH451" s="33">
        <f>VLOOKUP($O451,Eco_DEM_Data!$D$1:$AC$643,26,False)</f>
        <v>1094</v>
      </c>
      <c r="BI451" s="33" t="str">
        <f>VLOOKUP($O451,Eco_DEM_Data!$D$1:$AC$643,9,False)</f>
        <v>Talamancan montane forests</v>
      </c>
      <c r="BJ451" s="33" t="str">
        <f>VLOOKUP($O451,Eco_DEM_Data!$D$1:$AC$643,11,False)</f>
        <v>Tropical &amp; Subtropical Moist Broadleaf Forests</v>
      </c>
    </row>
    <row r="452">
      <c r="A452" s="33" t="s">
        <v>969</v>
      </c>
      <c r="B452" s="33" t="s">
        <v>2259</v>
      </c>
      <c r="C452" s="34">
        <v>15.0</v>
      </c>
      <c r="D452" s="33" t="s">
        <v>53</v>
      </c>
      <c r="E452" s="34">
        <v>2015.0</v>
      </c>
      <c r="F452" s="33" t="s">
        <v>970</v>
      </c>
      <c r="G452" s="33" t="s">
        <v>971</v>
      </c>
      <c r="H452" s="33" t="s">
        <v>732</v>
      </c>
      <c r="I452" s="33" t="s">
        <v>972</v>
      </c>
      <c r="J452" s="33" t="s">
        <v>973</v>
      </c>
      <c r="K452" s="34">
        <v>54.0</v>
      </c>
      <c r="L452" s="34">
        <v>4.0</v>
      </c>
      <c r="M452" s="6" t="s">
        <v>974</v>
      </c>
      <c r="N452" s="35" t="s">
        <v>60</v>
      </c>
      <c r="O452" s="33" t="s">
        <v>1007</v>
      </c>
      <c r="P452" s="36" t="s">
        <v>62</v>
      </c>
      <c r="Q452" s="36" t="s">
        <v>112</v>
      </c>
      <c r="R452" s="36" t="s">
        <v>597</v>
      </c>
      <c r="S452" s="37">
        <v>8.812</v>
      </c>
      <c r="T452" s="37">
        <v>-82.961</v>
      </c>
      <c r="U452" s="36" t="s">
        <v>148</v>
      </c>
      <c r="V452" s="6" t="s">
        <v>388</v>
      </c>
      <c r="W452" s="6" t="s">
        <v>540</v>
      </c>
      <c r="X452" s="1" t="s">
        <v>987</v>
      </c>
      <c r="Y452" s="55" t="s">
        <v>256</v>
      </c>
      <c r="Z452" s="36"/>
      <c r="AA452" s="37">
        <v>3.0</v>
      </c>
      <c r="AB452" s="36"/>
      <c r="AC452" s="36"/>
      <c r="AD452" s="36"/>
      <c r="AE452" s="36"/>
      <c r="AF452" s="36"/>
      <c r="AG452" s="36"/>
      <c r="AH452" s="36" t="s">
        <v>425</v>
      </c>
      <c r="AI452" s="37">
        <v>0.0</v>
      </c>
      <c r="AJ452" s="37">
        <v>1950.0</v>
      </c>
      <c r="AK452" s="6" t="s">
        <v>100</v>
      </c>
      <c r="AL452" s="6" t="s">
        <v>72</v>
      </c>
      <c r="AM452" s="33" t="s">
        <v>238</v>
      </c>
      <c r="AN452" s="6" t="s">
        <v>72</v>
      </c>
      <c r="AO452" s="33"/>
      <c r="AP452" s="6" t="s">
        <v>102</v>
      </c>
      <c r="AQ452" s="33"/>
      <c r="AR452" s="33"/>
      <c r="AS452" s="33"/>
      <c r="AT452" s="6" t="s">
        <v>76</v>
      </c>
      <c r="AU452" s="33"/>
      <c r="AV452" s="33"/>
      <c r="AW452" s="33"/>
      <c r="AX452" s="33"/>
      <c r="AY452" s="33"/>
      <c r="AZ452" s="6" t="s">
        <v>76</v>
      </c>
      <c r="BA452" s="33"/>
      <c r="BB452" s="33">
        <f>VLOOKUP(O452,Eco_DEM_Data!$D$1:$AC$643,20,False)</f>
        <v>2841</v>
      </c>
      <c r="BC452" s="33">
        <f>VLOOKUP($O452,Eco_DEM_Data!$D$1:$AC$643,20,False)</f>
        <v>2841</v>
      </c>
      <c r="BD452" s="33">
        <f>VLOOKUP($O452,Eco_DEM_Data!$D$1:$AC$643,25,False)</f>
        <v>1165</v>
      </c>
      <c r="BE452" s="33">
        <f>VLOOKUP($O452,Eco_DEM_Data!$D$1:$AC$643,22,False)</f>
        <v>40</v>
      </c>
      <c r="BF452" s="33">
        <f>VLOOKUP($O452,Eco_DEM_Data!$D$1:$AC$643,23,False)</f>
        <v>166</v>
      </c>
      <c r="BG452" s="33">
        <f>VLOOKUP($O452,Eco_DEM_Data!$D$1:$AC$643,21,False)</f>
        <v>6482</v>
      </c>
      <c r="BH452" s="33">
        <f>VLOOKUP($O452,Eco_DEM_Data!$D$1:$AC$643,26,False)</f>
        <v>1094</v>
      </c>
      <c r="BI452" s="33" t="str">
        <f>VLOOKUP($O452,Eco_DEM_Data!$D$1:$AC$643,9,False)</f>
        <v>Talamancan montane forests</v>
      </c>
      <c r="BJ452" s="33" t="str">
        <f>VLOOKUP($O452,Eco_DEM_Data!$D$1:$AC$643,11,False)</f>
        <v>Tropical &amp; Subtropical Moist Broadleaf Forests</v>
      </c>
    </row>
    <row r="453">
      <c r="A453" s="33" t="s">
        <v>969</v>
      </c>
      <c r="B453" s="33" t="s">
        <v>2259</v>
      </c>
      <c r="C453" s="34">
        <v>15.0</v>
      </c>
      <c r="D453" s="33" t="s">
        <v>53</v>
      </c>
      <c r="E453" s="34">
        <v>2015.0</v>
      </c>
      <c r="F453" s="33" t="s">
        <v>970</v>
      </c>
      <c r="G453" s="33" t="s">
        <v>971</v>
      </c>
      <c r="H453" s="33" t="s">
        <v>732</v>
      </c>
      <c r="I453" s="33" t="s">
        <v>972</v>
      </c>
      <c r="J453" s="33" t="s">
        <v>973</v>
      </c>
      <c r="K453" s="34">
        <v>54.0</v>
      </c>
      <c r="L453" s="34">
        <v>4.0</v>
      </c>
      <c r="M453" s="6" t="s">
        <v>974</v>
      </c>
      <c r="N453" s="35" t="s">
        <v>60</v>
      </c>
      <c r="O453" s="33" t="s">
        <v>1008</v>
      </c>
      <c r="P453" s="36" t="s">
        <v>62</v>
      </c>
      <c r="Q453" s="36" t="s">
        <v>112</v>
      </c>
      <c r="R453" s="36" t="s">
        <v>597</v>
      </c>
      <c r="S453" s="37">
        <v>8.812</v>
      </c>
      <c r="T453" s="37">
        <v>-82.961</v>
      </c>
      <c r="U453" s="36" t="s">
        <v>148</v>
      </c>
      <c r="V453" s="6" t="s">
        <v>388</v>
      </c>
      <c r="W453" s="6" t="s">
        <v>540</v>
      </c>
      <c r="X453" s="1" t="s">
        <v>987</v>
      </c>
      <c r="Y453" s="55" t="s">
        <v>256</v>
      </c>
      <c r="Z453" s="36"/>
      <c r="AA453" s="37">
        <v>2.0</v>
      </c>
      <c r="AB453" s="36"/>
      <c r="AC453" s="36"/>
      <c r="AD453" s="36"/>
      <c r="AE453" s="36"/>
      <c r="AF453" s="36"/>
      <c r="AG453" s="36"/>
      <c r="AH453" s="36" t="s">
        <v>983</v>
      </c>
      <c r="AI453" s="37">
        <v>0.0</v>
      </c>
      <c r="AJ453" s="37">
        <v>1950.0</v>
      </c>
      <c r="AK453" s="6" t="s">
        <v>100</v>
      </c>
      <c r="AL453" s="6" t="s">
        <v>72</v>
      </c>
      <c r="AM453" s="33" t="s">
        <v>238</v>
      </c>
      <c r="AN453" s="6" t="s">
        <v>72</v>
      </c>
      <c r="AO453" s="33"/>
      <c r="AP453" s="6" t="s">
        <v>102</v>
      </c>
      <c r="AQ453" s="33"/>
      <c r="AR453" s="33"/>
      <c r="AS453" s="33"/>
      <c r="AT453" s="6" t="s">
        <v>76</v>
      </c>
      <c r="AU453" s="33"/>
      <c r="AV453" s="33"/>
      <c r="AW453" s="33"/>
      <c r="AX453" s="33"/>
      <c r="AY453" s="33"/>
      <c r="AZ453" s="6" t="s">
        <v>76</v>
      </c>
      <c r="BA453" s="33"/>
      <c r="BB453" s="33">
        <f>VLOOKUP(O453,Eco_DEM_Data!$D$1:$AC$643,20,False)</f>
        <v>2841</v>
      </c>
      <c r="BC453" s="33">
        <f>VLOOKUP($O453,Eco_DEM_Data!$D$1:$AC$643,20,False)</f>
        <v>2841</v>
      </c>
      <c r="BD453" s="33">
        <f>VLOOKUP($O453,Eco_DEM_Data!$D$1:$AC$643,25,False)</f>
        <v>1165</v>
      </c>
      <c r="BE453" s="33">
        <f>VLOOKUP($O453,Eco_DEM_Data!$D$1:$AC$643,22,False)</f>
        <v>40</v>
      </c>
      <c r="BF453" s="33">
        <f>VLOOKUP($O453,Eco_DEM_Data!$D$1:$AC$643,23,False)</f>
        <v>166</v>
      </c>
      <c r="BG453" s="33">
        <f>VLOOKUP($O453,Eco_DEM_Data!$D$1:$AC$643,21,False)</f>
        <v>6482</v>
      </c>
      <c r="BH453" s="33">
        <f>VLOOKUP($O453,Eco_DEM_Data!$D$1:$AC$643,26,False)</f>
        <v>1094</v>
      </c>
      <c r="BI453" s="33" t="str">
        <f>VLOOKUP($O453,Eco_DEM_Data!$D$1:$AC$643,9,False)</f>
        <v>Talamancan montane forests</v>
      </c>
      <c r="BJ453" s="33" t="str">
        <f>VLOOKUP($O453,Eco_DEM_Data!$D$1:$AC$643,11,False)</f>
        <v>Tropical &amp; Subtropical Moist Broadleaf Forests</v>
      </c>
    </row>
    <row r="454">
      <c r="A454" s="33" t="s">
        <v>969</v>
      </c>
      <c r="B454" s="33" t="s">
        <v>2259</v>
      </c>
      <c r="C454" s="34">
        <v>15.0</v>
      </c>
      <c r="D454" s="33" t="s">
        <v>53</v>
      </c>
      <c r="E454" s="34">
        <v>2015.0</v>
      </c>
      <c r="F454" s="33" t="s">
        <v>970</v>
      </c>
      <c r="G454" s="33" t="s">
        <v>971</v>
      </c>
      <c r="H454" s="33" t="s">
        <v>732</v>
      </c>
      <c r="I454" s="33" t="s">
        <v>972</v>
      </c>
      <c r="J454" s="33" t="s">
        <v>973</v>
      </c>
      <c r="K454" s="34">
        <v>54.0</v>
      </c>
      <c r="L454" s="34">
        <v>4.0</v>
      </c>
      <c r="M454" s="6" t="s">
        <v>974</v>
      </c>
      <c r="N454" s="35" t="s">
        <v>60</v>
      </c>
      <c r="O454" s="33" t="s">
        <v>1009</v>
      </c>
      <c r="P454" s="36" t="s">
        <v>62</v>
      </c>
      <c r="Q454" s="36" t="s">
        <v>112</v>
      </c>
      <c r="R454" s="36" t="s">
        <v>597</v>
      </c>
      <c r="S454" s="37">
        <v>8.812</v>
      </c>
      <c r="T454" s="37">
        <v>-82.961</v>
      </c>
      <c r="U454" s="36" t="s">
        <v>148</v>
      </c>
      <c r="V454" s="6" t="s">
        <v>388</v>
      </c>
      <c r="W454" s="6" t="s">
        <v>540</v>
      </c>
      <c r="X454" s="1" t="s">
        <v>987</v>
      </c>
      <c r="Y454" s="55" t="s">
        <v>256</v>
      </c>
      <c r="Z454" s="36"/>
      <c r="AA454" s="37">
        <v>3.0</v>
      </c>
      <c r="AB454" s="36"/>
      <c r="AC454" s="36"/>
      <c r="AD454" s="36"/>
      <c r="AE454" s="36"/>
      <c r="AF454" s="36"/>
      <c r="AG454" s="36"/>
      <c r="AH454" s="36" t="s">
        <v>985</v>
      </c>
      <c r="AI454" s="37">
        <v>0.0</v>
      </c>
      <c r="AJ454" s="37">
        <v>1950.0</v>
      </c>
      <c r="AK454" s="6" t="s">
        <v>73</v>
      </c>
      <c r="AL454" s="6" t="s">
        <v>72</v>
      </c>
      <c r="AM454" s="33" t="s">
        <v>238</v>
      </c>
      <c r="AN454" s="6" t="s">
        <v>72</v>
      </c>
      <c r="AO454" s="33"/>
      <c r="AP454" s="6" t="s">
        <v>102</v>
      </c>
      <c r="AQ454" s="33"/>
      <c r="AR454" s="33"/>
      <c r="AS454" s="33"/>
      <c r="AT454" s="6" t="s">
        <v>76</v>
      </c>
      <c r="AU454" s="33"/>
      <c r="AV454" s="33"/>
      <c r="AW454" s="33"/>
      <c r="AX454" s="33"/>
      <c r="AY454" s="33"/>
      <c r="AZ454" s="6" t="s">
        <v>76</v>
      </c>
      <c r="BA454" s="33"/>
      <c r="BB454" s="33">
        <f>VLOOKUP(O454,Eco_DEM_Data!$D$1:$AC$643,20,False)</f>
        <v>2841</v>
      </c>
      <c r="BC454" s="33">
        <f>VLOOKUP($O454,Eco_DEM_Data!$D$1:$AC$643,20,False)</f>
        <v>2841</v>
      </c>
      <c r="BD454" s="33">
        <f>VLOOKUP($O454,Eco_DEM_Data!$D$1:$AC$643,25,False)</f>
        <v>1165</v>
      </c>
      <c r="BE454" s="33">
        <f>VLOOKUP($O454,Eco_DEM_Data!$D$1:$AC$643,22,False)</f>
        <v>40</v>
      </c>
      <c r="BF454" s="33">
        <f>VLOOKUP($O454,Eco_DEM_Data!$D$1:$AC$643,23,False)</f>
        <v>166</v>
      </c>
      <c r="BG454" s="33">
        <f>VLOOKUP($O454,Eco_DEM_Data!$D$1:$AC$643,21,False)</f>
        <v>6482</v>
      </c>
      <c r="BH454" s="33">
        <f>VLOOKUP($O454,Eco_DEM_Data!$D$1:$AC$643,26,False)</f>
        <v>1094</v>
      </c>
      <c r="BI454" s="33" t="str">
        <f>VLOOKUP($O454,Eco_DEM_Data!$D$1:$AC$643,9,False)</f>
        <v>Talamancan montane forests</v>
      </c>
      <c r="BJ454" s="33" t="str">
        <f>VLOOKUP($O454,Eco_DEM_Data!$D$1:$AC$643,11,False)</f>
        <v>Tropical &amp; Subtropical Moist Broadleaf Forests</v>
      </c>
    </row>
    <row r="455">
      <c r="A455" s="33" t="s">
        <v>1781</v>
      </c>
      <c r="B455" s="33" t="s">
        <v>2259</v>
      </c>
      <c r="C455" s="34">
        <v>1.0</v>
      </c>
      <c r="D455" s="33" t="s">
        <v>53</v>
      </c>
      <c r="E455" s="34">
        <v>2015.0</v>
      </c>
      <c r="F455" s="33" t="s">
        <v>1782</v>
      </c>
      <c r="G455" s="33" t="s">
        <v>1783</v>
      </c>
      <c r="H455" s="33" t="s">
        <v>1772</v>
      </c>
      <c r="I455" s="50" t="s">
        <v>1784</v>
      </c>
      <c r="J455" s="33" t="s">
        <v>1785</v>
      </c>
      <c r="K455" s="34">
        <v>217.0</v>
      </c>
      <c r="L455" s="33"/>
      <c r="M455" s="67">
        <v>44409.0</v>
      </c>
      <c r="N455" s="35" t="s">
        <v>76</v>
      </c>
      <c r="O455" s="33" t="s">
        <v>1781</v>
      </c>
      <c r="P455" s="36" t="s">
        <v>62</v>
      </c>
      <c r="Q455" s="36" t="s">
        <v>92</v>
      </c>
      <c r="R455" s="36" t="s">
        <v>1786</v>
      </c>
      <c r="S455" s="37">
        <v>18.372</v>
      </c>
      <c r="T455" s="37">
        <v>-90.294833</v>
      </c>
      <c r="U455" s="36" t="s">
        <v>148</v>
      </c>
      <c r="V455" s="38" t="s">
        <v>66</v>
      </c>
      <c r="W455" s="41" t="s">
        <v>1287</v>
      </c>
      <c r="X455" s="7" t="s">
        <v>1787</v>
      </c>
      <c r="Y455" s="41" t="s">
        <v>70</v>
      </c>
      <c r="Z455" s="43"/>
      <c r="AA455" s="42">
        <v>6.0</v>
      </c>
      <c r="AB455" s="43"/>
      <c r="AC455" s="43"/>
      <c r="AD455" s="43"/>
      <c r="AE455" s="43"/>
      <c r="AF455" s="43"/>
      <c r="AG455" s="43"/>
      <c r="AH455" s="43" t="s">
        <v>1788</v>
      </c>
      <c r="AI455" s="42">
        <v>-5950.0</v>
      </c>
      <c r="AJ455" s="42">
        <v>1950.0</v>
      </c>
      <c r="AK455" s="5" t="s">
        <v>100</v>
      </c>
      <c r="AL455" s="5" t="s">
        <v>76</v>
      </c>
      <c r="AM455" s="41" t="s">
        <v>74</v>
      </c>
      <c r="AN455" s="5" t="s">
        <v>72</v>
      </c>
      <c r="AO455" s="41"/>
      <c r="AP455" s="5" t="s">
        <v>576</v>
      </c>
      <c r="AQ455" s="68">
        <v>305.0</v>
      </c>
      <c r="AR455" s="68">
        <v>131.0</v>
      </c>
      <c r="AS455" s="68">
        <v>225.0</v>
      </c>
      <c r="AT455" s="5" t="s">
        <v>60</v>
      </c>
      <c r="AU455" s="33" t="s">
        <v>2263</v>
      </c>
      <c r="AV455" s="34">
        <v>-2150.0</v>
      </c>
      <c r="AW455" s="33"/>
      <c r="AX455" s="33"/>
      <c r="AY455" s="6" t="s">
        <v>60</v>
      </c>
      <c r="AZ455" s="6" t="s">
        <v>76</v>
      </c>
      <c r="BA455" s="33"/>
      <c r="BB455" s="33">
        <f>VLOOKUP(O455,Eco_DEM_Data!$D$1:$AC$643,20,False)</f>
        <v>1201</v>
      </c>
      <c r="BC455" s="33">
        <f>VLOOKUP($O455,Eco_DEM_Data!$D$1:$AC$643,20,False)</f>
        <v>1201</v>
      </c>
      <c r="BD455" s="33">
        <f>VLOOKUP($O455,Eco_DEM_Data!$D$1:$AC$643,25,False)</f>
        <v>575</v>
      </c>
      <c r="BE455" s="33">
        <f>VLOOKUP($O455,Eco_DEM_Data!$D$1:$AC$643,22,False)</f>
        <v>25</v>
      </c>
      <c r="BF455" s="33">
        <f>VLOOKUP($O455,Eco_DEM_Data!$D$1:$AC$643,23,False)</f>
        <v>83</v>
      </c>
      <c r="BG455" s="33">
        <f>VLOOKUP($O455,Eco_DEM_Data!$D$1:$AC$643,21,False)</f>
        <v>7081</v>
      </c>
      <c r="BH455" s="33">
        <f>VLOOKUP($O455,Eco_DEM_Data!$D$1:$AC$643,26,False)</f>
        <v>81</v>
      </c>
      <c r="BI455" s="33" t="str">
        <f>VLOOKUP($O455,Eco_DEM_Data!$D$1:$AC$643,9,False)</f>
        <v>Yucatán moist forests</v>
      </c>
      <c r="BJ455" s="33" t="str">
        <f>VLOOKUP($O455,Eco_DEM_Data!$D$1:$AC$643,11,False)</f>
        <v>Tropical &amp; Subtropical Moist Broadleaf Forests</v>
      </c>
    </row>
    <row r="456">
      <c r="A456" s="33" t="s">
        <v>1310</v>
      </c>
      <c r="B456" s="33" t="s">
        <v>2258</v>
      </c>
      <c r="C456" s="34">
        <v>1.0</v>
      </c>
      <c r="D456" s="33" t="s">
        <v>53</v>
      </c>
      <c r="E456" s="34">
        <v>2016.0</v>
      </c>
      <c r="F456" s="33" t="s">
        <v>1311</v>
      </c>
      <c r="G456" s="33" t="s">
        <v>1312</v>
      </c>
      <c r="H456" s="33" t="s">
        <v>793</v>
      </c>
      <c r="I456" s="50" t="s">
        <v>1313</v>
      </c>
      <c r="J456" s="33" t="s">
        <v>1314</v>
      </c>
      <c r="K456" s="34">
        <v>459.0</v>
      </c>
      <c r="L456" s="33"/>
      <c r="M456" s="6" t="s">
        <v>1315</v>
      </c>
      <c r="N456" s="35" t="s">
        <v>60</v>
      </c>
      <c r="O456" s="33" t="s">
        <v>1316</v>
      </c>
      <c r="P456" s="36" t="s">
        <v>62</v>
      </c>
      <c r="Q456" s="36" t="s">
        <v>187</v>
      </c>
      <c r="R456" s="36" t="s">
        <v>1317</v>
      </c>
      <c r="S456" s="37">
        <v>16.883</v>
      </c>
      <c r="T456" s="37">
        <v>-89.108</v>
      </c>
      <c r="U456" s="36" t="s">
        <v>94</v>
      </c>
      <c r="V456" s="6" t="s">
        <v>95</v>
      </c>
      <c r="W456" s="6" t="s">
        <v>96</v>
      </c>
      <c r="X456" s="3" t="s">
        <v>72</v>
      </c>
      <c r="Y456" s="6" t="s">
        <v>99</v>
      </c>
      <c r="Z456" s="36"/>
      <c r="AA456" s="37"/>
      <c r="AB456" s="36"/>
      <c r="AC456" s="36"/>
      <c r="AD456" s="36"/>
      <c r="AE456" s="37">
        <v>24.0</v>
      </c>
      <c r="AF456" s="36"/>
      <c r="AG456" s="36"/>
      <c r="AH456" s="36"/>
      <c r="AI456" s="37">
        <v>-3300.0</v>
      </c>
      <c r="AJ456" s="37">
        <v>2000.0</v>
      </c>
      <c r="AK456" s="6" t="s">
        <v>153</v>
      </c>
      <c r="AL456" s="6" t="s">
        <v>60</v>
      </c>
      <c r="AM456" s="5" t="s">
        <v>72</v>
      </c>
      <c r="AN456" s="6" t="s">
        <v>101</v>
      </c>
      <c r="AO456" s="33"/>
      <c r="AP456" s="6" t="s">
        <v>102</v>
      </c>
      <c r="AQ456" s="33"/>
      <c r="AR456" s="33"/>
      <c r="AS456" s="33"/>
      <c r="AT456" s="6" t="s">
        <v>76</v>
      </c>
      <c r="AU456" s="33"/>
      <c r="AV456" s="33"/>
      <c r="AW456" s="33"/>
      <c r="AX456" s="33"/>
      <c r="AY456" s="33"/>
      <c r="AZ456" s="6" t="s">
        <v>76</v>
      </c>
      <c r="BA456" s="33"/>
      <c r="BB456" s="33">
        <f>VLOOKUP(O456,Eco_DEM_Data!$D$1:$AC$643,20,False)</f>
        <v>2142</v>
      </c>
      <c r="BC456" s="33">
        <f>VLOOKUP($O456,Eco_DEM_Data!$D$1:$AC$643,20,False)</f>
        <v>2142</v>
      </c>
      <c r="BD456" s="33">
        <f>VLOOKUP($O456,Eco_DEM_Data!$D$1:$AC$643,25,False)</f>
        <v>878</v>
      </c>
      <c r="BE456" s="33">
        <f>VLOOKUP($O456,Eco_DEM_Data!$D$1:$AC$643,22,False)</f>
        <v>52</v>
      </c>
      <c r="BF456" s="33">
        <f>VLOOKUP($O456,Eco_DEM_Data!$D$1:$AC$643,23,False)</f>
        <v>184</v>
      </c>
      <c r="BG456" s="33">
        <f>VLOOKUP($O456,Eco_DEM_Data!$D$1:$AC$643,21,False)</f>
        <v>5497</v>
      </c>
      <c r="BH456" s="33">
        <f>VLOOKUP($O456,Eco_DEM_Data!$D$1:$AC$643,26,False)</f>
        <v>500</v>
      </c>
      <c r="BI456" s="33" t="str">
        <f>VLOOKUP($O456,Eco_DEM_Data!$D$1:$AC$643,9,False)</f>
        <v>Petén-Veracruz moist forests</v>
      </c>
      <c r="BJ456" s="33" t="str">
        <f>VLOOKUP($O456,Eco_DEM_Data!$D$1:$AC$643,11,False)</f>
        <v>Tropical &amp; Subtropical Moist Broadleaf Forests</v>
      </c>
    </row>
    <row r="457">
      <c r="A457" s="33" t="s">
        <v>1310</v>
      </c>
      <c r="B457" s="33" t="s">
        <v>2258</v>
      </c>
      <c r="C457" s="34">
        <v>1.0</v>
      </c>
      <c r="D457" s="33" t="s">
        <v>53</v>
      </c>
      <c r="E457" s="34">
        <v>2016.0</v>
      </c>
      <c r="F457" s="33" t="s">
        <v>1311</v>
      </c>
      <c r="G457" s="33" t="s">
        <v>1312</v>
      </c>
      <c r="H457" s="33" t="s">
        <v>793</v>
      </c>
      <c r="I457" s="50" t="s">
        <v>1313</v>
      </c>
      <c r="J457" s="33" t="s">
        <v>1314</v>
      </c>
      <c r="K457" s="34">
        <v>459.0</v>
      </c>
      <c r="L457" s="33"/>
      <c r="M457" s="6" t="s">
        <v>1315</v>
      </c>
      <c r="N457" s="35" t="s">
        <v>60</v>
      </c>
      <c r="O457" s="33" t="s">
        <v>1318</v>
      </c>
      <c r="P457" s="36" t="s">
        <v>62</v>
      </c>
      <c r="Q457" s="36" t="s">
        <v>187</v>
      </c>
      <c r="R457" s="36" t="s">
        <v>1317</v>
      </c>
      <c r="S457" s="37">
        <v>16.883</v>
      </c>
      <c r="T457" s="37">
        <v>-89.108</v>
      </c>
      <c r="U457" s="36" t="s">
        <v>94</v>
      </c>
      <c r="V457" s="6" t="s">
        <v>135</v>
      </c>
      <c r="W457" s="6" t="s">
        <v>96</v>
      </c>
      <c r="X457" s="3" t="s">
        <v>72</v>
      </c>
      <c r="Y457" s="6" t="s">
        <v>99</v>
      </c>
      <c r="Z457" s="36"/>
      <c r="AA457" s="37"/>
      <c r="AB457" s="36"/>
      <c r="AC457" s="36"/>
      <c r="AD457" s="36"/>
      <c r="AE457" s="37">
        <v>24.0</v>
      </c>
      <c r="AF457" s="36"/>
      <c r="AG457" s="36"/>
      <c r="AH457" s="36"/>
      <c r="AI457" s="37">
        <v>-3300.0</v>
      </c>
      <c r="AJ457" s="37">
        <v>2000.0</v>
      </c>
      <c r="AK457" s="6" t="s">
        <v>153</v>
      </c>
      <c r="AL457" s="6" t="s">
        <v>60</v>
      </c>
      <c r="AM457" s="5" t="s">
        <v>72</v>
      </c>
      <c r="AN457" s="6" t="s">
        <v>101</v>
      </c>
      <c r="AO457" s="33"/>
      <c r="AP457" s="6" t="s">
        <v>102</v>
      </c>
      <c r="AQ457" s="33"/>
      <c r="AR457" s="33"/>
      <c r="AS457" s="33"/>
      <c r="AT457" s="6" t="s">
        <v>76</v>
      </c>
      <c r="AU457" s="33"/>
      <c r="AV457" s="33"/>
      <c r="AW457" s="33"/>
      <c r="AX457" s="33"/>
      <c r="AY457" s="33"/>
      <c r="AZ457" s="6" t="s">
        <v>76</v>
      </c>
      <c r="BA457" s="33"/>
      <c r="BB457" s="33">
        <f>VLOOKUP(O457,Eco_DEM_Data!$D$1:$AC$643,20,False)</f>
        <v>2142</v>
      </c>
      <c r="BC457" s="33">
        <f>VLOOKUP($O457,Eco_DEM_Data!$D$1:$AC$643,20,False)</f>
        <v>2142</v>
      </c>
      <c r="BD457" s="33">
        <f>VLOOKUP($O457,Eco_DEM_Data!$D$1:$AC$643,25,False)</f>
        <v>878</v>
      </c>
      <c r="BE457" s="33">
        <f>VLOOKUP($O457,Eco_DEM_Data!$D$1:$AC$643,22,False)</f>
        <v>52</v>
      </c>
      <c r="BF457" s="33">
        <f>VLOOKUP($O457,Eco_DEM_Data!$D$1:$AC$643,23,False)</f>
        <v>184</v>
      </c>
      <c r="BG457" s="33">
        <f>VLOOKUP($O457,Eco_DEM_Data!$D$1:$AC$643,21,False)</f>
        <v>5497</v>
      </c>
      <c r="BH457" s="33">
        <f>VLOOKUP($O457,Eco_DEM_Data!$D$1:$AC$643,26,False)</f>
        <v>500</v>
      </c>
      <c r="BI457" s="33" t="str">
        <f>VLOOKUP($O457,Eco_DEM_Data!$D$1:$AC$643,9,False)</f>
        <v>Petén-Veracruz moist forests</v>
      </c>
      <c r="BJ457" s="33" t="str">
        <f>VLOOKUP($O457,Eco_DEM_Data!$D$1:$AC$643,11,False)</f>
        <v>Tropical &amp; Subtropical Moist Broadleaf Forests</v>
      </c>
    </row>
    <row r="458">
      <c r="A458" s="33" t="s">
        <v>2182</v>
      </c>
      <c r="B458" s="33" t="s">
        <v>2258</v>
      </c>
      <c r="C458" s="34">
        <v>5.0</v>
      </c>
      <c r="D458" s="33" t="s">
        <v>268</v>
      </c>
      <c r="E458" s="34">
        <v>2016.0</v>
      </c>
      <c r="F458" s="33" t="s">
        <v>2183</v>
      </c>
      <c r="G458" s="45" t="s">
        <v>2184</v>
      </c>
      <c r="H458" s="46"/>
      <c r="I458" s="33"/>
      <c r="J458" s="33" t="s">
        <v>2185</v>
      </c>
      <c r="K458" s="34">
        <v>138.0</v>
      </c>
      <c r="L458" s="33"/>
      <c r="M458" s="6" t="s">
        <v>2186</v>
      </c>
      <c r="N458" s="35" t="s">
        <v>60</v>
      </c>
      <c r="O458" s="33" t="s">
        <v>2187</v>
      </c>
      <c r="P458" s="36" t="s">
        <v>62</v>
      </c>
      <c r="Q458" s="36" t="s">
        <v>167</v>
      </c>
      <c r="R458" s="36" t="s">
        <v>588</v>
      </c>
      <c r="S458" s="37">
        <v>17.533333</v>
      </c>
      <c r="T458" s="37">
        <v>-90.183333</v>
      </c>
      <c r="U458" s="36" t="s">
        <v>148</v>
      </c>
      <c r="V458" s="6" t="s">
        <v>95</v>
      </c>
      <c r="W458" s="6" t="s">
        <v>96</v>
      </c>
      <c r="X458" s="3" t="s">
        <v>72</v>
      </c>
      <c r="Y458" s="6" t="s">
        <v>728</v>
      </c>
      <c r="Z458" s="36"/>
      <c r="AA458" s="37">
        <v>7.0</v>
      </c>
      <c r="AB458" s="36"/>
      <c r="AC458" s="36"/>
      <c r="AD458" s="36"/>
      <c r="AE458" s="36"/>
      <c r="AF458" s="36"/>
      <c r="AG458" s="36"/>
      <c r="AH458" s="38" t="s">
        <v>72</v>
      </c>
      <c r="AI458" s="37">
        <v>-7000.0</v>
      </c>
      <c r="AJ458" s="37">
        <v>2003.0</v>
      </c>
      <c r="AK458" s="6" t="s">
        <v>73</v>
      </c>
      <c r="AL458" s="6" t="s">
        <v>76</v>
      </c>
      <c r="AM458" s="6" t="s">
        <v>72</v>
      </c>
      <c r="AN458" s="6" t="s">
        <v>72</v>
      </c>
      <c r="AO458" s="33"/>
      <c r="AP458" s="6" t="s">
        <v>102</v>
      </c>
      <c r="AQ458" s="33"/>
      <c r="AR458" s="33"/>
      <c r="AS458" s="33"/>
      <c r="AT458" s="6" t="s">
        <v>76</v>
      </c>
      <c r="AU458" s="33"/>
      <c r="AV458" s="33"/>
      <c r="AW458" s="33"/>
      <c r="AX458" s="33"/>
      <c r="AY458" s="33"/>
      <c r="AZ458" s="6" t="s">
        <v>76</v>
      </c>
      <c r="BA458" s="33"/>
      <c r="BB458" s="33">
        <f>VLOOKUP(O458,Eco_DEM_Data!$D$1:$AC$643,20,False)</f>
        <v>1598</v>
      </c>
      <c r="BC458" s="33">
        <f>VLOOKUP($O458,Eco_DEM_Data!$D$1:$AC$643,20,False)</f>
        <v>1598</v>
      </c>
      <c r="BD458" s="33">
        <f>VLOOKUP($O458,Eco_DEM_Data!$D$1:$AC$643,25,False)</f>
        <v>686</v>
      </c>
      <c r="BE458" s="33">
        <f>VLOOKUP($O458,Eco_DEM_Data!$D$1:$AC$643,22,False)</f>
        <v>33</v>
      </c>
      <c r="BF458" s="33">
        <f>VLOOKUP($O458,Eco_DEM_Data!$D$1:$AC$643,23,False)</f>
        <v>119</v>
      </c>
      <c r="BG458" s="33">
        <f>VLOOKUP($O458,Eco_DEM_Data!$D$1:$AC$643,21,False)</f>
        <v>6059</v>
      </c>
      <c r="BH458" s="33">
        <f>VLOOKUP($O458,Eco_DEM_Data!$D$1:$AC$643,26,False)</f>
        <v>238</v>
      </c>
      <c r="BI458" s="33" t="str">
        <f>VLOOKUP($O458,Eco_DEM_Data!$D$1:$AC$643,9,False)</f>
        <v>Petén-Veracruz moist forests</v>
      </c>
      <c r="BJ458" s="33" t="str">
        <f>VLOOKUP($O458,Eco_DEM_Data!$D$1:$AC$643,11,False)</f>
        <v>Tropical &amp; Subtropical Moist Broadleaf Forests</v>
      </c>
    </row>
    <row r="459">
      <c r="A459" s="33" t="s">
        <v>2182</v>
      </c>
      <c r="B459" s="33" t="s">
        <v>2258</v>
      </c>
      <c r="C459" s="34">
        <v>5.0</v>
      </c>
      <c r="D459" s="33" t="s">
        <v>268</v>
      </c>
      <c r="E459" s="34">
        <v>2016.0</v>
      </c>
      <c r="F459" s="33" t="s">
        <v>2183</v>
      </c>
      <c r="G459" s="45" t="s">
        <v>2184</v>
      </c>
      <c r="H459" s="46"/>
      <c r="I459" s="33"/>
      <c r="J459" s="33" t="s">
        <v>2185</v>
      </c>
      <c r="K459" s="34">
        <v>138.0</v>
      </c>
      <c r="L459" s="33"/>
      <c r="M459" s="6" t="s">
        <v>2186</v>
      </c>
      <c r="N459" s="35" t="s">
        <v>60</v>
      </c>
      <c r="O459" s="33" t="s">
        <v>2188</v>
      </c>
      <c r="P459" s="36" t="s">
        <v>62</v>
      </c>
      <c r="Q459" s="36" t="s">
        <v>167</v>
      </c>
      <c r="R459" s="36" t="s">
        <v>2189</v>
      </c>
      <c r="S459" s="37">
        <v>17.8</v>
      </c>
      <c r="T459" s="37">
        <v>-90.116667</v>
      </c>
      <c r="U459" s="36" t="s">
        <v>148</v>
      </c>
      <c r="V459" s="38" t="s">
        <v>66</v>
      </c>
      <c r="W459" s="41" t="s">
        <v>823</v>
      </c>
      <c r="X459" s="7" t="s">
        <v>589</v>
      </c>
      <c r="Y459" s="41" t="s">
        <v>70</v>
      </c>
      <c r="Z459" s="43"/>
      <c r="AA459" s="42">
        <v>9.0</v>
      </c>
      <c r="AB459" s="43"/>
      <c r="AC459" s="43"/>
      <c r="AD459" s="43"/>
      <c r="AE459" s="43"/>
      <c r="AF459" s="43"/>
      <c r="AG459" s="43"/>
      <c r="AH459" s="38" t="s">
        <v>72</v>
      </c>
      <c r="AI459" s="42">
        <v>-7800.0</v>
      </c>
      <c r="AJ459" s="42">
        <v>2001.0</v>
      </c>
      <c r="AK459" s="5" t="s">
        <v>153</v>
      </c>
      <c r="AL459" s="5" t="s">
        <v>76</v>
      </c>
      <c r="AM459" s="5" t="s">
        <v>72</v>
      </c>
      <c r="AN459" s="5" t="s">
        <v>72</v>
      </c>
      <c r="AO459" s="41"/>
      <c r="AP459" s="5" t="s">
        <v>102</v>
      </c>
      <c r="AQ459" s="41"/>
      <c r="AR459" s="41"/>
      <c r="AS459" s="41"/>
      <c r="AT459" s="5" t="s">
        <v>60</v>
      </c>
      <c r="AU459" s="33"/>
      <c r="AV459" s="33"/>
      <c r="AW459" s="33"/>
      <c r="AX459" s="33"/>
      <c r="AY459" s="33"/>
      <c r="AZ459" s="6" t="s">
        <v>76</v>
      </c>
      <c r="BA459" s="33"/>
      <c r="BB459" s="33">
        <f>VLOOKUP(O459,Eco_DEM_Data!$D$1:$AC$643,20,False)</f>
        <v>1414</v>
      </c>
      <c r="BC459" s="33">
        <f>VLOOKUP($O459,Eco_DEM_Data!$D$1:$AC$643,20,False)</f>
        <v>1414</v>
      </c>
      <c r="BD459" s="33">
        <f>VLOOKUP($O459,Eco_DEM_Data!$D$1:$AC$643,25,False)</f>
        <v>624</v>
      </c>
      <c r="BE459" s="33">
        <f>VLOOKUP($O459,Eco_DEM_Data!$D$1:$AC$643,22,False)</f>
        <v>32</v>
      </c>
      <c r="BF459" s="33">
        <f>VLOOKUP($O459,Eco_DEM_Data!$D$1:$AC$643,23,False)</f>
        <v>106</v>
      </c>
      <c r="BG459" s="33">
        <f>VLOOKUP($O459,Eco_DEM_Data!$D$1:$AC$643,21,False)</f>
        <v>6224</v>
      </c>
      <c r="BH459" s="33">
        <f>VLOOKUP($O459,Eco_DEM_Data!$D$1:$AC$643,26,False)</f>
        <v>206</v>
      </c>
      <c r="BI459" s="33" t="str">
        <f>VLOOKUP($O459,Eco_DEM_Data!$D$1:$AC$643,9,False)</f>
        <v>Petén-Veracruz moist forests</v>
      </c>
      <c r="BJ459" s="33" t="str">
        <f>VLOOKUP($O459,Eco_DEM_Data!$D$1:$AC$643,11,False)</f>
        <v>Tropical &amp; Subtropical Moist Broadleaf Forests</v>
      </c>
    </row>
    <row r="460">
      <c r="A460" s="33" t="s">
        <v>2182</v>
      </c>
      <c r="B460" s="33" t="s">
        <v>2258</v>
      </c>
      <c r="C460" s="34">
        <v>5.0</v>
      </c>
      <c r="D460" s="33" t="s">
        <v>268</v>
      </c>
      <c r="E460" s="34">
        <v>2016.0</v>
      </c>
      <c r="F460" s="33" t="s">
        <v>2183</v>
      </c>
      <c r="G460" s="45" t="s">
        <v>2184</v>
      </c>
      <c r="H460" s="46"/>
      <c r="I460" s="33"/>
      <c r="J460" s="33" t="s">
        <v>2185</v>
      </c>
      <c r="K460" s="34">
        <v>138.0</v>
      </c>
      <c r="L460" s="33"/>
      <c r="M460" s="6" t="s">
        <v>2186</v>
      </c>
      <c r="N460" s="35" t="s">
        <v>60</v>
      </c>
      <c r="O460" s="33" t="s">
        <v>2190</v>
      </c>
      <c r="P460" s="36" t="s">
        <v>62</v>
      </c>
      <c r="Q460" s="36" t="s">
        <v>167</v>
      </c>
      <c r="R460" s="36" t="s">
        <v>588</v>
      </c>
      <c r="S460" s="37">
        <v>17.533333</v>
      </c>
      <c r="T460" s="37">
        <v>-90.183333</v>
      </c>
      <c r="U460" s="36" t="s">
        <v>148</v>
      </c>
      <c r="V460" s="38" t="s">
        <v>66</v>
      </c>
      <c r="W460" s="41" t="s">
        <v>823</v>
      </c>
      <c r="X460" s="7" t="s">
        <v>589</v>
      </c>
      <c r="Y460" s="41" t="s">
        <v>70</v>
      </c>
      <c r="Z460" s="43"/>
      <c r="AA460" s="42">
        <v>7.0</v>
      </c>
      <c r="AB460" s="43"/>
      <c r="AC460" s="43"/>
      <c r="AD460" s="43"/>
      <c r="AE460" s="43"/>
      <c r="AF460" s="43"/>
      <c r="AG460" s="43"/>
      <c r="AH460" s="38" t="s">
        <v>72</v>
      </c>
      <c r="AI460" s="42">
        <v>-7000.0</v>
      </c>
      <c r="AJ460" s="42">
        <v>2003.0</v>
      </c>
      <c r="AK460" s="5" t="s">
        <v>73</v>
      </c>
      <c r="AL460" s="5" t="s">
        <v>76</v>
      </c>
      <c r="AM460" s="5" t="s">
        <v>72</v>
      </c>
      <c r="AN460" s="5" t="s">
        <v>72</v>
      </c>
      <c r="AO460" s="41"/>
      <c r="AP460" s="5" t="s">
        <v>102</v>
      </c>
      <c r="AQ460" s="41"/>
      <c r="AR460" s="41"/>
      <c r="AS460" s="41"/>
      <c r="AT460" s="5" t="s">
        <v>60</v>
      </c>
      <c r="AU460" s="33"/>
      <c r="AV460" s="33"/>
      <c r="AW460" s="33"/>
      <c r="AX460" s="33"/>
      <c r="AY460" s="33"/>
      <c r="AZ460" s="6" t="s">
        <v>76</v>
      </c>
      <c r="BA460" s="33"/>
      <c r="BB460" s="33">
        <f>VLOOKUP(O460,Eco_DEM_Data!$D$1:$AC$643,20,False)</f>
        <v>1598</v>
      </c>
      <c r="BC460" s="33">
        <f>VLOOKUP($O460,Eco_DEM_Data!$D$1:$AC$643,20,False)</f>
        <v>1598</v>
      </c>
      <c r="BD460" s="33">
        <f>VLOOKUP($O460,Eco_DEM_Data!$D$1:$AC$643,25,False)</f>
        <v>686</v>
      </c>
      <c r="BE460" s="33">
        <f>VLOOKUP($O460,Eco_DEM_Data!$D$1:$AC$643,22,False)</f>
        <v>33</v>
      </c>
      <c r="BF460" s="33">
        <f>VLOOKUP($O460,Eco_DEM_Data!$D$1:$AC$643,23,False)</f>
        <v>119</v>
      </c>
      <c r="BG460" s="33">
        <f>VLOOKUP($O460,Eco_DEM_Data!$D$1:$AC$643,21,False)</f>
        <v>6059</v>
      </c>
      <c r="BH460" s="33">
        <f>VLOOKUP($O460,Eco_DEM_Data!$D$1:$AC$643,26,False)</f>
        <v>238</v>
      </c>
      <c r="BI460" s="33" t="str">
        <f>VLOOKUP($O460,Eco_DEM_Data!$D$1:$AC$643,9,False)</f>
        <v>Petén-Veracruz moist forests</v>
      </c>
      <c r="BJ460" s="33" t="str">
        <f>VLOOKUP($O460,Eco_DEM_Data!$D$1:$AC$643,11,False)</f>
        <v>Tropical &amp; Subtropical Moist Broadleaf Forests</v>
      </c>
    </row>
    <row r="461">
      <c r="A461" s="33" t="s">
        <v>2182</v>
      </c>
      <c r="B461" s="33" t="s">
        <v>2258</v>
      </c>
      <c r="C461" s="34">
        <v>5.0</v>
      </c>
      <c r="D461" s="33" t="s">
        <v>268</v>
      </c>
      <c r="E461" s="34">
        <v>2016.0</v>
      </c>
      <c r="F461" s="33" t="s">
        <v>2183</v>
      </c>
      <c r="G461" s="45" t="s">
        <v>2184</v>
      </c>
      <c r="H461" s="46"/>
      <c r="I461" s="33"/>
      <c r="J461" s="33" t="s">
        <v>2185</v>
      </c>
      <c r="K461" s="34">
        <v>138.0</v>
      </c>
      <c r="L461" s="33"/>
      <c r="M461" s="6" t="s">
        <v>2186</v>
      </c>
      <c r="N461" s="35" t="s">
        <v>60</v>
      </c>
      <c r="O461" s="33" t="s">
        <v>2191</v>
      </c>
      <c r="P461" s="36" t="s">
        <v>62</v>
      </c>
      <c r="Q461" s="36" t="s">
        <v>167</v>
      </c>
      <c r="R461" s="36" t="s">
        <v>2189</v>
      </c>
      <c r="S461" s="37">
        <v>17.8</v>
      </c>
      <c r="T461" s="37">
        <v>-90.116667</v>
      </c>
      <c r="U461" s="36" t="s">
        <v>148</v>
      </c>
      <c r="V461" s="6" t="s">
        <v>321</v>
      </c>
      <c r="W461" s="33" t="s">
        <v>156</v>
      </c>
      <c r="X461" s="1" t="s">
        <v>2192</v>
      </c>
      <c r="Y461" s="33" t="s">
        <v>2193</v>
      </c>
      <c r="Z461" s="36"/>
      <c r="AA461" s="37">
        <v>9.0</v>
      </c>
      <c r="AB461" s="36"/>
      <c r="AC461" s="36"/>
      <c r="AD461" s="36"/>
      <c r="AE461" s="36"/>
      <c r="AF461" s="36"/>
      <c r="AG461" s="36"/>
      <c r="AH461" s="38" t="s">
        <v>72</v>
      </c>
      <c r="AI461" s="37">
        <v>-7800.0</v>
      </c>
      <c r="AJ461" s="37">
        <v>2001.0</v>
      </c>
      <c r="AK461" s="6" t="s">
        <v>153</v>
      </c>
      <c r="AL461" s="6" t="s">
        <v>76</v>
      </c>
      <c r="AM461" s="6" t="s">
        <v>72</v>
      </c>
      <c r="AN461" s="6" t="s">
        <v>72</v>
      </c>
      <c r="AO461" s="33"/>
      <c r="AP461" s="6" t="s">
        <v>102</v>
      </c>
      <c r="AQ461" s="33"/>
      <c r="AR461" s="33"/>
      <c r="AS461" s="33"/>
      <c r="AT461" s="6" t="s">
        <v>76</v>
      </c>
      <c r="AU461" s="33"/>
      <c r="AV461" s="33"/>
      <c r="AW461" s="33"/>
      <c r="AX461" s="33"/>
      <c r="AY461" s="33"/>
      <c r="AZ461" s="6" t="s">
        <v>76</v>
      </c>
      <c r="BA461" s="33"/>
      <c r="BB461" s="33">
        <f>VLOOKUP(O461,Eco_DEM_Data!$D$1:$AC$643,20,False)</f>
        <v>1414</v>
      </c>
      <c r="BC461" s="33">
        <f>VLOOKUP($O461,Eco_DEM_Data!$D$1:$AC$643,20,False)</f>
        <v>1414</v>
      </c>
      <c r="BD461" s="33">
        <f>VLOOKUP($O461,Eco_DEM_Data!$D$1:$AC$643,25,False)</f>
        <v>624</v>
      </c>
      <c r="BE461" s="33">
        <f>VLOOKUP($O461,Eco_DEM_Data!$D$1:$AC$643,22,False)</f>
        <v>32</v>
      </c>
      <c r="BF461" s="33">
        <f>VLOOKUP($O461,Eco_DEM_Data!$D$1:$AC$643,23,False)</f>
        <v>106</v>
      </c>
      <c r="BG461" s="33">
        <f>VLOOKUP($O461,Eco_DEM_Data!$D$1:$AC$643,21,False)</f>
        <v>6224</v>
      </c>
      <c r="BH461" s="33">
        <f>VLOOKUP($O461,Eco_DEM_Data!$D$1:$AC$643,26,False)</f>
        <v>206</v>
      </c>
      <c r="BI461" s="33" t="str">
        <f>VLOOKUP($O461,Eco_DEM_Data!$D$1:$AC$643,9,False)</f>
        <v>Petén-Veracruz moist forests</v>
      </c>
      <c r="BJ461" s="33" t="str">
        <f>VLOOKUP($O461,Eco_DEM_Data!$D$1:$AC$643,11,False)</f>
        <v>Tropical &amp; Subtropical Moist Broadleaf Forests</v>
      </c>
    </row>
    <row r="462">
      <c r="A462" s="33" t="s">
        <v>2182</v>
      </c>
      <c r="B462" s="33" t="s">
        <v>2258</v>
      </c>
      <c r="C462" s="34">
        <v>5.0</v>
      </c>
      <c r="D462" s="33" t="s">
        <v>268</v>
      </c>
      <c r="E462" s="34">
        <v>2016.0</v>
      </c>
      <c r="F462" s="33" t="s">
        <v>2183</v>
      </c>
      <c r="G462" s="45" t="s">
        <v>2184</v>
      </c>
      <c r="H462" s="46"/>
      <c r="I462" s="33"/>
      <c r="J462" s="33" t="s">
        <v>2185</v>
      </c>
      <c r="K462" s="34">
        <v>138.0</v>
      </c>
      <c r="L462" s="33"/>
      <c r="M462" s="6" t="s">
        <v>2186</v>
      </c>
      <c r="N462" s="35" t="s">
        <v>60</v>
      </c>
      <c r="O462" s="33" t="s">
        <v>2194</v>
      </c>
      <c r="P462" s="36" t="s">
        <v>62</v>
      </c>
      <c r="Q462" s="36" t="s">
        <v>167</v>
      </c>
      <c r="R462" s="36" t="s">
        <v>588</v>
      </c>
      <c r="S462" s="37">
        <v>17.533333</v>
      </c>
      <c r="T462" s="37">
        <v>-90.183333</v>
      </c>
      <c r="U462" s="36" t="s">
        <v>148</v>
      </c>
      <c r="V462" s="6" t="s">
        <v>321</v>
      </c>
      <c r="W462" s="33" t="s">
        <v>156</v>
      </c>
      <c r="X462" s="1" t="s">
        <v>2195</v>
      </c>
      <c r="Y462" s="33" t="s">
        <v>2193</v>
      </c>
      <c r="Z462" s="36"/>
      <c r="AA462" s="37">
        <v>7.0</v>
      </c>
      <c r="AB462" s="36"/>
      <c r="AC462" s="36"/>
      <c r="AD462" s="36"/>
      <c r="AE462" s="36"/>
      <c r="AF462" s="36"/>
      <c r="AG462" s="36"/>
      <c r="AH462" s="38" t="s">
        <v>72</v>
      </c>
      <c r="AI462" s="37">
        <v>-7000.0</v>
      </c>
      <c r="AJ462" s="37">
        <v>2003.0</v>
      </c>
      <c r="AK462" s="6" t="s">
        <v>73</v>
      </c>
      <c r="AL462" s="6" t="s">
        <v>76</v>
      </c>
      <c r="AM462" s="6" t="s">
        <v>72</v>
      </c>
      <c r="AN462" s="6" t="s">
        <v>72</v>
      </c>
      <c r="AO462" s="33"/>
      <c r="AP462" s="6" t="s">
        <v>102</v>
      </c>
      <c r="AQ462" s="33"/>
      <c r="AR462" s="33"/>
      <c r="AS462" s="33"/>
      <c r="AT462" s="6" t="s">
        <v>76</v>
      </c>
      <c r="AU462" s="33"/>
      <c r="AV462" s="33"/>
      <c r="AW462" s="33"/>
      <c r="AX462" s="33"/>
      <c r="AY462" s="33"/>
      <c r="AZ462" s="6" t="s">
        <v>76</v>
      </c>
      <c r="BA462" s="33"/>
      <c r="BB462" s="33">
        <f>VLOOKUP(O462,Eco_DEM_Data!$D$1:$AC$643,20,False)</f>
        <v>1598</v>
      </c>
      <c r="BC462" s="33">
        <f>VLOOKUP($O462,Eco_DEM_Data!$D$1:$AC$643,20,False)</f>
        <v>1598</v>
      </c>
      <c r="BD462" s="33">
        <f>VLOOKUP($O462,Eco_DEM_Data!$D$1:$AC$643,25,False)</f>
        <v>686</v>
      </c>
      <c r="BE462" s="33">
        <f>VLOOKUP($O462,Eco_DEM_Data!$D$1:$AC$643,22,False)</f>
        <v>33</v>
      </c>
      <c r="BF462" s="33">
        <f>VLOOKUP($O462,Eco_DEM_Data!$D$1:$AC$643,23,False)</f>
        <v>119</v>
      </c>
      <c r="BG462" s="33">
        <f>VLOOKUP($O462,Eco_DEM_Data!$D$1:$AC$643,21,False)</f>
        <v>6059</v>
      </c>
      <c r="BH462" s="33">
        <f>VLOOKUP($O462,Eco_DEM_Data!$D$1:$AC$643,26,False)</f>
        <v>238</v>
      </c>
      <c r="BI462" s="33" t="str">
        <f>VLOOKUP($O462,Eco_DEM_Data!$D$1:$AC$643,9,False)</f>
        <v>Petén-Veracruz moist forests</v>
      </c>
      <c r="BJ462" s="33" t="str">
        <f>VLOOKUP($O462,Eco_DEM_Data!$D$1:$AC$643,11,False)</f>
        <v>Tropical &amp; Subtropical Moist Broadleaf Forests</v>
      </c>
    </row>
    <row r="463">
      <c r="A463" s="33" t="s">
        <v>2196</v>
      </c>
      <c r="B463" s="33" t="s">
        <v>2258</v>
      </c>
      <c r="C463" s="34">
        <v>4.0</v>
      </c>
      <c r="D463" s="33" t="s">
        <v>268</v>
      </c>
      <c r="E463" s="34">
        <v>2016.0</v>
      </c>
      <c r="F463" s="33" t="s">
        <v>2197</v>
      </c>
      <c r="G463" s="45" t="s">
        <v>2198</v>
      </c>
      <c r="H463" s="46"/>
      <c r="I463" s="33"/>
      <c r="J463" s="33" t="s">
        <v>2199</v>
      </c>
      <c r="K463" s="34">
        <v>31.0</v>
      </c>
      <c r="L463" s="33"/>
      <c r="M463" s="6" t="s">
        <v>2200</v>
      </c>
      <c r="N463" s="35" t="s">
        <v>60</v>
      </c>
      <c r="O463" s="33" t="s">
        <v>2201</v>
      </c>
      <c r="P463" s="36" t="s">
        <v>62</v>
      </c>
      <c r="Q463" s="36" t="s">
        <v>146</v>
      </c>
      <c r="R463" s="36" t="s">
        <v>2202</v>
      </c>
      <c r="S463" s="37">
        <v>8.625678</v>
      </c>
      <c r="T463" s="37">
        <v>-80.051178</v>
      </c>
      <c r="U463" s="36" t="s">
        <v>148</v>
      </c>
      <c r="V463" s="38" t="s">
        <v>149</v>
      </c>
      <c r="W463" s="6" t="s">
        <v>96</v>
      </c>
      <c r="X463" s="1" t="s">
        <v>264</v>
      </c>
      <c r="Y463" s="33" t="s">
        <v>70</v>
      </c>
      <c r="Z463" s="36"/>
      <c r="AA463" s="37">
        <v>5.0</v>
      </c>
      <c r="AB463" s="36"/>
      <c r="AC463" s="36"/>
      <c r="AD463" s="36"/>
      <c r="AE463" s="36"/>
      <c r="AF463" s="36"/>
      <c r="AG463" s="36"/>
      <c r="AH463" s="38" t="s">
        <v>72</v>
      </c>
      <c r="AI463" s="37">
        <v>900.0</v>
      </c>
      <c r="AJ463" s="37">
        <v>2012.0</v>
      </c>
      <c r="AK463" s="6" t="s">
        <v>73</v>
      </c>
      <c r="AL463" s="6" t="s">
        <v>72</v>
      </c>
      <c r="AM463" s="6" t="s">
        <v>132</v>
      </c>
      <c r="AN463" s="6" t="s">
        <v>72</v>
      </c>
      <c r="AO463" s="33"/>
      <c r="AP463" s="6" t="s">
        <v>102</v>
      </c>
      <c r="AQ463" s="33"/>
      <c r="AR463" s="33"/>
      <c r="AS463" s="33"/>
      <c r="AT463" s="6" t="s">
        <v>76</v>
      </c>
      <c r="AU463" s="33"/>
      <c r="AV463" s="33"/>
      <c r="AW463" s="33"/>
      <c r="AX463" s="33"/>
      <c r="AY463" s="33"/>
      <c r="AZ463" s="6" t="s">
        <v>76</v>
      </c>
      <c r="BA463" s="33"/>
      <c r="BB463" s="33">
        <f>VLOOKUP(O463,Eco_DEM_Data!$D$1:$AC$643,20,False)</f>
        <v>2261</v>
      </c>
      <c r="BC463" s="33">
        <f>VLOOKUP($O463,Eco_DEM_Data!$D$1:$AC$643,20,False)</f>
        <v>2261</v>
      </c>
      <c r="BD463" s="33">
        <f>VLOOKUP($O463,Eco_DEM_Data!$D$1:$AC$643,25,False)</f>
        <v>1042</v>
      </c>
      <c r="BE463" s="33">
        <f>VLOOKUP($O463,Eco_DEM_Data!$D$1:$AC$643,22,False)</f>
        <v>7</v>
      </c>
      <c r="BF463" s="33">
        <f>VLOOKUP($O463,Eco_DEM_Data!$D$1:$AC$643,23,False)</f>
        <v>67</v>
      </c>
      <c r="BG463" s="33">
        <f>VLOOKUP($O463,Eco_DEM_Data!$D$1:$AC$643,21,False)</f>
        <v>7174</v>
      </c>
      <c r="BH463" s="33">
        <f>VLOOKUP($O463,Eco_DEM_Data!$D$1:$AC$643,26,False)</f>
        <v>843</v>
      </c>
      <c r="BI463" s="33" t="str">
        <f>VLOOKUP($O463,Eco_DEM_Data!$D$1:$AC$643,9,False)</f>
        <v>Isthmian-Pacific moist forests</v>
      </c>
      <c r="BJ463" s="33" t="str">
        <f>VLOOKUP($O463,Eco_DEM_Data!$D$1:$AC$643,11,False)</f>
        <v>Tropical &amp; Subtropical Moist Broadleaf Forests</v>
      </c>
    </row>
    <row r="464">
      <c r="A464" s="33" t="s">
        <v>2196</v>
      </c>
      <c r="B464" s="33" t="s">
        <v>2258</v>
      </c>
      <c r="C464" s="34">
        <v>4.0</v>
      </c>
      <c r="D464" s="33" t="s">
        <v>268</v>
      </c>
      <c r="E464" s="34">
        <v>2016.0</v>
      </c>
      <c r="F464" s="33" t="s">
        <v>2197</v>
      </c>
      <c r="G464" s="45" t="s">
        <v>2198</v>
      </c>
      <c r="H464" s="46"/>
      <c r="I464" s="33"/>
      <c r="J464" s="33" t="s">
        <v>2199</v>
      </c>
      <c r="K464" s="34">
        <v>31.0</v>
      </c>
      <c r="L464" s="33"/>
      <c r="M464" s="6" t="s">
        <v>2200</v>
      </c>
      <c r="N464" s="35" t="s">
        <v>60</v>
      </c>
      <c r="O464" s="33" t="s">
        <v>2203</v>
      </c>
      <c r="P464" s="36" t="s">
        <v>62</v>
      </c>
      <c r="Q464" s="36" t="s">
        <v>146</v>
      </c>
      <c r="R464" s="36" t="s">
        <v>2202</v>
      </c>
      <c r="S464" s="37">
        <v>8.625678</v>
      </c>
      <c r="T464" s="37">
        <v>-80.051178</v>
      </c>
      <c r="U464" s="36" t="s">
        <v>148</v>
      </c>
      <c r="V464" s="6" t="s">
        <v>135</v>
      </c>
      <c r="W464" s="6" t="s">
        <v>1073</v>
      </c>
      <c r="X464" s="1" t="s">
        <v>2204</v>
      </c>
      <c r="Y464" s="33" t="s">
        <v>256</v>
      </c>
      <c r="Z464" s="36"/>
      <c r="AA464" s="37">
        <v>5.0</v>
      </c>
      <c r="AB464" s="36"/>
      <c r="AC464" s="36"/>
      <c r="AD464" s="36"/>
      <c r="AE464" s="36"/>
      <c r="AF464" s="36"/>
      <c r="AG464" s="36"/>
      <c r="AH464" s="38" t="s">
        <v>72</v>
      </c>
      <c r="AI464" s="37">
        <v>900.0</v>
      </c>
      <c r="AJ464" s="37">
        <v>2012.0</v>
      </c>
      <c r="AK464" s="6" t="s">
        <v>73</v>
      </c>
      <c r="AL464" s="6" t="s">
        <v>72</v>
      </c>
      <c r="AM464" s="6" t="s">
        <v>132</v>
      </c>
      <c r="AN464" s="6" t="s">
        <v>72</v>
      </c>
      <c r="AO464" s="33"/>
      <c r="AP464" s="6" t="s">
        <v>102</v>
      </c>
      <c r="AQ464" s="33"/>
      <c r="AR464" s="33"/>
      <c r="AS464" s="33"/>
      <c r="AT464" s="6" t="s">
        <v>76</v>
      </c>
      <c r="AU464" s="33"/>
      <c r="AV464" s="33"/>
      <c r="AW464" s="33"/>
      <c r="AX464" s="33"/>
      <c r="AY464" s="33"/>
      <c r="AZ464" s="6" t="s">
        <v>76</v>
      </c>
      <c r="BA464" s="33"/>
      <c r="BB464" s="33">
        <f>VLOOKUP(O464,Eco_DEM_Data!$D$1:$AC$643,20,False)</f>
        <v>2261</v>
      </c>
      <c r="BC464" s="33">
        <f>VLOOKUP($O464,Eco_DEM_Data!$D$1:$AC$643,20,False)</f>
        <v>2261</v>
      </c>
      <c r="BD464" s="33">
        <f>VLOOKUP($O464,Eco_DEM_Data!$D$1:$AC$643,25,False)</f>
        <v>1042</v>
      </c>
      <c r="BE464" s="33">
        <f>VLOOKUP($O464,Eco_DEM_Data!$D$1:$AC$643,22,False)</f>
        <v>7</v>
      </c>
      <c r="BF464" s="33">
        <f>VLOOKUP($O464,Eco_DEM_Data!$D$1:$AC$643,23,False)</f>
        <v>67</v>
      </c>
      <c r="BG464" s="33">
        <f>VLOOKUP($O464,Eco_DEM_Data!$D$1:$AC$643,21,False)</f>
        <v>7174</v>
      </c>
      <c r="BH464" s="33">
        <f>VLOOKUP($O464,Eco_DEM_Data!$D$1:$AC$643,26,False)</f>
        <v>843</v>
      </c>
      <c r="BI464" s="33" t="str">
        <f>VLOOKUP($O464,Eco_DEM_Data!$D$1:$AC$643,9,False)</f>
        <v>Isthmian-Pacific moist forests</v>
      </c>
      <c r="BJ464" s="33" t="str">
        <f>VLOOKUP($O464,Eco_DEM_Data!$D$1:$AC$643,11,False)</f>
        <v>Tropical &amp; Subtropical Moist Broadleaf Forests</v>
      </c>
    </row>
    <row r="465">
      <c r="A465" s="33" t="s">
        <v>2196</v>
      </c>
      <c r="B465" s="33" t="s">
        <v>2258</v>
      </c>
      <c r="C465" s="34">
        <v>4.0</v>
      </c>
      <c r="D465" s="33" t="s">
        <v>268</v>
      </c>
      <c r="E465" s="34">
        <v>2016.0</v>
      </c>
      <c r="F465" s="33" t="s">
        <v>2197</v>
      </c>
      <c r="G465" s="45" t="s">
        <v>2198</v>
      </c>
      <c r="H465" s="46"/>
      <c r="I465" s="33"/>
      <c r="J465" s="33" t="s">
        <v>2199</v>
      </c>
      <c r="K465" s="34">
        <v>31.0</v>
      </c>
      <c r="L465" s="33"/>
      <c r="M465" s="6" t="s">
        <v>2200</v>
      </c>
      <c r="N465" s="35" t="s">
        <v>60</v>
      </c>
      <c r="O465" s="33" t="s">
        <v>2205</v>
      </c>
      <c r="P465" s="36" t="s">
        <v>62</v>
      </c>
      <c r="Q465" s="36" t="s">
        <v>146</v>
      </c>
      <c r="R465" s="36" t="s">
        <v>2202</v>
      </c>
      <c r="S465" s="37">
        <v>8.625678</v>
      </c>
      <c r="T465" s="37">
        <v>-80.051178</v>
      </c>
      <c r="U465" s="36" t="s">
        <v>148</v>
      </c>
      <c r="V465" s="38" t="s">
        <v>66</v>
      </c>
      <c r="W465" s="6" t="s">
        <v>1073</v>
      </c>
      <c r="X465" s="1" t="s">
        <v>589</v>
      </c>
      <c r="Y465" s="33" t="s">
        <v>70</v>
      </c>
      <c r="Z465" s="36"/>
      <c r="AA465" s="37">
        <v>5.0</v>
      </c>
      <c r="AB465" s="36"/>
      <c r="AC465" s="36"/>
      <c r="AD465" s="36"/>
      <c r="AE465" s="36"/>
      <c r="AF465" s="36"/>
      <c r="AG465" s="36"/>
      <c r="AH465" s="38" t="s">
        <v>72</v>
      </c>
      <c r="AI465" s="37">
        <v>900.0</v>
      </c>
      <c r="AJ465" s="37">
        <v>2012.0</v>
      </c>
      <c r="AK465" s="6" t="s">
        <v>73</v>
      </c>
      <c r="AL465" s="6" t="s">
        <v>72</v>
      </c>
      <c r="AM465" s="6" t="s">
        <v>132</v>
      </c>
      <c r="AN465" s="6" t="s">
        <v>72</v>
      </c>
      <c r="AO465" s="33"/>
      <c r="AP465" s="6" t="s">
        <v>102</v>
      </c>
      <c r="AQ465" s="33"/>
      <c r="AR465" s="33"/>
      <c r="AS465" s="33"/>
      <c r="AT465" s="6" t="s">
        <v>60</v>
      </c>
      <c r="AU465" s="33"/>
      <c r="AV465" s="33"/>
      <c r="AW465" s="33"/>
      <c r="AX465" s="33"/>
      <c r="AY465" s="33"/>
      <c r="AZ465" s="6" t="s">
        <v>76</v>
      </c>
      <c r="BA465" s="33"/>
      <c r="BB465" s="33">
        <f>VLOOKUP(O465,Eco_DEM_Data!$D$1:$AC$643,20,False)</f>
        <v>2261</v>
      </c>
      <c r="BC465" s="33">
        <f>VLOOKUP($O465,Eco_DEM_Data!$D$1:$AC$643,20,False)</f>
        <v>2261</v>
      </c>
      <c r="BD465" s="33">
        <f>VLOOKUP($O465,Eco_DEM_Data!$D$1:$AC$643,25,False)</f>
        <v>1042</v>
      </c>
      <c r="BE465" s="33">
        <f>VLOOKUP($O465,Eco_DEM_Data!$D$1:$AC$643,22,False)</f>
        <v>7</v>
      </c>
      <c r="BF465" s="33">
        <f>VLOOKUP($O465,Eco_DEM_Data!$D$1:$AC$643,23,False)</f>
        <v>67</v>
      </c>
      <c r="BG465" s="33">
        <f>VLOOKUP($O465,Eco_DEM_Data!$D$1:$AC$643,21,False)</f>
        <v>7174</v>
      </c>
      <c r="BH465" s="33">
        <f>VLOOKUP($O465,Eco_DEM_Data!$D$1:$AC$643,26,False)</f>
        <v>843</v>
      </c>
      <c r="BI465" s="33" t="str">
        <f>VLOOKUP($O465,Eco_DEM_Data!$D$1:$AC$643,9,False)</f>
        <v>Isthmian-Pacific moist forests</v>
      </c>
      <c r="BJ465" s="33" t="str">
        <f>VLOOKUP($O465,Eco_DEM_Data!$D$1:$AC$643,11,False)</f>
        <v>Tropical &amp; Subtropical Moist Broadleaf Forests</v>
      </c>
    </row>
    <row r="466">
      <c r="A466" s="33" t="s">
        <v>2196</v>
      </c>
      <c r="B466" s="33" t="s">
        <v>2258</v>
      </c>
      <c r="C466" s="34">
        <v>4.0</v>
      </c>
      <c r="D466" s="33" t="s">
        <v>268</v>
      </c>
      <c r="E466" s="34">
        <v>2016.0</v>
      </c>
      <c r="F466" s="33" t="s">
        <v>2197</v>
      </c>
      <c r="G466" s="45" t="s">
        <v>2198</v>
      </c>
      <c r="H466" s="46"/>
      <c r="I466" s="33"/>
      <c r="J466" s="33" t="s">
        <v>2199</v>
      </c>
      <c r="K466" s="34">
        <v>31.0</v>
      </c>
      <c r="L466" s="33"/>
      <c r="M466" s="6" t="s">
        <v>2200</v>
      </c>
      <c r="N466" s="35" t="s">
        <v>60</v>
      </c>
      <c r="O466" s="33" t="s">
        <v>2206</v>
      </c>
      <c r="P466" s="36" t="s">
        <v>62</v>
      </c>
      <c r="Q466" s="36" t="s">
        <v>146</v>
      </c>
      <c r="R466" s="36" t="s">
        <v>2202</v>
      </c>
      <c r="S466" s="37">
        <v>8.625678</v>
      </c>
      <c r="T466" s="37">
        <v>-80.051178</v>
      </c>
      <c r="U466" s="36" t="s">
        <v>148</v>
      </c>
      <c r="V466" s="6" t="s">
        <v>80</v>
      </c>
      <c r="W466" s="33" t="s">
        <v>156</v>
      </c>
      <c r="X466" s="1" t="s">
        <v>2207</v>
      </c>
      <c r="Y466" s="6" t="s">
        <v>158</v>
      </c>
      <c r="Z466" s="36"/>
      <c r="AA466" s="37">
        <v>5.0</v>
      </c>
      <c r="AB466" s="36"/>
      <c r="AC466" s="36"/>
      <c r="AD466" s="36"/>
      <c r="AE466" s="36"/>
      <c r="AF466" s="36"/>
      <c r="AG466" s="36"/>
      <c r="AH466" s="38" t="s">
        <v>72</v>
      </c>
      <c r="AI466" s="37">
        <v>900.0</v>
      </c>
      <c r="AJ466" s="37">
        <v>2012.0</v>
      </c>
      <c r="AK466" s="6" t="s">
        <v>73</v>
      </c>
      <c r="AL466" s="6" t="s">
        <v>72</v>
      </c>
      <c r="AM466" s="6" t="s">
        <v>132</v>
      </c>
      <c r="AN466" s="6" t="s">
        <v>72</v>
      </c>
      <c r="AO466" s="33"/>
      <c r="AP466" s="6" t="s">
        <v>102</v>
      </c>
      <c r="AQ466" s="33"/>
      <c r="AR466" s="33"/>
      <c r="AS466" s="33"/>
      <c r="AT466" s="6" t="s">
        <v>76</v>
      </c>
      <c r="AU466" s="33"/>
      <c r="AV466" s="33"/>
      <c r="AW466" s="33"/>
      <c r="AX466" s="33"/>
      <c r="AY466" s="33"/>
      <c r="AZ466" s="6" t="s">
        <v>76</v>
      </c>
      <c r="BA466" s="33"/>
      <c r="BB466" s="33">
        <f>VLOOKUP(O466,Eco_DEM_Data!$D$1:$AC$643,20,False)</f>
        <v>2261</v>
      </c>
      <c r="BC466" s="33">
        <f>VLOOKUP($O466,Eco_DEM_Data!$D$1:$AC$643,20,False)</f>
        <v>2261</v>
      </c>
      <c r="BD466" s="33">
        <f>VLOOKUP($O466,Eco_DEM_Data!$D$1:$AC$643,25,False)</f>
        <v>1042</v>
      </c>
      <c r="BE466" s="33">
        <f>VLOOKUP($O466,Eco_DEM_Data!$D$1:$AC$643,22,False)</f>
        <v>7</v>
      </c>
      <c r="BF466" s="33">
        <f>VLOOKUP($O466,Eco_DEM_Data!$D$1:$AC$643,23,False)</f>
        <v>67</v>
      </c>
      <c r="BG466" s="33">
        <f>VLOOKUP($O466,Eco_DEM_Data!$D$1:$AC$643,21,False)</f>
        <v>7174</v>
      </c>
      <c r="BH466" s="33">
        <f>VLOOKUP($O466,Eco_DEM_Data!$D$1:$AC$643,26,False)</f>
        <v>843</v>
      </c>
      <c r="BI466" s="33" t="str">
        <f>VLOOKUP($O466,Eco_DEM_Data!$D$1:$AC$643,9,False)</f>
        <v>Isthmian-Pacific moist forests</v>
      </c>
      <c r="BJ466" s="33" t="str">
        <f>VLOOKUP($O466,Eco_DEM_Data!$D$1:$AC$643,11,False)</f>
        <v>Tropical &amp; Subtropical Moist Broadleaf Forests</v>
      </c>
    </row>
    <row r="467">
      <c r="A467" s="33" t="s">
        <v>1762</v>
      </c>
      <c r="B467" s="33" t="s">
        <v>2258</v>
      </c>
      <c r="C467" s="34">
        <v>1.0</v>
      </c>
      <c r="D467" s="33" t="s">
        <v>53</v>
      </c>
      <c r="E467" s="34">
        <v>2016.0</v>
      </c>
      <c r="F467" s="33" t="s">
        <v>1763</v>
      </c>
      <c r="G467" s="33" t="s">
        <v>1764</v>
      </c>
      <c r="H467" s="33" t="s">
        <v>251</v>
      </c>
      <c r="I467" s="33" t="s">
        <v>1765</v>
      </c>
      <c r="J467" s="33" t="s">
        <v>1766</v>
      </c>
      <c r="K467" s="34">
        <v>438.0</v>
      </c>
      <c r="L467" s="33"/>
      <c r="M467" s="6" t="s">
        <v>1767</v>
      </c>
      <c r="N467" s="35" t="s">
        <v>76</v>
      </c>
      <c r="O467" s="33" t="s">
        <v>1762</v>
      </c>
      <c r="P467" s="36" t="s">
        <v>62</v>
      </c>
      <c r="Q467" s="36" t="s">
        <v>167</v>
      </c>
      <c r="R467" s="36" t="s">
        <v>512</v>
      </c>
      <c r="S467" s="37">
        <v>17.00162</v>
      </c>
      <c r="T467" s="37">
        <v>-89.476844</v>
      </c>
      <c r="U467" s="36" t="s">
        <v>148</v>
      </c>
      <c r="V467" s="38" t="s">
        <v>382</v>
      </c>
      <c r="W467" s="33" t="s">
        <v>72</v>
      </c>
      <c r="X467" s="3" t="s">
        <v>72</v>
      </c>
      <c r="Y467" s="33" t="s">
        <v>968</v>
      </c>
      <c r="Z467" s="36"/>
      <c r="AA467" s="37">
        <v>1.0</v>
      </c>
      <c r="AB467" s="36"/>
      <c r="AC467" s="36"/>
      <c r="AD467" s="36"/>
      <c r="AE467" s="36"/>
      <c r="AF467" s="36"/>
      <c r="AG467" s="36"/>
      <c r="AH467" s="38" t="s">
        <v>72</v>
      </c>
      <c r="AI467" s="37">
        <v>-40000.0</v>
      </c>
      <c r="AJ467" s="37">
        <v>2000.0</v>
      </c>
      <c r="AK467" s="6" t="s">
        <v>72</v>
      </c>
      <c r="AL467" s="6" t="s">
        <v>72</v>
      </c>
      <c r="AM467" s="6" t="s">
        <v>524</v>
      </c>
      <c r="AN467" s="6" t="s">
        <v>72</v>
      </c>
      <c r="AO467" s="33"/>
      <c r="AP467" s="6" t="s">
        <v>102</v>
      </c>
      <c r="AQ467" s="33"/>
      <c r="AR467" s="33"/>
      <c r="AS467" s="33"/>
      <c r="AT467" s="6" t="s">
        <v>76</v>
      </c>
      <c r="AU467" s="33"/>
      <c r="AV467" s="33"/>
      <c r="AW467" s="33"/>
      <c r="AX467" s="33"/>
      <c r="AY467" s="33"/>
      <c r="AZ467" s="6" t="s">
        <v>76</v>
      </c>
      <c r="BA467" s="33"/>
      <c r="BB467" s="33">
        <f>VLOOKUP(O467,Eco_DEM_Data!$D$1:$AC$643,20,False)</f>
        <v>1846</v>
      </c>
      <c r="BC467" s="33">
        <f>VLOOKUP($O467,Eco_DEM_Data!$D$1:$AC$643,20,False)</f>
        <v>1846</v>
      </c>
      <c r="BD467" s="33">
        <f>VLOOKUP($O467,Eco_DEM_Data!$D$1:$AC$643,25,False)</f>
        <v>751</v>
      </c>
      <c r="BE467" s="33">
        <f>VLOOKUP($O467,Eco_DEM_Data!$D$1:$AC$643,22,False)</f>
        <v>40</v>
      </c>
      <c r="BF467" s="33">
        <f>VLOOKUP($O467,Eco_DEM_Data!$D$1:$AC$643,23,False)</f>
        <v>151</v>
      </c>
      <c r="BG467" s="33">
        <f>VLOOKUP($O467,Eco_DEM_Data!$D$1:$AC$643,21,False)</f>
        <v>5579</v>
      </c>
      <c r="BH467" s="33">
        <f>VLOOKUP($O467,Eco_DEM_Data!$D$1:$AC$643,26,False)</f>
        <v>234</v>
      </c>
      <c r="BI467" s="33" t="str">
        <f>VLOOKUP($O467,Eco_DEM_Data!$D$1:$AC$643,9,False)</f>
        <v>Petén-Veracruz moist forests</v>
      </c>
      <c r="BJ467" s="33" t="str">
        <f>VLOOKUP($O467,Eco_DEM_Data!$D$1:$AC$643,11,False)</f>
        <v>Tropical &amp; Subtropical Moist Broadleaf Forests</v>
      </c>
    </row>
    <row r="468">
      <c r="A468" s="33" t="s">
        <v>557</v>
      </c>
      <c r="B468" s="33" t="s">
        <v>2259</v>
      </c>
      <c r="C468" s="34">
        <v>1.0</v>
      </c>
      <c r="D468" s="33" t="s">
        <v>53</v>
      </c>
      <c r="E468" s="34">
        <v>2016.0</v>
      </c>
      <c r="F468" s="33" t="s">
        <v>558</v>
      </c>
      <c r="G468" s="33" t="s">
        <v>559</v>
      </c>
      <c r="H468" s="33" t="s">
        <v>560</v>
      </c>
      <c r="I468" s="33" t="s">
        <v>561</v>
      </c>
      <c r="J468" s="33" t="s">
        <v>562</v>
      </c>
      <c r="K468" s="34">
        <v>138.0</v>
      </c>
      <c r="L468" s="33"/>
      <c r="M468" s="6" t="s">
        <v>563</v>
      </c>
      <c r="N468" s="35" t="s">
        <v>76</v>
      </c>
      <c r="O468" s="33" t="s">
        <v>557</v>
      </c>
      <c r="P468" s="36" t="s">
        <v>62</v>
      </c>
      <c r="Q468" s="36" t="s">
        <v>92</v>
      </c>
      <c r="R468" s="36" t="s">
        <v>564</v>
      </c>
      <c r="S468" s="37">
        <v>20.5874</v>
      </c>
      <c r="T468" s="37">
        <v>-87.134033</v>
      </c>
      <c r="U468" s="36" t="s">
        <v>94</v>
      </c>
      <c r="V468" s="6" t="s">
        <v>95</v>
      </c>
      <c r="W468" s="6" t="s">
        <v>96</v>
      </c>
      <c r="X468" s="1" t="s">
        <v>565</v>
      </c>
      <c r="Y468" s="6" t="s">
        <v>99</v>
      </c>
      <c r="Z468" s="36"/>
      <c r="AA468" s="37"/>
      <c r="AB468" s="36"/>
      <c r="AC468" s="36"/>
      <c r="AD468" s="36"/>
      <c r="AE468" s="37">
        <v>13.0</v>
      </c>
      <c r="AF468" s="36"/>
      <c r="AG468" s="36"/>
      <c r="AH468" s="36"/>
      <c r="AI468" s="37">
        <v>-1037.0</v>
      </c>
      <c r="AJ468" s="37">
        <v>397.0</v>
      </c>
      <c r="AK468" s="6" t="s">
        <v>153</v>
      </c>
      <c r="AL468" s="6" t="s">
        <v>76</v>
      </c>
      <c r="AM468" s="5" t="s">
        <v>72</v>
      </c>
      <c r="AN468" s="6" t="s">
        <v>101</v>
      </c>
      <c r="AO468" s="33"/>
      <c r="AP468" s="6" t="s">
        <v>102</v>
      </c>
      <c r="AQ468" s="33"/>
      <c r="AR468" s="33"/>
      <c r="AS468" s="33"/>
      <c r="AT468" s="6" t="s">
        <v>76</v>
      </c>
      <c r="AU468" s="33"/>
      <c r="AV468" s="33"/>
      <c r="AW468" s="33"/>
      <c r="AX468" s="33"/>
      <c r="AY468" s="33"/>
      <c r="AZ468" s="6" t="s">
        <v>60</v>
      </c>
      <c r="BA468" s="33"/>
      <c r="BB468" s="33">
        <f>VLOOKUP(O468,Eco_DEM_Data!$D$1:$AC$643,20,False)</f>
        <v>1332</v>
      </c>
      <c r="BC468" s="33">
        <f>VLOOKUP($O468,Eco_DEM_Data!$D$1:$AC$643,20,False)</f>
        <v>1332</v>
      </c>
      <c r="BD468" s="33">
        <f>VLOOKUP($O468,Eco_DEM_Data!$D$1:$AC$643,25,False)</f>
        <v>570</v>
      </c>
      <c r="BE468" s="33">
        <f>VLOOKUP($O468,Eco_DEM_Data!$D$1:$AC$643,22,False)</f>
        <v>36</v>
      </c>
      <c r="BF468" s="33">
        <f>VLOOKUP($O468,Eco_DEM_Data!$D$1:$AC$643,23,False)</f>
        <v>137</v>
      </c>
      <c r="BG468" s="33">
        <f>VLOOKUP($O468,Eco_DEM_Data!$D$1:$AC$643,21,False)</f>
        <v>5474</v>
      </c>
      <c r="BH468" s="33">
        <f>VLOOKUP($O468,Eco_DEM_Data!$D$1:$AC$643,26,False)</f>
        <v>3</v>
      </c>
      <c r="BI468" s="33" t="str">
        <f>VLOOKUP($O468,Eco_DEM_Data!$D$1:$AC$643,9,False)</f>
        <v>Yucatán moist forests</v>
      </c>
      <c r="BJ468" s="33" t="str">
        <f>VLOOKUP($O468,Eco_DEM_Data!$D$1:$AC$643,11,False)</f>
        <v>Tropical &amp; Subtropical Moist Broadleaf Forests</v>
      </c>
    </row>
    <row r="469">
      <c r="A469" s="33" t="s">
        <v>1319</v>
      </c>
      <c r="B469" s="33" t="s">
        <v>2259</v>
      </c>
      <c r="C469" s="34">
        <v>2.0</v>
      </c>
      <c r="D469" s="33" t="s">
        <v>53</v>
      </c>
      <c r="E469" s="34">
        <v>2016.0</v>
      </c>
      <c r="F469" s="33" t="s">
        <v>1320</v>
      </c>
      <c r="G469" s="33" t="s">
        <v>1321</v>
      </c>
      <c r="H469" s="33" t="s">
        <v>793</v>
      </c>
      <c r="I469" s="33" t="s">
        <v>1322</v>
      </c>
      <c r="J469" s="33" t="s">
        <v>1323</v>
      </c>
      <c r="K469" s="34">
        <v>463.0</v>
      </c>
      <c r="L469" s="33"/>
      <c r="M469" s="6" t="s">
        <v>1324</v>
      </c>
      <c r="N469" s="35" t="s">
        <v>60</v>
      </c>
      <c r="O469" s="33" t="s">
        <v>1325</v>
      </c>
      <c r="P469" s="36" t="s">
        <v>62</v>
      </c>
      <c r="Q469" s="36" t="s">
        <v>187</v>
      </c>
      <c r="R469" s="36" t="s">
        <v>1326</v>
      </c>
      <c r="S469" s="37">
        <v>17.0</v>
      </c>
      <c r="T469" s="37">
        <v>-89.0</v>
      </c>
      <c r="U469" s="36" t="s">
        <v>94</v>
      </c>
      <c r="V469" s="6" t="s">
        <v>95</v>
      </c>
      <c r="W469" s="6" t="s">
        <v>96</v>
      </c>
      <c r="X469" s="1" t="s">
        <v>1327</v>
      </c>
      <c r="Y469" s="6" t="s">
        <v>99</v>
      </c>
      <c r="Z469" s="36"/>
      <c r="AA469" s="37"/>
      <c r="AB469" s="36"/>
      <c r="AC469" s="36"/>
      <c r="AD469" s="36"/>
      <c r="AE469" s="37">
        <v>11.0</v>
      </c>
      <c r="AF469" s="36"/>
      <c r="AG469" s="36"/>
      <c r="AH469" s="36"/>
      <c r="AI469" s="37">
        <v>-4986.0</v>
      </c>
      <c r="AJ469" s="37">
        <v>-2756.0</v>
      </c>
      <c r="AK469" s="6" t="s">
        <v>153</v>
      </c>
      <c r="AL469" s="6" t="s">
        <v>72</v>
      </c>
      <c r="AM469" s="5" t="s">
        <v>72</v>
      </c>
      <c r="AN469" s="6" t="s">
        <v>101</v>
      </c>
      <c r="AO469" s="33"/>
      <c r="AP469" s="6" t="s">
        <v>102</v>
      </c>
      <c r="AQ469" s="33"/>
      <c r="AR469" s="33"/>
      <c r="AS469" s="33"/>
      <c r="AT469" s="6" t="s">
        <v>76</v>
      </c>
      <c r="AU469" s="33"/>
      <c r="AV469" s="33"/>
      <c r="AW469" s="33"/>
      <c r="AX469" s="33"/>
      <c r="AY469" s="33"/>
      <c r="AZ469" s="6" t="s">
        <v>76</v>
      </c>
      <c r="BA469" s="33"/>
      <c r="BB469" s="33">
        <f>VLOOKUP(O469,Eco_DEM_Data!$D$1:$AC$643,20,False)</f>
        <v>1973</v>
      </c>
      <c r="BC469" s="33">
        <f>VLOOKUP($O469,Eco_DEM_Data!$D$1:$AC$643,20,False)</f>
        <v>1973</v>
      </c>
      <c r="BD469" s="33">
        <f>VLOOKUP($O469,Eco_DEM_Data!$D$1:$AC$643,25,False)</f>
        <v>780</v>
      </c>
      <c r="BE469" s="33">
        <f>VLOOKUP($O469,Eco_DEM_Data!$D$1:$AC$643,22,False)</f>
        <v>46</v>
      </c>
      <c r="BF469" s="33">
        <f>VLOOKUP($O469,Eco_DEM_Data!$D$1:$AC$643,23,False)</f>
        <v>170</v>
      </c>
      <c r="BG469" s="33">
        <f>VLOOKUP($O469,Eco_DEM_Data!$D$1:$AC$643,21,False)</f>
        <v>5254</v>
      </c>
      <c r="BH469" s="33">
        <f>VLOOKUP($O469,Eco_DEM_Data!$D$1:$AC$643,26,False)</f>
        <v>397</v>
      </c>
      <c r="BI469" s="33" t="str">
        <f>VLOOKUP($O469,Eco_DEM_Data!$D$1:$AC$643,9,False)</f>
        <v>Petén-Veracruz moist forests</v>
      </c>
      <c r="BJ469" s="33" t="str">
        <f>VLOOKUP($O469,Eco_DEM_Data!$D$1:$AC$643,11,False)</f>
        <v>Tropical &amp; Subtropical Moist Broadleaf Forests</v>
      </c>
    </row>
    <row r="470">
      <c r="A470" s="33" t="s">
        <v>1319</v>
      </c>
      <c r="B470" s="33" t="s">
        <v>2259</v>
      </c>
      <c r="C470" s="34">
        <v>2.0</v>
      </c>
      <c r="D470" s="33" t="s">
        <v>53</v>
      </c>
      <c r="E470" s="34">
        <v>2016.0</v>
      </c>
      <c r="F470" s="33" t="s">
        <v>1320</v>
      </c>
      <c r="G470" s="33" t="s">
        <v>1321</v>
      </c>
      <c r="H470" s="33" t="s">
        <v>793</v>
      </c>
      <c r="I470" s="33" t="s">
        <v>1322</v>
      </c>
      <c r="J470" s="33" t="s">
        <v>1323</v>
      </c>
      <c r="K470" s="34">
        <v>463.0</v>
      </c>
      <c r="L470" s="33"/>
      <c r="M470" s="6" t="s">
        <v>1324</v>
      </c>
      <c r="N470" s="35" t="s">
        <v>60</v>
      </c>
      <c r="O470" s="33" t="s">
        <v>1328</v>
      </c>
      <c r="P470" s="36" t="s">
        <v>62</v>
      </c>
      <c r="Q470" s="36" t="s">
        <v>187</v>
      </c>
      <c r="R470" s="36" t="s">
        <v>1326</v>
      </c>
      <c r="S470" s="37">
        <v>17.0</v>
      </c>
      <c r="T470" s="37">
        <v>-89.0</v>
      </c>
      <c r="U470" s="36" t="s">
        <v>94</v>
      </c>
      <c r="V470" s="6" t="s">
        <v>135</v>
      </c>
      <c r="W470" s="6" t="s">
        <v>96</v>
      </c>
      <c r="X470" s="1" t="s">
        <v>1327</v>
      </c>
      <c r="Y470" s="6" t="s">
        <v>99</v>
      </c>
      <c r="Z470" s="36"/>
      <c r="AA470" s="37"/>
      <c r="AB470" s="36"/>
      <c r="AC470" s="36"/>
      <c r="AD470" s="36"/>
      <c r="AE470" s="37">
        <v>11.0</v>
      </c>
      <c r="AF470" s="36"/>
      <c r="AG470" s="36"/>
      <c r="AH470" s="36"/>
      <c r="AI470" s="37">
        <v>-4986.0</v>
      </c>
      <c r="AJ470" s="37">
        <v>-2756.0</v>
      </c>
      <c r="AK470" s="6" t="s">
        <v>153</v>
      </c>
      <c r="AL470" s="6" t="s">
        <v>72</v>
      </c>
      <c r="AM470" s="5" t="s">
        <v>72</v>
      </c>
      <c r="AN470" s="6" t="s">
        <v>101</v>
      </c>
      <c r="AO470" s="33"/>
      <c r="AP470" s="6" t="s">
        <v>102</v>
      </c>
      <c r="AQ470" s="33"/>
      <c r="AR470" s="33"/>
      <c r="AS470" s="33"/>
      <c r="AT470" s="6" t="s">
        <v>76</v>
      </c>
      <c r="AU470" s="33"/>
      <c r="AV470" s="33"/>
      <c r="AW470" s="33"/>
      <c r="AX470" s="33"/>
      <c r="AY470" s="33"/>
      <c r="AZ470" s="6" t="s">
        <v>76</v>
      </c>
      <c r="BA470" s="33"/>
      <c r="BB470" s="33">
        <f>VLOOKUP(O470,Eco_DEM_Data!$D$1:$AC$643,20,False)</f>
        <v>1973</v>
      </c>
      <c r="BC470" s="33">
        <f>VLOOKUP($O470,Eco_DEM_Data!$D$1:$AC$643,20,False)</f>
        <v>1973</v>
      </c>
      <c r="BD470" s="33">
        <f>VLOOKUP($O470,Eco_DEM_Data!$D$1:$AC$643,25,False)</f>
        <v>780</v>
      </c>
      <c r="BE470" s="33">
        <f>VLOOKUP($O470,Eco_DEM_Data!$D$1:$AC$643,22,False)</f>
        <v>46</v>
      </c>
      <c r="BF470" s="33">
        <f>VLOOKUP($O470,Eco_DEM_Data!$D$1:$AC$643,23,False)</f>
        <v>170</v>
      </c>
      <c r="BG470" s="33">
        <f>VLOOKUP($O470,Eco_DEM_Data!$D$1:$AC$643,21,False)</f>
        <v>5254</v>
      </c>
      <c r="BH470" s="33">
        <f>VLOOKUP($O470,Eco_DEM_Data!$D$1:$AC$643,26,False)</f>
        <v>397</v>
      </c>
      <c r="BI470" s="33" t="str">
        <f>VLOOKUP($O470,Eco_DEM_Data!$D$1:$AC$643,9,False)</f>
        <v>Petén-Veracruz moist forests</v>
      </c>
      <c r="BJ470" s="33" t="str">
        <f>VLOOKUP($O470,Eco_DEM_Data!$D$1:$AC$643,11,False)</f>
        <v>Tropical &amp; Subtropical Moist Broadleaf Forests</v>
      </c>
    </row>
    <row r="471">
      <c r="A471" s="33" t="s">
        <v>1465</v>
      </c>
      <c r="B471" s="33" t="s">
        <v>2259</v>
      </c>
      <c r="C471" s="34">
        <v>2.0</v>
      </c>
      <c r="D471" s="33" t="s">
        <v>53</v>
      </c>
      <c r="E471" s="34">
        <v>2016.0</v>
      </c>
      <c r="F471" s="33" t="s">
        <v>1466</v>
      </c>
      <c r="G471" s="33" t="s">
        <v>1467</v>
      </c>
      <c r="H471" s="33" t="s">
        <v>1186</v>
      </c>
      <c r="I471" s="33" t="s">
        <v>1468</v>
      </c>
      <c r="J471" s="33" t="s">
        <v>1469</v>
      </c>
      <c r="K471" s="34">
        <v>418.0</v>
      </c>
      <c r="L471" s="33"/>
      <c r="M471" s="6" t="s">
        <v>1470</v>
      </c>
      <c r="N471" s="35" t="s">
        <v>76</v>
      </c>
      <c r="O471" s="33" t="s">
        <v>1465</v>
      </c>
      <c r="P471" s="36" t="s">
        <v>62</v>
      </c>
      <c r="Q471" s="36" t="s">
        <v>92</v>
      </c>
      <c r="R471" s="36" t="s">
        <v>1453</v>
      </c>
      <c r="S471" s="37">
        <v>17.718838</v>
      </c>
      <c r="T471" s="37">
        <v>-91.695387</v>
      </c>
      <c r="U471" s="36" t="s">
        <v>1454</v>
      </c>
      <c r="V471" s="38" t="s">
        <v>382</v>
      </c>
      <c r="W471" s="6" t="s">
        <v>1471</v>
      </c>
      <c r="X471" s="1" t="s">
        <v>1472</v>
      </c>
      <c r="Y471" s="6" t="s">
        <v>544</v>
      </c>
      <c r="Z471" s="36"/>
      <c r="AA471" s="37">
        <v>2.0</v>
      </c>
      <c r="AB471" s="37">
        <v>3.0</v>
      </c>
      <c r="AC471" s="36"/>
      <c r="AD471" s="36"/>
      <c r="AE471" s="36"/>
      <c r="AF471" s="36"/>
      <c r="AG471" s="36"/>
      <c r="AH471" s="38" t="s">
        <v>1473</v>
      </c>
      <c r="AI471" s="37">
        <v>-121000.0</v>
      </c>
      <c r="AJ471" s="37">
        <v>2000.0</v>
      </c>
      <c r="AK471" s="6" t="s">
        <v>73</v>
      </c>
      <c r="AL471" s="6" t="s">
        <v>72</v>
      </c>
      <c r="AM471" s="6" t="s">
        <v>72</v>
      </c>
      <c r="AN471" s="6" t="s">
        <v>72</v>
      </c>
      <c r="AO471" s="33"/>
      <c r="AP471" s="6" t="s">
        <v>75</v>
      </c>
      <c r="AQ471" s="33"/>
      <c r="AR471" s="33"/>
      <c r="AS471" s="33"/>
      <c r="AT471" s="6" t="s">
        <v>76</v>
      </c>
      <c r="AU471" s="33"/>
      <c r="AV471" s="33"/>
      <c r="AW471" s="33"/>
      <c r="AX471" s="33"/>
      <c r="AY471" s="33"/>
      <c r="AZ471" s="6" t="s">
        <v>76</v>
      </c>
      <c r="BA471" s="33"/>
      <c r="BB471" s="33">
        <f>VLOOKUP(O471,Eco_DEM_Data!$D$1:$AC$643,20,False)</f>
        <v>2096</v>
      </c>
      <c r="BC471" s="33">
        <f>VLOOKUP($O471,Eco_DEM_Data!$D$1:$AC$643,20,False)</f>
        <v>2096</v>
      </c>
      <c r="BD471" s="33">
        <f>VLOOKUP($O471,Eco_DEM_Data!$D$1:$AC$643,25,False)</f>
        <v>892</v>
      </c>
      <c r="BE471" s="33">
        <f>VLOOKUP($O471,Eco_DEM_Data!$D$1:$AC$643,22,False)</f>
        <v>57</v>
      </c>
      <c r="BF471" s="33">
        <f>VLOOKUP($O471,Eco_DEM_Data!$D$1:$AC$643,23,False)</f>
        <v>205</v>
      </c>
      <c r="BG471" s="33">
        <f>VLOOKUP($O471,Eco_DEM_Data!$D$1:$AC$643,21,False)</f>
        <v>5426</v>
      </c>
      <c r="BH471" s="33">
        <f>VLOOKUP($O471,Eco_DEM_Data!$D$1:$AC$643,26,False)</f>
        <v>15</v>
      </c>
      <c r="BI471" s="33" t="str">
        <f>VLOOKUP($O471,Eco_DEM_Data!$D$1:$AC$643,9,False)</f>
        <v>Pantanos de Centla</v>
      </c>
      <c r="BJ471" s="33" t="str">
        <f>VLOOKUP($O471,Eco_DEM_Data!$D$1:$AC$643,11,False)</f>
        <v>Tropical &amp; Subtropical Moist Broadleaf Forests</v>
      </c>
    </row>
    <row r="472">
      <c r="A472" s="33" t="s">
        <v>2208</v>
      </c>
      <c r="B472" s="33" t="s">
        <v>2258</v>
      </c>
      <c r="C472" s="34">
        <v>5.0</v>
      </c>
      <c r="D472" s="33" t="s">
        <v>53</v>
      </c>
      <c r="E472" s="34">
        <v>2016.0</v>
      </c>
      <c r="F472" s="33" t="s">
        <v>2209</v>
      </c>
      <c r="G472" s="45" t="s">
        <v>2210</v>
      </c>
      <c r="H472" s="46"/>
      <c r="I472" s="33"/>
      <c r="J472" s="33" t="s">
        <v>2211</v>
      </c>
      <c r="K472" s="34">
        <v>138.0</v>
      </c>
      <c r="L472" s="33"/>
      <c r="M472" s="6" t="s">
        <v>2212</v>
      </c>
      <c r="N472" s="35" t="s">
        <v>60</v>
      </c>
      <c r="O472" s="33" t="s">
        <v>2213</v>
      </c>
      <c r="P472" s="36" t="s">
        <v>62</v>
      </c>
      <c r="Q472" s="36" t="s">
        <v>167</v>
      </c>
      <c r="R472" s="36" t="s">
        <v>2189</v>
      </c>
      <c r="S472" s="37">
        <v>17.815556</v>
      </c>
      <c r="T472" s="37">
        <v>-90.120833</v>
      </c>
      <c r="U472" s="36" t="s">
        <v>148</v>
      </c>
      <c r="V472" s="38" t="s">
        <v>66</v>
      </c>
      <c r="W472" s="5" t="s">
        <v>1455</v>
      </c>
      <c r="X472" s="7" t="s">
        <v>589</v>
      </c>
      <c r="Y472" s="41" t="s">
        <v>70</v>
      </c>
      <c r="Z472" s="43"/>
      <c r="AA472" s="42">
        <v>10.0</v>
      </c>
      <c r="AB472" s="43"/>
      <c r="AC472" s="43"/>
      <c r="AD472" s="43"/>
      <c r="AE472" s="43"/>
      <c r="AF472" s="43"/>
      <c r="AG472" s="43"/>
      <c r="AH472" s="43" t="s">
        <v>2214</v>
      </c>
      <c r="AI472" s="42">
        <v>-7710.0</v>
      </c>
      <c r="AJ472" s="42">
        <v>1950.0</v>
      </c>
      <c r="AK472" s="5" t="s">
        <v>100</v>
      </c>
      <c r="AL472" s="5" t="s">
        <v>76</v>
      </c>
      <c r="AM472" s="6" t="s">
        <v>132</v>
      </c>
      <c r="AN472" s="5" t="s">
        <v>76</v>
      </c>
      <c r="AO472" s="41"/>
      <c r="AP472" s="5" t="s">
        <v>102</v>
      </c>
      <c r="AQ472" s="41"/>
      <c r="AR472" s="41"/>
      <c r="AS472" s="41"/>
      <c r="AT472" s="5" t="s">
        <v>60</v>
      </c>
      <c r="AU472" s="33"/>
      <c r="AV472" s="33"/>
      <c r="AW472" s="33"/>
      <c r="AX472" s="33"/>
      <c r="AY472" s="33"/>
      <c r="AZ472" s="6" t="s">
        <v>76</v>
      </c>
      <c r="BA472" s="33"/>
      <c r="BB472" s="33">
        <f>VLOOKUP(O472,Eco_DEM_Data!$D$1:$AC$643,20,False)</f>
        <v>1405</v>
      </c>
      <c r="BC472" s="33">
        <f>VLOOKUP($O472,Eco_DEM_Data!$D$1:$AC$643,20,False)</f>
        <v>1405</v>
      </c>
      <c r="BD472" s="33">
        <f>VLOOKUP($O472,Eco_DEM_Data!$D$1:$AC$643,25,False)</f>
        <v>622</v>
      </c>
      <c r="BE472" s="33">
        <f>VLOOKUP($O472,Eco_DEM_Data!$D$1:$AC$643,22,False)</f>
        <v>32</v>
      </c>
      <c r="BF472" s="33">
        <f>VLOOKUP($O472,Eco_DEM_Data!$D$1:$AC$643,23,False)</f>
        <v>105</v>
      </c>
      <c r="BG472" s="33">
        <f>VLOOKUP($O472,Eco_DEM_Data!$D$1:$AC$643,21,False)</f>
        <v>6231</v>
      </c>
      <c r="BH472" s="33">
        <f>VLOOKUP($O472,Eco_DEM_Data!$D$1:$AC$643,26,False)</f>
        <v>196</v>
      </c>
      <c r="BI472" s="33" t="str">
        <f>VLOOKUP($O472,Eco_DEM_Data!$D$1:$AC$643,9,False)</f>
        <v>Petén-Veracruz moist forests</v>
      </c>
      <c r="BJ472" s="33" t="str">
        <f>VLOOKUP($O472,Eco_DEM_Data!$D$1:$AC$643,11,False)</f>
        <v>Tropical &amp; Subtropical Moist Broadleaf Forests</v>
      </c>
    </row>
    <row r="473">
      <c r="A473" s="33" t="s">
        <v>2208</v>
      </c>
      <c r="B473" s="33" t="s">
        <v>2258</v>
      </c>
      <c r="C473" s="34">
        <v>5.0</v>
      </c>
      <c r="D473" s="33" t="s">
        <v>53</v>
      </c>
      <c r="E473" s="34">
        <v>2016.0</v>
      </c>
      <c r="F473" s="33" t="s">
        <v>2209</v>
      </c>
      <c r="G473" s="45" t="s">
        <v>2210</v>
      </c>
      <c r="H473" s="46"/>
      <c r="I473" s="33"/>
      <c r="J473" s="33" t="s">
        <v>2211</v>
      </c>
      <c r="K473" s="34">
        <v>138.0</v>
      </c>
      <c r="L473" s="33"/>
      <c r="M473" s="6" t="s">
        <v>2212</v>
      </c>
      <c r="N473" s="35" t="s">
        <v>60</v>
      </c>
      <c r="O473" s="33" t="s">
        <v>2215</v>
      </c>
      <c r="P473" s="36" t="s">
        <v>62</v>
      </c>
      <c r="Q473" s="36" t="s">
        <v>167</v>
      </c>
      <c r="R473" s="36" t="s">
        <v>2189</v>
      </c>
      <c r="S473" s="37">
        <v>17.815556</v>
      </c>
      <c r="T473" s="37">
        <v>-90.120833</v>
      </c>
      <c r="U473" s="36" t="s">
        <v>148</v>
      </c>
      <c r="V473" s="6" t="s">
        <v>189</v>
      </c>
      <c r="W473" s="6" t="s">
        <v>96</v>
      </c>
      <c r="X473" s="1" t="s">
        <v>1598</v>
      </c>
      <c r="Y473" s="33" t="s">
        <v>70</v>
      </c>
      <c r="Z473" s="36"/>
      <c r="AA473" s="37">
        <v>10.0</v>
      </c>
      <c r="AB473" s="36"/>
      <c r="AC473" s="36"/>
      <c r="AD473" s="36"/>
      <c r="AE473" s="36"/>
      <c r="AF473" s="36"/>
      <c r="AG473" s="36"/>
      <c r="AH473" s="36" t="s">
        <v>2214</v>
      </c>
      <c r="AI473" s="37">
        <v>-7710.0</v>
      </c>
      <c r="AJ473" s="37">
        <v>1950.0</v>
      </c>
      <c r="AK473" s="6" t="s">
        <v>100</v>
      </c>
      <c r="AL473" s="6" t="s">
        <v>76</v>
      </c>
      <c r="AM473" s="6" t="s">
        <v>132</v>
      </c>
      <c r="AN473" s="6" t="s">
        <v>76</v>
      </c>
      <c r="AO473" s="33"/>
      <c r="AP473" s="6" t="s">
        <v>576</v>
      </c>
      <c r="AQ473" s="33"/>
      <c r="AR473" s="33"/>
      <c r="AS473" s="33"/>
      <c r="AT473" s="6" t="s">
        <v>76</v>
      </c>
      <c r="AU473" s="33"/>
      <c r="AV473" s="33"/>
      <c r="AW473" s="33"/>
      <c r="AX473" s="33"/>
      <c r="AY473" s="33"/>
      <c r="AZ473" s="6" t="s">
        <v>76</v>
      </c>
      <c r="BA473" s="33"/>
      <c r="BB473" s="33">
        <f>VLOOKUP(O473,Eco_DEM_Data!$D$1:$AC$643,20,False)</f>
        <v>1405</v>
      </c>
      <c r="BC473" s="33">
        <f>VLOOKUP($O473,Eco_DEM_Data!$D$1:$AC$643,20,False)</f>
        <v>1405</v>
      </c>
      <c r="BD473" s="33">
        <f>VLOOKUP($O473,Eco_DEM_Data!$D$1:$AC$643,25,False)</f>
        <v>622</v>
      </c>
      <c r="BE473" s="33">
        <f>VLOOKUP($O473,Eco_DEM_Data!$D$1:$AC$643,22,False)</f>
        <v>32</v>
      </c>
      <c r="BF473" s="33">
        <f>VLOOKUP($O473,Eco_DEM_Data!$D$1:$AC$643,23,False)</f>
        <v>105</v>
      </c>
      <c r="BG473" s="33">
        <f>VLOOKUP($O473,Eco_DEM_Data!$D$1:$AC$643,21,False)</f>
        <v>6231</v>
      </c>
      <c r="BH473" s="33">
        <f>VLOOKUP($O473,Eco_DEM_Data!$D$1:$AC$643,26,False)</f>
        <v>196</v>
      </c>
      <c r="BI473" s="33" t="str">
        <f>VLOOKUP($O473,Eco_DEM_Data!$D$1:$AC$643,9,False)</f>
        <v>Petén-Veracruz moist forests</v>
      </c>
      <c r="BJ473" s="33" t="str">
        <f>VLOOKUP($O473,Eco_DEM_Data!$D$1:$AC$643,11,False)</f>
        <v>Tropical &amp; Subtropical Moist Broadleaf Forests</v>
      </c>
    </row>
    <row r="474">
      <c r="A474" s="33" t="s">
        <v>2208</v>
      </c>
      <c r="B474" s="33" t="s">
        <v>2258</v>
      </c>
      <c r="C474" s="34">
        <v>5.0</v>
      </c>
      <c r="D474" s="33" t="s">
        <v>53</v>
      </c>
      <c r="E474" s="34">
        <v>2016.0</v>
      </c>
      <c r="F474" s="33" t="s">
        <v>2209</v>
      </c>
      <c r="G474" s="45" t="s">
        <v>2210</v>
      </c>
      <c r="H474" s="46"/>
      <c r="I474" s="33"/>
      <c r="J474" s="33" t="s">
        <v>2211</v>
      </c>
      <c r="K474" s="34">
        <v>138.0</v>
      </c>
      <c r="L474" s="33"/>
      <c r="M474" s="6" t="s">
        <v>2212</v>
      </c>
      <c r="N474" s="35" t="s">
        <v>60</v>
      </c>
      <c r="O474" s="33" t="s">
        <v>2216</v>
      </c>
      <c r="P474" s="36" t="s">
        <v>62</v>
      </c>
      <c r="Q474" s="36" t="s">
        <v>167</v>
      </c>
      <c r="R474" s="36" t="s">
        <v>2189</v>
      </c>
      <c r="S474" s="37">
        <v>17.815556</v>
      </c>
      <c r="T474" s="37">
        <v>-90.120833</v>
      </c>
      <c r="U474" s="36" t="s">
        <v>148</v>
      </c>
      <c r="V474" s="6" t="s">
        <v>135</v>
      </c>
      <c r="W474" s="33" t="s">
        <v>454</v>
      </c>
      <c r="X474" s="1" t="s">
        <v>547</v>
      </c>
      <c r="Y474" s="6" t="s">
        <v>99</v>
      </c>
      <c r="Z474" s="36"/>
      <c r="AA474" s="37">
        <v>10.0</v>
      </c>
      <c r="AB474" s="36"/>
      <c r="AC474" s="36"/>
      <c r="AD474" s="36"/>
      <c r="AE474" s="36"/>
      <c r="AF474" s="36"/>
      <c r="AG474" s="36"/>
      <c r="AH474" s="36" t="s">
        <v>2214</v>
      </c>
      <c r="AI474" s="37">
        <v>-7710.0</v>
      </c>
      <c r="AJ474" s="37">
        <v>1950.0</v>
      </c>
      <c r="AK474" s="6" t="s">
        <v>100</v>
      </c>
      <c r="AL474" s="6" t="s">
        <v>76</v>
      </c>
      <c r="AM474" s="6" t="s">
        <v>132</v>
      </c>
      <c r="AN474" s="6" t="s">
        <v>76</v>
      </c>
      <c r="AO474" s="33"/>
      <c r="AP474" s="6" t="s">
        <v>576</v>
      </c>
      <c r="AQ474" s="33"/>
      <c r="AR474" s="33"/>
      <c r="AS474" s="33"/>
      <c r="AT474" s="6" t="s">
        <v>76</v>
      </c>
      <c r="AU474" s="33"/>
      <c r="AV474" s="33"/>
      <c r="AW474" s="33"/>
      <c r="AX474" s="33"/>
      <c r="AY474" s="33"/>
      <c r="AZ474" s="6" t="s">
        <v>76</v>
      </c>
      <c r="BA474" s="33"/>
      <c r="BB474" s="33">
        <f>VLOOKUP(O474,Eco_DEM_Data!$D$1:$AC$643,20,False)</f>
        <v>1405</v>
      </c>
      <c r="BC474" s="33">
        <f>VLOOKUP($O474,Eco_DEM_Data!$D$1:$AC$643,20,False)</f>
        <v>1405</v>
      </c>
      <c r="BD474" s="33">
        <f>VLOOKUP($O474,Eco_DEM_Data!$D$1:$AC$643,25,False)</f>
        <v>622</v>
      </c>
      <c r="BE474" s="33">
        <f>VLOOKUP($O474,Eco_DEM_Data!$D$1:$AC$643,22,False)</f>
        <v>32</v>
      </c>
      <c r="BF474" s="33">
        <f>VLOOKUP($O474,Eco_DEM_Data!$D$1:$AC$643,23,False)</f>
        <v>105</v>
      </c>
      <c r="BG474" s="33">
        <f>VLOOKUP($O474,Eco_DEM_Data!$D$1:$AC$643,21,False)</f>
        <v>6231</v>
      </c>
      <c r="BH474" s="33">
        <f>VLOOKUP($O474,Eco_DEM_Data!$D$1:$AC$643,26,False)</f>
        <v>196</v>
      </c>
      <c r="BI474" s="33" t="str">
        <f>VLOOKUP($O474,Eco_DEM_Data!$D$1:$AC$643,9,False)</f>
        <v>Petén-Veracruz moist forests</v>
      </c>
      <c r="BJ474" s="33" t="str">
        <f>VLOOKUP($O474,Eco_DEM_Data!$D$1:$AC$643,11,False)</f>
        <v>Tropical &amp; Subtropical Moist Broadleaf Forests</v>
      </c>
    </row>
    <row r="475">
      <c r="A475" s="33" t="s">
        <v>2208</v>
      </c>
      <c r="B475" s="33" t="s">
        <v>2258</v>
      </c>
      <c r="C475" s="34">
        <v>5.0</v>
      </c>
      <c r="D475" s="33" t="s">
        <v>53</v>
      </c>
      <c r="E475" s="34">
        <v>2016.0</v>
      </c>
      <c r="F475" s="33" t="s">
        <v>2209</v>
      </c>
      <c r="G475" s="65" t="s">
        <v>2210</v>
      </c>
      <c r="H475" s="46"/>
      <c r="I475" s="33"/>
      <c r="J475" s="33" t="s">
        <v>2211</v>
      </c>
      <c r="K475" s="34">
        <v>138.0</v>
      </c>
      <c r="L475" s="69"/>
      <c r="M475" s="6" t="s">
        <v>2212</v>
      </c>
      <c r="N475" s="35" t="s">
        <v>60</v>
      </c>
      <c r="O475" s="33" t="s">
        <v>2217</v>
      </c>
      <c r="P475" s="36" t="s">
        <v>62</v>
      </c>
      <c r="Q475" s="36" t="s">
        <v>167</v>
      </c>
      <c r="R475" s="36" t="s">
        <v>2189</v>
      </c>
      <c r="S475" s="37">
        <v>17.815556</v>
      </c>
      <c r="T475" s="37">
        <v>-90.120833</v>
      </c>
      <c r="U475" s="36" t="s">
        <v>148</v>
      </c>
      <c r="V475" s="38" t="s">
        <v>382</v>
      </c>
      <c r="W475" s="33" t="s">
        <v>173</v>
      </c>
      <c r="X475" s="1" t="s">
        <v>1268</v>
      </c>
      <c r="Y475" s="33" t="s">
        <v>544</v>
      </c>
      <c r="Z475" s="36"/>
      <c r="AA475" s="37">
        <v>10.0</v>
      </c>
      <c r="AB475" s="36"/>
      <c r="AC475" s="36"/>
      <c r="AD475" s="36"/>
      <c r="AE475" s="36"/>
      <c r="AF475" s="36"/>
      <c r="AG475" s="36"/>
      <c r="AH475" s="36" t="s">
        <v>2214</v>
      </c>
      <c r="AI475" s="37">
        <v>-7710.0</v>
      </c>
      <c r="AJ475" s="37">
        <v>1950.0</v>
      </c>
      <c r="AK475" s="6" t="s">
        <v>100</v>
      </c>
      <c r="AL475" s="6" t="s">
        <v>76</v>
      </c>
      <c r="AM475" s="6" t="s">
        <v>132</v>
      </c>
      <c r="AN475" s="6" t="s">
        <v>76</v>
      </c>
      <c r="AO475" s="33"/>
      <c r="AP475" s="6" t="s">
        <v>576</v>
      </c>
      <c r="AQ475" s="33"/>
      <c r="AR475" s="33"/>
      <c r="AS475" s="33"/>
      <c r="AT475" s="6" t="s">
        <v>76</v>
      </c>
      <c r="AU475" s="33"/>
      <c r="AV475" s="33"/>
      <c r="AW475" s="33"/>
      <c r="AX475" s="33"/>
      <c r="AY475" s="33"/>
      <c r="AZ475" s="6" t="s">
        <v>76</v>
      </c>
      <c r="BA475" s="33"/>
      <c r="BB475" s="33">
        <f>VLOOKUP(O475,Eco_DEM_Data!$D$1:$AC$643,20,False)</f>
        <v>1405</v>
      </c>
      <c r="BC475" s="33">
        <f>VLOOKUP($O475,Eco_DEM_Data!$D$1:$AC$643,20,False)</f>
        <v>1405</v>
      </c>
      <c r="BD475" s="33">
        <f>VLOOKUP($O475,Eco_DEM_Data!$D$1:$AC$643,25,False)</f>
        <v>622</v>
      </c>
      <c r="BE475" s="33">
        <f>VLOOKUP($O475,Eco_DEM_Data!$D$1:$AC$643,22,False)</f>
        <v>32</v>
      </c>
      <c r="BF475" s="33">
        <f>VLOOKUP($O475,Eco_DEM_Data!$D$1:$AC$643,23,False)</f>
        <v>105</v>
      </c>
      <c r="BG475" s="33">
        <f>VLOOKUP($O475,Eco_DEM_Data!$D$1:$AC$643,21,False)</f>
        <v>6231</v>
      </c>
      <c r="BH475" s="33">
        <f>VLOOKUP($O475,Eco_DEM_Data!$D$1:$AC$643,26,False)</f>
        <v>196</v>
      </c>
      <c r="BI475" s="33" t="str">
        <f>VLOOKUP($O475,Eco_DEM_Data!$D$1:$AC$643,9,False)</f>
        <v>Petén-Veracruz moist forests</v>
      </c>
      <c r="BJ475" s="33" t="str">
        <f>VLOOKUP($O475,Eco_DEM_Data!$D$1:$AC$643,11,False)</f>
        <v>Tropical &amp; Subtropical Moist Broadleaf Forests</v>
      </c>
    </row>
    <row r="476">
      <c r="A476" s="33" t="s">
        <v>2208</v>
      </c>
      <c r="B476" s="33" t="s">
        <v>2258</v>
      </c>
      <c r="C476" s="34">
        <v>5.0</v>
      </c>
      <c r="D476" s="33" t="s">
        <v>53</v>
      </c>
      <c r="E476" s="34">
        <v>2016.0</v>
      </c>
      <c r="F476" s="33" t="s">
        <v>2209</v>
      </c>
      <c r="G476" s="65" t="s">
        <v>2210</v>
      </c>
      <c r="H476" s="46"/>
      <c r="I476" s="33"/>
      <c r="J476" s="33" t="s">
        <v>2211</v>
      </c>
      <c r="K476" s="34">
        <v>138.0</v>
      </c>
      <c r="L476" s="33"/>
      <c r="M476" s="6" t="s">
        <v>2212</v>
      </c>
      <c r="N476" s="35" t="s">
        <v>60</v>
      </c>
      <c r="O476" s="33" t="s">
        <v>2218</v>
      </c>
      <c r="P476" s="36" t="s">
        <v>62</v>
      </c>
      <c r="Q476" s="36" t="s">
        <v>167</v>
      </c>
      <c r="R476" s="36" t="s">
        <v>2189</v>
      </c>
      <c r="S476" s="37">
        <v>17.815556</v>
      </c>
      <c r="T476" s="37">
        <v>-90.120833</v>
      </c>
      <c r="U476" s="36" t="s">
        <v>148</v>
      </c>
      <c r="V476" s="38" t="s">
        <v>194</v>
      </c>
      <c r="W476" s="6" t="s">
        <v>96</v>
      </c>
      <c r="X476" s="1" t="s">
        <v>1598</v>
      </c>
      <c r="Y476" s="33" t="s">
        <v>70</v>
      </c>
      <c r="Z476" s="36"/>
      <c r="AA476" s="37">
        <v>10.0</v>
      </c>
      <c r="AB476" s="36"/>
      <c r="AC476" s="36"/>
      <c r="AD476" s="36"/>
      <c r="AE476" s="36"/>
      <c r="AF476" s="36"/>
      <c r="AG476" s="36"/>
      <c r="AH476" s="36" t="s">
        <v>2214</v>
      </c>
      <c r="AI476" s="37">
        <v>-7710.0</v>
      </c>
      <c r="AJ476" s="37">
        <v>1950.0</v>
      </c>
      <c r="AK476" s="6" t="s">
        <v>100</v>
      </c>
      <c r="AL476" s="6" t="s">
        <v>76</v>
      </c>
      <c r="AM476" s="6" t="s">
        <v>132</v>
      </c>
      <c r="AN476" s="6" t="s">
        <v>76</v>
      </c>
      <c r="AO476" s="33"/>
      <c r="AP476" s="6" t="s">
        <v>576</v>
      </c>
      <c r="AQ476" s="33"/>
      <c r="AR476" s="33"/>
      <c r="AS476" s="33"/>
      <c r="AT476" s="6" t="s">
        <v>76</v>
      </c>
      <c r="AU476" s="33"/>
      <c r="AV476" s="33"/>
      <c r="AW476" s="33"/>
      <c r="AX476" s="33"/>
      <c r="AY476" s="33"/>
      <c r="AZ476" s="6" t="s">
        <v>76</v>
      </c>
      <c r="BA476" s="33"/>
      <c r="BB476" s="33">
        <f>VLOOKUP(O476,Eco_DEM_Data!$D$1:$AC$643,20,False)</f>
        <v>1405</v>
      </c>
      <c r="BC476" s="33">
        <f>VLOOKUP($O476,Eco_DEM_Data!$D$1:$AC$643,20,False)</f>
        <v>1405</v>
      </c>
      <c r="BD476" s="33">
        <f>VLOOKUP($O476,Eco_DEM_Data!$D$1:$AC$643,25,False)</f>
        <v>622</v>
      </c>
      <c r="BE476" s="33">
        <f>VLOOKUP($O476,Eco_DEM_Data!$D$1:$AC$643,22,False)</f>
        <v>32</v>
      </c>
      <c r="BF476" s="33">
        <f>VLOOKUP($O476,Eco_DEM_Data!$D$1:$AC$643,23,False)</f>
        <v>105</v>
      </c>
      <c r="BG476" s="33">
        <f>VLOOKUP($O476,Eco_DEM_Data!$D$1:$AC$643,21,False)</f>
        <v>6231</v>
      </c>
      <c r="BH476" s="33">
        <f>VLOOKUP($O476,Eco_DEM_Data!$D$1:$AC$643,26,False)</f>
        <v>196</v>
      </c>
      <c r="BI476" s="33" t="str">
        <f>VLOOKUP($O476,Eco_DEM_Data!$D$1:$AC$643,9,False)</f>
        <v>Petén-Veracruz moist forests</v>
      </c>
      <c r="BJ476" s="33" t="str">
        <f>VLOOKUP($O476,Eco_DEM_Data!$D$1:$AC$643,11,False)</f>
        <v>Tropical &amp; Subtropical Moist Broadleaf Forests</v>
      </c>
    </row>
    <row r="477">
      <c r="A477" s="33" t="s">
        <v>647</v>
      </c>
      <c r="B477" s="33" t="s">
        <v>2258</v>
      </c>
      <c r="C477" s="34">
        <v>26.0</v>
      </c>
      <c r="D477" s="33" t="s">
        <v>53</v>
      </c>
      <c r="E477" s="34">
        <v>2017.0</v>
      </c>
      <c r="F477" s="33" t="s">
        <v>648</v>
      </c>
      <c r="G477" s="33" t="s">
        <v>649</v>
      </c>
      <c r="H477" s="33" t="s">
        <v>650</v>
      </c>
      <c r="I477" s="33" t="s">
        <v>651</v>
      </c>
      <c r="J477" s="33" t="s">
        <v>652</v>
      </c>
      <c r="K477" s="34">
        <v>106.0</v>
      </c>
      <c r="L477" s="34">
        <v>1.0</v>
      </c>
      <c r="M477" s="6" t="s">
        <v>653</v>
      </c>
      <c r="N477" s="35" t="s">
        <v>60</v>
      </c>
      <c r="O477" s="33" t="s">
        <v>654</v>
      </c>
      <c r="P477" s="36" t="s">
        <v>62</v>
      </c>
      <c r="Q477" s="36" t="s">
        <v>187</v>
      </c>
      <c r="R477" s="36" t="s">
        <v>655</v>
      </c>
      <c r="S477" s="37">
        <v>17.230639</v>
      </c>
      <c r="T477" s="37">
        <v>-88.30375</v>
      </c>
      <c r="U477" s="36" t="s">
        <v>148</v>
      </c>
      <c r="V477" s="6" t="s">
        <v>275</v>
      </c>
      <c r="W477" s="33" t="s">
        <v>656</v>
      </c>
      <c r="X477" s="1" t="s">
        <v>278</v>
      </c>
      <c r="Y477" s="33" t="s">
        <v>279</v>
      </c>
      <c r="Z477" s="36"/>
      <c r="AA477" s="37">
        <v>2.0</v>
      </c>
      <c r="AB477" s="36"/>
      <c r="AC477" s="36"/>
      <c r="AD477" s="36"/>
      <c r="AE477" s="36"/>
      <c r="AF477" s="36"/>
      <c r="AG477" s="36"/>
      <c r="AH477" s="36" t="s">
        <v>657</v>
      </c>
      <c r="AI477" s="38" t="s">
        <v>72</v>
      </c>
      <c r="AJ477" s="38" t="s">
        <v>72</v>
      </c>
      <c r="AK477" s="6" t="s">
        <v>100</v>
      </c>
      <c r="AL477" s="6" t="s">
        <v>76</v>
      </c>
      <c r="AM477" s="6" t="s">
        <v>524</v>
      </c>
      <c r="AN477" s="6" t="s">
        <v>72</v>
      </c>
      <c r="AO477" s="33"/>
      <c r="AP477" s="6" t="s">
        <v>75</v>
      </c>
      <c r="AQ477" s="33"/>
      <c r="AR477" s="33"/>
      <c r="AS477" s="33"/>
      <c r="AT477" s="6" t="s">
        <v>76</v>
      </c>
      <c r="AU477" s="33"/>
      <c r="AV477" s="33"/>
      <c r="AW477" s="33"/>
      <c r="AX477" s="33"/>
      <c r="AY477" s="33"/>
      <c r="AZ477" s="6" t="s">
        <v>76</v>
      </c>
      <c r="BA477" s="33"/>
      <c r="BB477" s="33">
        <f>VLOOKUP(O477,Eco_DEM_Data!$D$1:$AC$643,20,False)</f>
        <v>2032</v>
      </c>
      <c r="BC477" s="33">
        <f>VLOOKUP($O477,Eco_DEM_Data!$D$1:$AC$643,20,False)</f>
        <v>2032</v>
      </c>
      <c r="BD477" s="33">
        <f>VLOOKUP($O477,Eco_DEM_Data!$D$1:$AC$643,25,False)</f>
        <v>787</v>
      </c>
      <c r="BE477" s="33">
        <f>VLOOKUP($O477,Eco_DEM_Data!$D$1:$AC$643,22,False)</f>
        <v>50</v>
      </c>
      <c r="BF477" s="33">
        <f>VLOOKUP($O477,Eco_DEM_Data!$D$1:$AC$643,23,False)</f>
        <v>169</v>
      </c>
      <c r="BG477" s="33">
        <f>VLOOKUP($O477,Eco_DEM_Data!$D$1:$AC$643,21,False)</f>
        <v>5281</v>
      </c>
      <c r="BH477" s="33">
        <f>VLOOKUP($O477,Eco_DEM_Data!$D$1:$AC$643,26,False)</f>
        <v>1</v>
      </c>
      <c r="BI477" s="33" t="str">
        <f>VLOOKUP($O477,Eco_DEM_Data!$D$1:$AC$643,9,False)</f>
        <v>Mesoamerican Gulf-Caribbean mangroves</v>
      </c>
      <c r="BJ477" s="33" t="str">
        <f>VLOOKUP($O477,Eco_DEM_Data!$D$1:$AC$643,11,False)</f>
        <v>Mangroves</v>
      </c>
    </row>
    <row r="478">
      <c r="A478" s="33" t="s">
        <v>647</v>
      </c>
      <c r="B478" s="33" t="s">
        <v>2258</v>
      </c>
      <c r="C478" s="34">
        <v>26.0</v>
      </c>
      <c r="D478" s="33" t="s">
        <v>53</v>
      </c>
      <c r="E478" s="34">
        <v>2017.0</v>
      </c>
      <c r="F478" s="33" t="s">
        <v>648</v>
      </c>
      <c r="G478" s="33" t="s">
        <v>649</v>
      </c>
      <c r="H478" s="33" t="s">
        <v>650</v>
      </c>
      <c r="I478" s="33" t="s">
        <v>651</v>
      </c>
      <c r="J478" s="33" t="s">
        <v>652</v>
      </c>
      <c r="K478" s="34">
        <v>106.0</v>
      </c>
      <c r="L478" s="34">
        <v>1.0</v>
      </c>
      <c r="M478" s="6" t="s">
        <v>653</v>
      </c>
      <c r="N478" s="35" t="s">
        <v>60</v>
      </c>
      <c r="O478" s="33" t="s">
        <v>660</v>
      </c>
      <c r="P478" s="36" t="s">
        <v>62</v>
      </c>
      <c r="Q478" s="36" t="s">
        <v>187</v>
      </c>
      <c r="R478" s="36" t="s">
        <v>655</v>
      </c>
      <c r="S478" s="37">
        <v>17.211611</v>
      </c>
      <c r="T478" s="37">
        <v>-88.314806</v>
      </c>
      <c r="U478" s="36" t="s">
        <v>148</v>
      </c>
      <c r="V478" s="6" t="s">
        <v>275</v>
      </c>
      <c r="W478" s="33" t="s">
        <v>656</v>
      </c>
      <c r="X478" s="1" t="s">
        <v>278</v>
      </c>
      <c r="Y478" s="33" t="s">
        <v>279</v>
      </c>
      <c r="Z478" s="36"/>
      <c r="AA478" s="37">
        <v>3.0</v>
      </c>
      <c r="AB478" s="36"/>
      <c r="AC478" s="36"/>
      <c r="AD478" s="36"/>
      <c r="AE478" s="36"/>
      <c r="AF478" s="36"/>
      <c r="AG478" s="36"/>
      <c r="AH478" s="36" t="s">
        <v>657</v>
      </c>
      <c r="AI478" s="38" t="s">
        <v>72</v>
      </c>
      <c r="AJ478" s="38" t="s">
        <v>72</v>
      </c>
      <c r="AK478" s="6" t="s">
        <v>100</v>
      </c>
      <c r="AL478" s="6" t="s">
        <v>76</v>
      </c>
      <c r="AM478" s="6" t="s">
        <v>524</v>
      </c>
      <c r="AN478" s="6" t="s">
        <v>72</v>
      </c>
      <c r="AO478" s="33"/>
      <c r="AP478" s="6" t="s">
        <v>75</v>
      </c>
      <c r="AQ478" s="33"/>
      <c r="AR478" s="33"/>
      <c r="AS478" s="33"/>
      <c r="AT478" s="6" t="s">
        <v>76</v>
      </c>
      <c r="AU478" s="33"/>
      <c r="AV478" s="33"/>
      <c r="AW478" s="33"/>
      <c r="AX478" s="33"/>
      <c r="AY478" s="33"/>
      <c r="AZ478" s="6" t="s">
        <v>76</v>
      </c>
      <c r="BA478" s="33"/>
      <c r="BB478" s="33">
        <f>VLOOKUP(O478,Eco_DEM_Data!$D$1:$AC$643,20,False)</f>
        <v>2047</v>
      </c>
      <c r="BC478" s="33">
        <f>VLOOKUP($O478,Eco_DEM_Data!$D$1:$AC$643,20,False)</f>
        <v>2047</v>
      </c>
      <c r="BD478" s="33">
        <f>VLOOKUP($O478,Eco_DEM_Data!$D$1:$AC$643,25,False)</f>
        <v>795</v>
      </c>
      <c r="BE478" s="33">
        <f>VLOOKUP($O478,Eco_DEM_Data!$D$1:$AC$643,22,False)</f>
        <v>51</v>
      </c>
      <c r="BF478" s="33">
        <f>VLOOKUP($O478,Eco_DEM_Data!$D$1:$AC$643,23,False)</f>
        <v>171</v>
      </c>
      <c r="BG478" s="33">
        <f>VLOOKUP($O478,Eco_DEM_Data!$D$1:$AC$643,21,False)</f>
        <v>5295</v>
      </c>
      <c r="BH478" s="33">
        <f>VLOOKUP($O478,Eco_DEM_Data!$D$1:$AC$643,26,False)</f>
        <v>2</v>
      </c>
      <c r="BI478" s="33" t="str">
        <f>VLOOKUP($O478,Eco_DEM_Data!$D$1:$AC$643,9,False)</f>
        <v>Mesoamerican Gulf-Caribbean mangroves</v>
      </c>
      <c r="BJ478" s="33" t="str">
        <f>VLOOKUP($O478,Eco_DEM_Data!$D$1:$AC$643,11,False)</f>
        <v>Mangroves</v>
      </c>
    </row>
    <row r="479">
      <c r="A479" s="33" t="s">
        <v>647</v>
      </c>
      <c r="B479" s="33" t="s">
        <v>2258</v>
      </c>
      <c r="C479" s="34">
        <v>26.0</v>
      </c>
      <c r="D479" s="33" t="s">
        <v>53</v>
      </c>
      <c r="E479" s="34">
        <v>2017.0</v>
      </c>
      <c r="F479" s="33" t="s">
        <v>648</v>
      </c>
      <c r="G479" s="33" t="s">
        <v>649</v>
      </c>
      <c r="H479" s="33" t="s">
        <v>650</v>
      </c>
      <c r="I479" s="33" t="s">
        <v>651</v>
      </c>
      <c r="J479" s="33" t="s">
        <v>652</v>
      </c>
      <c r="K479" s="34">
        <v>106.0</v>
      </c>
      <c r="L479" s="34">
        <v>1.0</v>
      </c>
      <c r="M479" s="6" t="s">
        <v>653</v>
      </c>
      <c r="N479" s="35" t="s">
        <v>60</v>
      </c>
      <c r="O479" s="33" t="s">
        <v>661</v>
      </c>
      <c r="P479" s="36" t="s">
        <v>62</v>
      </c>
      <c r="Q479" s="36" t="s">
        <v>187</v>
      </c>
      <c r="R479" s="36" t="s">
        <v>655</v>
      </c>
      <c r="S479" s="37">
        <v>17.211528</v>
      </c>
      <c r="T479" s="37">
        <v>-88.312833</v>
      </c>
      <c r="U479" s="36" t="s">
        <v>148</v>
      </c>
      <c r="V479" s="6" t="s">
        <v>275</v>
      </c>
      <c r="W479" s="33" t="s">
        <v>656</v>
      </c>
      <c r="X479" s="1" t="s">
        <v>278</v>
      </c>
      <c r="Y479" s="33" t="s">
        <v>279</v>
      </c>
      <c r="Z479" s="36"/>
      <c r="AA479" s="37">
        <v>4.0</v>
      </c>
      <c r="AB479" s="36"/>
      <c r="AC479" s="36"/>
      <c r="AD479" s="36"/>
      <c r="AE479" s="36"/>
      <c r="AF479" s="36"/>
      <c r="AG479" s="36"/>
      <c r="AH479" s="36" t="s">
        <v>657</v>
      </c>
      <c r="AI479" s="38" t="s">
        <v>72</v>
      </c>
      <c r="AJ479" s="38" t="s">
        <v>72</v>
      </c>
      <c r="AK479" s="6" t="s">
        <v>100</v>
      </c>
      <c r="AL479" s="6" t="s">
        <v>76</v>
      </c>
      <c r="AM479" s="6" t="s">
        <v>524</v>
      </c>
      <c r="AN479" s="6" t="s">
        <v>72</v>
      </c>
      <c r="AO479" s="33"/>
      <c r="AP479" s="6" t="s">
        <v>75</v>
      </c>
      <c r="AQ479" s="33"/>
      <c r="AR479" s="33"/>
      <c r="AS479" s="33"/>
      <c r="AT479" s="6" t="s">
        <v>76</v>
      </c>
      <c r="AU479" s="33"/>
      <c r="AV479" s="33"/>
      <c r="AW479" s="33"/>
      <c r="AX479" s="33"/>
      <c r="AY479" s="33"/>
      <c r="AZ479" s="6" t="s">
        <v>76</v>
      </c>
      <c r="BA479" s="33"/>
      <c r="BB479" s="33">
        <f>VLOOKUP(O479,Eco_DEM_Data!$D$1:$AC$643,20,False)</f>
        <v>2047</v>
      </c>
      <c r="BC479" s="33">
        <f>VLOOKUP($O479,Eco_DEM_Data!$D$1:$AC$643,20,False)</f>
        <v>2047</v>
      </c>
      <c r="BD479" s="33">
        <f>VLOOKUP($O479,Eco_DEM_Data!$D$1:$AC$643,25,False)</f>
        <v>795</v>
      </c>
      <c r="BE479" s="33">
        <f>VLOOKUP($O479,Eco_DEM_Data!$D$1:$AC$643,22,False)</f>
        <v>51</v>
      </c>
      <c r="BF479" s="33">
        <f>VLOOKUP($O479,Eco_DEM_Data!$D$1:$AC$643,23,False)</f>
        <v>171</v>
      </c>
      <c r="BG479" s="33">
        <f>VLOOKUP($O479,Eco_DEM_Data!$D$1:$AC$643,21,False)</f>
        <v>5295</v>
      </c>
      <c r="BH479" s="33">
        <f>VLOOKUP($O479,Eco_DEM_Data!$D$1:$AC$643,26,False)</f>
        <v>2</v>
      </c>
      <c r="BI479" s="33" t="str">
        <f>VLOOKUP($O479,Eco_DEM_Data!$D$1:$AC$643,9,False)</f>
        <v>Mesoamerican Gulf-Caribbean mangroves</v>
      </c>
      <c r="BJ479" s="33" t="str">
        <f>VLOOKUP($O479,Eco_DEM_Data!$D$1:$AC$643,11,False)</f>
        <v>Mangroves</v>
      </c>
    </row>
    <row r="480">
      <c r="A480" s="33" t="s">
        <v>647</v>
      </c>
      <c r="B480" s="33" t="s">
        <v>2258</v>
      </c>
      <c r="C480" s="34">
        <v>26.0</v>
      </c>
      <c r="D480" s="33" t="s">
        <v>53</v>
      </c>
      <c r="E480" s="34">
        <v>2017.0</v>
      </c>
      <c r="F480" s="33" t="s">
        <v>648</v>
      </c>
      <c r="G480" s="33" t="s">
        <v>649</v>
      </c>
      <c r="H480" s="33" t="s">
        <v>650</v>
      </c>
      <c r="I480" s="33" t="s">
        <v>651</v>
      </c>
      <c r="J480" s="33" t="s">
        <v>652</v>
      </c>
      <c r="K480" s="34">
        <v>106.0</v>
      </c>
      <c r="L480" s="34">
        <v>1.0</v>
      </c>
      <c r="M480" s="6" t="s">
        <v>653</v>
      </c>
      <c r="N480" s="35" t="s">
        <v>60</v>
      </c>
      <c r="O480" s="33" t="s">
        <v>662</v>
      </c>
      <c r="P480" s="36" t="s">
        <v>62</v>
      </c>
      <c r="Q480" s="36" t="s">
        <v>187</v>
      </c>
      <c r="R480" s="36" t="s">
        <v>655</v>
      </c>
      <c r="S480" s="37">
        <v>17.211389</v>
      </c>
      <c r="T480" s="37">
        <v>-88.317556</v>
      </c>
      <c r="U480" s="36" t="s">
        <v>148</v>
      </c>
      <c r="V480" s="6" t="s">
        <v>275</v>
      </c>
      <c r="W480" s="33" t="s">
        <v>656</v>
      </c>
      <c r="X480" s="1" t="s">
        <v>278</v>
      </c>
      <c r="Y480" s="33" t="s">
        <v>279</v>
      </c>
      <c r="Z480" s="36"/>
      <c r="AA480" s="37">
        <v>1.0</v>
      </c>
      <c r="AB480" s="36"/>
      <c r="AC480" s="36"/>
      <c r="AD480" s="36"/>
      <c r="AE480" s="36"/>
      <c r="AF480" s="36"/>
      <c r="AG480" s="36"/>
      <c r="AH480" s="36" t="s">
        <v>663</v>
      </c>
      <c r="AI480" s="38" t="s">
        <v>72</v>
      </c>
      <c r="AJ480" s="38" t="s">
        <v>72</v>
      </c>
      <c r="AK480" s="6" t="s">
        <v>100</v>
      </c>
      <c r="AL480" s="6" t="s">
        <v>76</v>
      </c>
      <c r="AM480" s="6" t="s">
        <v>524</v>
      </c>
      <c r="AN480" s="6" t="s">
        <v>72</v>
      </c>
      <c r="AO480" s="33"/>
      <c r="AP480" s="6" t="s">
        <v>75</v>
      </c>
      <c r="AQ480" s="33"/>
      <c r="AR480" s="33"/>
      <c r="AS480" s="33"/>
      <c r="AT480" s="6" t="s">
        <v>76</v>
      </c>
      <c r="AU480" s="33"/>
      <c r="AV480" s="33"/>
      <c r="AW480" s="33"/>
      <c r="AX480" s="33"/>
      <c r="AY480" s="33"/>
      <c r="AZ480" s="6" t="s">
        <v>76</v>
      </c>
      <c r="BA480" s="33"/>
      <c r="BB480" s="33">
        <f>VLOOKUP(O480,Eco_DEM_Data!$D$1:$AC$643,20,False)</f>
        <v>2055</v>
      </c>
      <c r="BC480" s="33">
        <f>VLOOKUP($O480,Eco_DEM_Data!$D$1:$AC$643,20,False)</f>
        <v>2055</v>
      </c>
      <c r="BD480" s="33">
        <f>VLOOKUP($O480,Eco_DEM_Data!$D$1:$AC$643,25,False)</f>
        <v>797</v>
      </c>
      <c r="BE480" s="33">
        <f>VLOOKUP($O480,Eco_DEM_Data!$D$1:$AC$643,22,False)</f>
        <v>51</v>
      </c>
      <c r="BF480" s="33">
        <f>VLOOKUP($O480,Eco_DEM_Data!$D$1:$AC$643,23,False)</f>
        <v>172</v>
      </c>
      <c r="BG480" s="33">
        <f>VLOOKUP($O480,Eco_DEM_Data!$D$1:$AC$643,21,False)</f>
        <v>5286</v>
      </c>
      <c r="BH480" s="33">
        <f>VLOOKUP($O480,Eco_DEM_Data!$D$1:$AC$643,26,False)</f>
        <v>2</v>
      </c>
      <c r="BI480" s="33" t="str">
        <f>VLOOKUP($O480,Eco_DEM_Data!$D$1:$AC$643,9,False)</f>
        <v>Mesoamerican Gulf-Caribbean mangroves</v>
      </c>
      <c r="BJ480" s="33" t="str">
        <f>VLOOKUP($O480,Eco_DEM_Data!$D$1:$AC$643,11,False)</f>
        <v>Mangroves</v>
      </c>
    </row>
    <row r="481">
      <c r="A481" s="33" t="s">
        <v>647</v>
      </c>
      <c r="B481" s="33" t="s">
        <v>2258</v>
      </c>
      <c r="C481" s="34">
        <v>26.0</v>
      </c>
      <c r="D481" s="33" t="s">
        <v>53</v>
      </c>
      <c r="E481" s="34">
        <v>2017.0</v>
      </c>
      <c r="F481" s="33" t="s">
        <v>648</v>
      </c>
      <c r="G481" s="33" t="s">
        <v>649</v>
      </c>
      <c r="H481" s="33" t="s">
        <v>650</v>
      </c>
      <c r="I481" s="33" t="s">
        <v>651</v>
      </c>
      <c r="J481" s="33" t="s">
        <v>652</v>
      </c>
      <c r="K481" s="34">
        <v>106.0</v>
      </c>
      <c r="L481" s="34">
        <v>1.0</v>
      </c>
      <c r="M481" s="6" t="s">
        <v>653</v>
      </c>
      <c r="N481" s="35" t="s">
        <v>60</v>
      </c>
      <c r="O481" s="33" t="s">
        <v>664</v>
      </c>
      <c r="P481" s="36" t="s">
        <v>62</v>
      </c>
      <c r="Q481" s="36" t="s">
        <v>187</v>
      </c>
      <c r="R481" s="36" t="s">
        <v>655</v>
      </c>
      <c r="S481" s="37">
        <v>17.211056</v>
      </c>
      <c r="T481" s="37">
        <v>-88.303833</v>
      </c>
      <c r="U481" s="36" t="s">
        <v>148</v>
      </c>
      <c r="V481" s="6" t="s">
        <v>275</v>
      </c>
      <c r="W481" s="33" t="s">
        <v>656</v>
      </c>
      <c r="X481" s="1" t="s">
        <v>278</v>
      </c>
      <c r="Y481" s="33" t="s">
        <v>279</v>
      </c>
      <c r="Z481" s="36"/>
      <c r="AA481" s="37">
        <v>2.0</v>
      </c>
      <c r="AB481" s="36"/>
      <c r="AC481" s="36"/>
      <c r="AD481" s="36"/>
      <c r="AE481" s="36"/>
      <c r="AF481" s="36"/>
      <c r="AG481" s="36"/>
      <c r="AH481" s="36" t="s">
        <v>657</v>
      </c>
      <c r="AI481" s="38" t="s">
        <v>72</v>
      </c>
      <c r="AJ481" s="38" t="s">
        <v>72</v>
      </c>
      <c r="AK481" s="6" t="s">
        <v>100</v>
      </c>
      <c r="AL481" s="6" t="s">
        <v>76</v>
      </c>
      <c r="AM481" s="6" t="s">
        <v>524</v>
      </c>
      <c r="AN481" s="6" t="s">
        <v>72</v>
      </c>
      <c r="AO481" s="33"/>
      <c r="AP481" s="6" t="s">
        <v>75</v>
      </c>
      <c r="AQ481" s="33"/>
      <c r="AR481" s="33"/>
      <c r="AS481" s="33"/>
      <c r="AT481" s="6" t="s">
        <v>76</v>
      </c>
      <c r="AU481" s="33"/>
      <c r="AV481" s="33"/>
      <c r="AW481" s="33"/>
      <c r="AX481" s="33"/>
      <c r="AY481" s="33"/>
      <c r="AZ481" s="6" t="s">
        <v>76</v>
      </c>
      <c r="BA481" s="33"/>
      <c r="BB481" s="33">
        <f>VLOOKUP(O481,Eco_DEM_Data!$D$1:$AC$643,20,False)</f>
        <v>2046</v>
      </c>
      <c r="BC481" s="33">
        <f>VLOOKUP($O481,Eco_DEM_Data!$D$1:$AC$643,20,False)</f>
        <v>2046</v>
      </c>
      <c r="BD481" s="33">
        <f>VLOOKUP($O481,Eco_DEM_Data!$D$1:$AC$643,25,False)</f>
        <v>792</v>
      </c>
      <c r="BE481" s="33">
        <f>VLOOKUP($O481,Eco_DEM_Data!$D$1:$AC$643,22,False)</f>
        <v>51</v>
      </c>
      <c r="BF481" s="33">
        <f>VLOOKUP($O481,Eco_DEM_Data!$D$1:$AC$643,23,False)</f>
        <v>171</v>
      </c>
      <c r="BG481" s="33">
        <f>VLOOKUP($O481,Eco_DEM_Data!$D$1:$AC$643,21,False)</f>
        <v>5270</v>
      </c>
      <c r="BH481" s="33">
        <f>VLOOKUP($O481,Eco_DEM_Data!$D$1:$AC$643,26,False)</f>
        <v>1</v>
      </c>
      <c r="BI481" s="33" t="str">
        <f>VLOOKUP($O481,Eco_DEM_Data!$D$1:$AC$643,9,False)</f>
        <v>Mesoamerican Gulf-Caribbean mangroves</v>
      </c>
      <c r="BJ481" s="33" t="str">
        <f>VLOOKUP($O481,Eco_DEM_Data!$D$1:$AC$643,11,False)</f>
        <v>Mangroves</v>
      </c>
    </row>
    <row r="482">
      <c r="A482" s="33" t="s">
        <v>647</v>
      </c>
      <c r="B482" s="33" t="s">
        <v>2258</v>
      </c>
      <c r="C482" s="34">
        <v>26.0</v>
      </c>
      <c r="D482" s="33" t="s">
        <v>53</v>
      </c>
      <c r="E482" s="34">
        <v>2017.0</v>
      </c>
      <c r="F482" s="33" t="s">
        <v>648</v>
      </c>
      <c r="G482" s="33" t="s">
        <v>649</v>
      </c>
      <c r="H482" s="33" t="s">
        <v>650</v>
      </c>
      <c r="I482" s="33" t="s">
        <v>651</v>
      </c>
      <c r="J482" s="33" t="s">
        <v>652</v>
      </c>
      <c r="K482" s="34">
        <v>106.0</v>
      </c>
      <c r="L482" s="34">
        <v>1.0</v>
      </c>
      <c r="M482" s="6" t="s">
        <v>653</v>
      </c>
      <c r="N482" s="35" t="s">
        <v>60</v>
      </c>
      <c r="O482" s="33" t="s">
        <v>672</v>
      </c>
      <c r="P482" s="36" t="s">
        <v>62</v>
      </c>
      <c r="Q482" s="36" t="s">
        <v>187</v>
      </c>
      <c r="R482" s="36" t="s">
        <v>673</v>
      </c>
      <c r="S482" s="37">
        <v>17.119889</v>
      </c>
      <c r="T482" s="37">
        <v>-88.300611</v>
      </c>
      <c r="U482" s="36" t="s">
        <v>674</v>
      </c>
      <c r="V482" s="6" t="s">
        <v>275</v>
      </c>
      <c r="W482" s="33" t="s">
        <v>656</v>
      </c>
      <c r="X482" s="1" t="s">
        <v>278</v>
      </c>
      <c r="Y482" s="33" t="s">
        <v>279</v>
      </c>
      <c r="Z482" s="36"/>
      <c r="AA482" s="37">
        <v>2.0</v>
      </c>
      <c r="AB482" s="36"/>
      <c r="AC482" s="36"/>
      <c r="AD482" s="36"/>
      <c r="AE482" s="36"/>
      <c r="AF482" s="36"/>
      <c r="AG482" s="36"/>
      <c r="AH482" s="36" t="s">
        <v>675</v>
      </c>
      <c r="AI482" s="38" t="s">
        <v>72</v>
      </c>
      <c r="AJ482" s="38" t="s">
        <v>72</v>
      </c>
      <c r="AK482" s="6" t="s">
        <v>100</v>
      </c>
      <c r="AL482" s="6" t="s">
        <v>76</v>
      </c>
      <c r="AM482" s="6" t="s">
        <v>524</v>
      </c>
      <c r="AN482" s="6" t="s">
        <v>72</v>
      </c>
      <c r="AO482" s="33"/>
      <c r="AP482" s="6" t="s">
        <v>75</v>
      </c>
      <c r="AQ482" s="33"/>
      <c r="AR482" s="33"/>
      <c r="AS482" s="33"/>
      <c r="AT482" s="6" t="s">
        <v>76</v>
      </c>
      <c r="AU482" s="33"/>
      <c r="AV482" s="33"/>
      <c r="AW482" s="33"/>
      <c r="AX482" s="33"/>
      <c r="AY482" s="33"/>
      <c r="AZ482" s="6" t="s">
        <v>76</v>
      </c>
      <c r="BA482" s="33"/>
      <c r="BB482" s="33">
        <f>VLOOKUP(O482,Eco_DEM_Data!$D$1:$AC$643,20,False)</f>
        <v>2143</v>
      </c>
      <c r="BC482" s="33">
        <f>VLOOKUP($O482,Eco_DEM_Data!$D$1:$AC$643,20,False)</f>
        <v>2143</v>
      </c>
      <c r="BD482" s="33">
        <f>VLOOKUP($O482,Eco_DEM_Data!$D$1:$AC$643,25,False)</f>
        <v>827</v>
      </c>
      <c r="BE482" s="33">
        <f>VLOOKUP($O482,Eco_DEM_Data!$D$1:$AC$643,22,False)</f>
        <v>54</v>
      </c>
      <c r="BF482" s="33">
        <f>VLOOKUP($O482,Eco_DEM_Data!$D$1:$AC$643,23,False)</f>
        <v>177</v>
      </c>
      <c r="BG482" s="33">
        <f>VLOOKUP($O482,Eco_DEM_Data!$D$1:$AC$643,21,False)</f>
        <v>5251</v>
      </c>
      <c r="BH482" s="33">
        <f>VLOOKUP($O482,Eco_DEM_Data!$D$1:$AC$643,26,False)</f>
        <v>3</v>
      </c>
      <c r="BI482" s="33" t="str">
        <f>VLOOKUP($O482,Eco_DEM_Data!$D$1:$AC$643,9,False)</f>
        <v>Petén-Veracruz moist forests</v>
      </c>
      <c r="BJ482" s="33" t="str">
        <f>VLOOKUP($O482,Eco_DEM_Data!$D$1:$AC$643,11,False)</f>
        <v>Tropical &amp; Subtropical Moist Broadleaf Forests</v>
      </c>
    </row>
    <row r="483">
      <c r="A483" s="33" t="s">
        <v>647</v>
      </c>
      <c r="B483" s="33" t="s">
        <v>2258</v>
      </c>
      <c r="C483" s="34">
        <v>26.0</v>
      </c>
      <c r="D483" s="33" t="s">
        <v>53</v>
      </c>
      <c r="E483" s="34">
        <v>2017.0</v>
      </c>
      <c r="F483" s="33" t="s">
        <v>648</v>
      </c>
      <c r="G483" s="33" t="s">
        <v>649</v>
      </c>
      <c r="H483" s="33" t="s">
        <v>650</v>
      </c>
      <c r="I483" s="33" t="s">
        <v>651</v>
      </c>
      <c r="J483" s="33" t="s">
        <v>652</v>
      </c>
      <c r="K483" s="34">
        <v>106.0</v>
      </c>
      <c r="L483" s="34">
        <v>1.0</v>
      </c>
      <c r="M483" s="6" t="s">
        <v>653</v>
      </c>
      <c r="N483" s="35" t="s">
        <v>60</v>
      </c>
      <c r="O483" s="33" t="s">
        <v>676</v>
      </c>
      <c r="P483" s="36" t="s">
        <v>62</v>
      </c>
      <c r="Q483" s="36" t="s">
        <v>187</v>
      </c>
      <c r="R483" s="36" t="s">
        <v>673</v>
      </c>
      <c r="S483" s="37">
        <v>17.119833</v>
      </c>
      <c r="T483" s="37">
        <v>-88.3</v>
      </c>
      <c r="U483" s="36" t="s">
        <v>674</v>
      </c>
      <c r="V483" s="6" t="s">
        <v>275</v>
      </c>
      <c r="W483" s="33" t="s">
        <v>656</v>
      </c>
      <c r="X483" s="1" t="s">
        <v>278</v>
      </c>
      <c r="Y483" s="33" t="s">
        <v>279</v>
      </c>
      <c r="Z483" s="36"/>
      <c r="AA483" s="37">
        <v>3.0</v>
      </c>
      <c r="AB483" s="36"/>
      <c r="AC483" s="36"/>
      <c r="AD483" s="36"/>
      <c r="AE483" s="36"/>
      <c r="AF483" s="36"/>
      <c r="AG483" s="36"/>
      <c r="AH483" s="36" t="s">
        <v>657</v>
      </c>
      <c r="AI483" s="38" t="s">
        <v>72</v>
      </c>
      <c r="AJ483" s="38" t="s">
        <v>72</v>
      </c>
      <c r="AK483" s="6" t="s">
        <v>100</v>
      </c>
      <c r="AL483" s="6" t="s">
        <v>76</v>
      </c>
      <c r="AM483" s="6" t="s">
        <v>524</v>
      </c>
      <c r="AN483" s="6" t="s">
        <v>72</v>
      </c>
      <c r="AO483" s="33"/>
      <c r="AP483" s="6" t="s">
        <v>75</v>
      </c>
      <c r="AQ483" s="33"/>
      <c r="AR483" s="33"/>
      <c r="AS483" s="33"/>
      <c r="AT483" s="6" t="s">
        <v>76</v>
      </c>
      <c r="AU483" s="33"/>
      <c r="AV483" s="33"/>
      <c r="AW483" s="33"/>
      <c r="AX483" s="33"/>
      <c r="AY483" s="33"/>
      <c r="AZ483" s="6" t="s">
        <v>76</v>
      </c>
      <c r="BA483" s="33"/>
      <c r="BB483" s="33">
        <f>VLOOKUP(O483,Eco_DEM_Data!$D$1:$AC$643,20,False)</f>
        <v>2143</v>
      </c>
      <c r="BC483" s="33">
        <f>VLOOKUP($O483,Eco_DEM_Data!$D$1:$AC$643,20,False)</f>
        <v>2143</v>
      </c>
      <c r="BD483" s="33">
        <f>VLOOKUP($O483,Eco_DEM_Data!$D$1:$AC$643,25,False)</f>
        <v>827</v>
      </c>
      <c r="BE483" s="33">
        <f>VLOOKUP($O483,Eco_DEM_Data!$D$1:$AC$643,22,False)</f>
        <v>54</v>
      </c>
      <c r="BF483" s="33">
        <f>VLOOKUP($O483,Eco_DEM_Data!$D$1:$AC$643,23,False)</f>
        <v>177</v>
      </c>
      <c r="BG483" s="33">
        <f>VLOOKUP($O483,Eco_DEM_Data!$D$1:$AC$643,21,False)</f>
        <v>5251</v>
      </c>
      <c r="BH483" s="33">
        <f>VLOOKUP($O483,Eco_DEM_Data!$D$1:$AC$643,26,False)</f>
        <v>3</v>
      </c>
      <c r="BI483" s="33" t="str">
        <f>VLOOKUP($O483,Eco_DEM_Data!$D$1:$AC$643,9,False)</f>
        <v>Petén-Veracruz moist forests</v>
      </c>
      <c r="BJ483" s="33" t="str">
        <f>VLOOKUP($O483,Eco_DEM_Data!$D$1:$AC$643,11,False)</f>
        <v>Tropical &amp; Subtropical Moist Broadleaf Forests</v>
      </c>
    </row>
    <row r="484">
      <c r="A484" s="33" t="s">
        <v>647</v>
      </c>
      <c r="B484" s="33" t="s">
        <v>2258</v>
      </c>
      <c r="C484" s="34">
        <v>26.0</v>
      </c>
      <c r="D484" s="33" t="s">
        <v>53</v>
      </c>
      <c r="E484" s="34">
        <v>2017.0</v>
      </c>
      <c r="F484" s="33" t="s">
        <v>648</v>
      </c>
      <c r="G484" s="33" t="s">
        <v>649</v>
      </c>
      <c r="H484" s="33" t="s">
        <v>650</v>
      </c>
      <c r="I484" s="33" t="s">
        <v>651</v>
      </c>
      <c r="J484" s="33" t="s">
        <v>652</v>
      </c>
      <c r="K484" s="34">
        <v>106.0</v>
      </c>
      <c r="L484" s="34">
        <v>1.0</v>
      </c>
      <c r="M484" s="6" t="s">
        <v>653</v>
      </c>
      <c r="N484" s="35" t="s">
        <v>60</v>
      </c>
      <c r="O484" s="33" t="s">
        <v>677</v>
      </c>
      <c r="P484" s="36" t="s">
        <v>62</v>
      </c>
      <c r="Q484" s="36" t="s">
        <v>187</v>
      </c>
      <c r="R484" s="36" t="s">
        <v>673</v>
      </c>
      <c r="S484" s="37">
        <v>17.119611</v>
      </c>
      <c r="T484" s="37">
        <v>-88.301833</v>
      </c>
      <c r="U484" s="36" t="s">
        <v>674</v>
      </c>
      <c r="V484" s="6" t="s">
        <v>275</v>
      </c>
      <c r="W484" s="33" t="s">
        <v>656</v>
      </c>
      <c r="X484" s="1" t="s">
        <v>278</v>
      </c>
      <c r="Y484" s="33" t="s">
        <v>279</v>
      </c>
      <c r="Z484" s="36"/>
      <c r="AA484" s="37">
        <v>1.0</v>
      </c>
      <c r="AB484" s="36"/>
      <c r="AC484" s="36"/>
      <c r="AD484" s="36"/>
      <c r="AE484" s="36"/>
      <c r="AF484" s="36"/>
      <c r="AG484" s="36"/>
      <c r="AH484" s="36" t="s">
        <v>675</v>
      </c>
      <c r="AI484" s="38" t="s">
        <v>72</v>
      </c>
      <c r="AJ484" s="38" t="s">
        <v>72</v>
      </c>
      <c r="AK484" s="6" t="s">
        <v>100</v>
      </c>
      <c r="AL484" s="6" t="s">
        <v>76</v>
      </c>
      <c r="AM484" s="6" t="s">
        <v>524</v>
      </c>
      <c r="AN484" s="6" t="s">
        <v>72</v>
      </c>
      <c r="AO484" s="33"/>
      <c r="AP484" s="6" t="s">
        <v>75</v>
      </c>
      <c r="AQ484" s="33"/>
      <c r="AR484" s="33"/>
      <c r="AS484" s="33"/>
      <c r="AT484" s="6" t="s">
        <v>76</v>
      </c>
      <c r="AU484" s="33"/>
      <c r="AV484" s="33"/>
      <c r="AW484" s="33"/>
      <c r="AX484" s="33"/>
      <c r="AY484" s="33"/>
      <c r="AZ484" s="6" t="s">
        <v>76</v>
      </c>
      <c r="BA484" s="33"/>
      <c r="BB484" s="33">
        <f>VLOOKUP(O484,Eco_DEM_Data!$D$1:$AC$643,20,False)</f>
        <v>2143</v>
      </c>
      <c r="BC484" s="33">
        <f>VLOOKUP($O484,Eco_DEM_Data!$D$1:$AC$643,20,False)</f>
        <v>2143</v>
      </c>
      <c r="BD484" s="33">
        <f>VLOOKUP($O484,Eco_DEM_Data!$D$1:$AC$643,25,False)</f>
        <v>827</v>
      </c>
      <c r="BE484" s="33">
        <f>VLOOKUP($O484,Eco_DEM_Data!$D$1:$AC$643,22,False)</f>
        <v>54</v>
      </c>
      <c r="BF484" s="33">
        <f>VLOOKUP($O484,Eco_DEM_Data!$D$1:$AC$643,23,False)</f>
        <v>177</v>
      </c>
      <c r="BG484" s="33">
        <f>VLOOKUP($O484,Eco_DEM_Data!$D$1:$AC$643,21,False)</f>
        <v>5251</v>
      </c>
      <c r="BH484" s="33">
        <f>VLOOKUP($O484,Eco_DEM_Data!$D$1:$AC$643,26,False)</f>
        <v>3</v>
      </c>
      <c r="BI484" s="33" t="str">
        <f>VLOOKUP($O484,Eco_DEM_Data!$D$1:$AC$643,9,False)</f>
        <v>Petén-Veracruz moist forests</v>
      </c>
      <c r="BJ484" s="33" t="str">
        <f>VLOOKUP($O484,Eco_DEM_Data!$D$1:$AC$643,11,False)</f>
        <v>Tropical &amp; Subtropical Moist Broadleaf Forests</v>
      </c>
    </row>
    <row r="485">
      <c r="A485" s="33" t="s">
        <v>647</v>
      </c>
      <c r="B485" s="33" t="s">
        <v>2258</v>
      </c>
      <c r="C485" s="34">
        <v>26.0</v>
      </c>
      <c r="D485" s="33" t="s">
        <v>53</v>
      </c>
      <c r="E485" s="34">
        <v>2017.0</v>
      </c>
      <c r="F485" s="33" t="s">
        <v>648</v>
      </c>
      <c r="G485" s="33" t="s">
        <v>649</v>
      </c>
      <c r="H485" s="33" t="s">
        <v>650</v>
      </c>
      <c r="I485" s="33" t="s">
        <v>651</v>
      </c>
      <c r="J485" s="33" t="s">
        <v>652</v>
      </c>
      <c r="K485" s="34">
        <v>106.0</v>
      </c>
      <c r="L485" s="34">
        <v>1.0</v>
      </c>
      <c r="M485" s="6" t="s">
        <v>653</v>
      </c>
      <c r="N485" s="35" t="s">
        <v>60</v>
      </c>
      <c r="O485" s="33" t="s">
        <v>678</v>
      </c>
      <c r="P485" s="36" t="s">
        <v>62</v>
      </c>
      <c r="Q485" s="36" t="s">
        <v>187</v>
      </c>
      <c r="R485" s="36" t="s">
        <v>673</v>
      </c>
      <c r="S485" s="37">
        <v>17.119583</v>
      </c>
      <c r="T485" s="37">
        <v>-88.301528</v>
      </c>
      <c r="U485" s="36" t="s">
        <v>674</v>
      </c>
      <c r="V485" s="6" t="s">
        <v>275</v>
      </c>
      <c r="W485" s="33" t="s">
        <v>656</v>
      </c>
      <c r="X485" s="1" t="s">
        <v>278</v>
      </c>
      <c r="Y485" s="33" t="s">
        <v>279</v>
      </c>
      <c r="Z485" s="36"/>
      <c r="AA485" s="37">
        <v>2.0</v>
      </c>
      <c r="AB485" s="36"/>
      <c r="AC485" s="36"/>
      <c r="AD485" s="36"/>
      <c r="AE485" s="36"/>
      <c r="AF485" s="36"/>
      <c r="AG485" s="36"/>
      <c r="AH485" s="36" t="s">
        <v>675</v>
      </c>
      <c r="AI485" s="38" t="s">
        <v>72</v>
      </c>
      <c r="AJ485" s="38" t="s">
        <v>72</v>
      </c>
      <c r="AK485" s="6" t="s">
        <v>100</v>
      </c>
      <c r="AL485" s="6" t="s">
        <v>76</v>
      </c>
      <c r="AM485" s="6" t="s">
        <v>524</v>
      </c>
      <c r="AN485" s="6" t="s">
        <v>72</v>
      </c>
      <c r="AO485" s="33"/>
      <c r="AP485" s="6" t="s">
        <v>75</v>
      </c>
      <c r="AQ485" s="33"/>
      <c r="AR485" s="33"/>
      <c r="AS485" s="33"/>
      <c r="AT485" s="6" t="s">
        <v>76</v>
      </c>
      <c r="AU485" s="33"/>
      <c r="AV485" s="33"/>
      <c r="AW485" s="33"/>
      <c r="AX485" s="33"/>
      <c r="AY485" s="33"/>
      <c r="AZ485" s="6" t="s">
        <v>76</v>
      </c>
      <c r="BA485" s="33"/>
      <c r="BB485" s="33">
        <f>VLOOKUP(O485,Eco_DEM_Data!$D$1:$AC$643,20,False)</f>
        <v>2143</v>
      </c>
      <c r="BC485" s="33">
        <f>VLOOKUP($O485,Eco_DEM_Data!$D$1:$AC$643,20,False)</f>
        <v>2143</v>
      </c>
      <c r="BD485" s="33">
        <f>VLOOKUP($O485,Eco_DEM_Data!$D$1:$AC$643,25,False)</f>
        <v>827</v>
      </c>
      <c r="BE485" s="33">
        <f>VLOOKUP($O485,Eco_DEM_Data!$D$1:$AC$643,22,False)</f>
        <v>54</v>
      </c>
      <c r="BF485" s="33">
        <f>VLOOKUP($O485,Eco_DEM_Data!$D$1:$AC$643,23,False)</f>
        <v>177</v>
      </c>
      <c r="BG485" s="33">
        <f>VLOOKUP($O485,Eco_DEM_Data!$D$1:$AC$643,21,False)</f>
        <v>5251</v>
      </c>
      <c r="BH485" s="33">
        <f>VLOOKUP($O485,Eco_DEM_Data!$D$1:$AC$643,26,False)</f>
        <v>3</v>
      </c>
      <c r="BI485" s="33" t="str">
        <f>VLOOKUP($O485,Eco_DEM_Data!$D$1:$AC$643,9,False)</f>
        <v>Petén-Veracruz moist forests</v>
      </c>
      <c r="BJ485" s="33" t="str">
        <f>VLOOKUP($O485,Eco_DEM_Data!$D$1:$AC$643,11,False)</f>
        <v>Tropical &amp; Subtropical Moist Broadleaf Forests</v>
      </c>
    </row>
    <row r="486">
      <c r="A486" s="33" t="s">
        <v>647</v>
      </c>
      <c r="B486" s="33" t="s">
        <v>2258</v>
      </c>
      <c r="C486" s="34">
        <v>26.0</v>
      </c>
      <c r="D486" s="33" t="s">
        <v>53</v>
      </c>
      <c r="E486" s="34">
        <v>2017.0</v>
      </c>
      <c r="F486" s="33" t="s">
        <v>648</v>
      </c>
      <c r="G486" s="33" t="s">
        <v>649</v>
      </c>
      <c r="H486" s="33" t="s">
        <v>650</v>
      </c>
      <c r="I486" s="33" t="s">
        <v>651</v>
      </c>
      <c r="J486" s="33" t="s">
        <v>652</v>
      </c>
      <c r="K486" s="34">
        <v>106.0</v>
      </c>
      <c r="L486" s="34">
        <v>1.0</v>
      </c>
      <c r="M486" s="6" t="s">
        <v>653</v>
      </c>
      <c r="N486" s="35" t="s">
        <v>60</v>
      </c>
      <c r="O486" s="33" t="s">
        <v>679</v>
      </c>
      <c r="P486" s="36" t="s">
        <v>62</v>
      </c>
      <c r="Q486" s="36" t="s">
        <v>187</v>
      </c>
      <c r="R486" s="36" t="s">
        <v>680</v>
      </c>
      <c r="S486" s="37">
        <v>17.060444</v>
      </c>
      <c r="T486" s="37">
        <v>-88.253278</v>
      </c>
      <c r="U486" s="36" t="s">
        <v>148</v>
      </c>
      <c r="V486" s="6" t="s">
        <v>275</v>
      </c>
      <c r="W486" s="33" t="s">
        <v>656</v>
      </c>
      <c r="X486" s="1" t="s">
        <v>278</v>
      </c>
      <c r="Y486" s="33" t="s">
        <v>279</v>
      </c>
      <c r="Z486" s="36"/>
      <c r="AA486" s="37">
        <v>2.0</v>
      </c>
      <c r="AB486" s="36"/>
      <c r="AC486" s="36"/>
      <c r="AD486" s="36"/>
      <c r="AE486" s="36"/>
      <c r="AF486" s="36"/>
      <c r="AG486" s="36"/>
      <c r="AH486" s="36" t="s">
        <v>663</v>
      </c>
      <c r="AI486" s="38" t="s">
        <v>72</v>
      </c>
      <c r="AJ486" s="38" t="s">
        <v>72</v>
      </c>
      <c r="AK486" s="6" t="s">
        <v>100</v>
      </c>
      <c r="AL486" s="6" t="s">
        <v>76</v>
      </c>
      <c r="AM486" s="6" t="s">
        <v>524</v>
      </c>
      <c r="AN486" s="6" t="s">
        <v>72</v>
      </c>
      <c r="AO486" s="33"/>
      <c r="AP486" s="6" t="s">
        <v>75</v>
      </c>
      <c r="AQ486" s="33"/>
      <c r="AR486" s="33"/>
      <c r="AS486" s="33"/>
      <c r="AT486" s="6" t="s">
        <v>76</v>
      </c>
      <c r="AU486" s="33"/>
      <c r="AV486" s="33"/>
      <c r="AW486" s="33"/>
      <c r="AX486" s="33"/>
      <c r="AY486" s="33"/>
      <c r="AZ486" s="6" t="s">
        <v>76</v>
      </c>
      <c r="BA486" s="33"/>
      <c r="BB486" s="33">
        <f>VLOOKUP(O486,Eco_DEM_Data!$D$1:$AC$643,20,False)</f>
        <v>2197</v>
      </c>
      <c r="BC486" s="33">
        <f>VLOOKUP($O486,Eco_DEM_Data!$D$1:$AC$643,20,False)</f>
        <v>2197</v>
      </c>
      <c r="BD486" s="33">
        <f>VLOOKUP($O486,Eco_DEM_Data!$D$1:$AC$643,25,False)</f>
        <v>842</v>
      </c>
      <c r="BE486" s="33">
        <f>VLOOKUP($O486,Eco_DEM_Data!$D$1:$AC$643,22,False)</f>
        <v>55</v>
      </c>
      <c r="BF486" s="33">
        <f>VLOOKUP($O486,Eco_DEM_Data!$D$1:$AC$643,23,False)</f>
        <v>182</v>
      </c>
      <c r="BG486" s="33">
        <f>VLOOKUP($O486,Eco_DEM_Data!$D$1:$AC$643,21,False)</f>
        <v>5170</v>
      </c>
      <c r="BH486" s="33">
        <f>VLOOKUP($O486,Eco_DEM_Data!$D$1:$AC$643,26,False)</f>
        <v>3</v>
      </c>
      <c r="BI486" s="33" t="str">
        <f>VLOOKUP($O486,Eco_DEM_Data!$D$1:$AC$643,9,False)</f>
        <v>Mesoamerican Gulf-Caribbean mangroves</v>
      </c>
      <c r="BJ486" s="33" t="str">
        <f>VLOOKUP($O486,Eco_DEM_Data!$D$1:$AC$643,11,False)</f>
        <v>Mangroves</v>
      </c>
    </row>
    <row r="487">
      <c r="A487" s="33" t="s">
        <v>647</v>
      </c>
      <c r="B487" s="33" t="s">
        <v>2258</v>
      </c>
      <c r="C487" s="34">
        <v>26.0</v>
      </c>
      <c r="D487" s="33" t="s">
        <v>53</v>
      </c>
      <c r="E487" s="34">
        <v>2017.0</v>
      </c>
      <c r="F487" s="33" t="s">
        <v>648</v>
      </c>
      <c r="G487" s="33" t="s">
        <v>649</v>
      </c>
      <c r="H487" s="33" t="s">
        <v>650</v>
      </c>
      <c r="I487" s="33" t="s">
        <v>651</v>
      </c>
      <c r="J487" s="33" t="s">
        <v>652</v>
      </c>
      <c r="K487" s="34">
        <v>106.0</v>
      </c>
      <c r="L487" s="34">
        <v>1.0</v>
      </c>
      <c r="M487" s="6" t="s">
        <v>653</v>
      </c>
      <c r="N487" s="35" t="s">
        <v>60</v>
      </c>
      <c r="O487" s="33" t="s">
        <v>681</v>
      </c>
      <c r="P487" s="36" t="s">
        <v>62</v>
      </c>
      <c r="Q487" s="36" t="s">
        <v>187</v>
      </c>
      <c r="R487" s="36" t="s">
        <v>680</v>
      </c>
      <c r="S487" s="37">
        <v>17.057528</v>
      </c>
      <c r="T487" s="37">
        <v>-88.274111</v>
      </c>
      <c r="U487" s="36" t="s">
        <v>148</v>
      </c>
      <c r="V487" s="6" t="s">
        <v>275</v>
      </c>
      <c r="W487" s="33" t="s">
        <v>656</v>
      </c>
      <c r="X487" s="1" t="s">
        <v>278</v>
      </c>
      <c r="Y487" s="33" t="s">
        <v>279</v>
      </c>
      <c r="Z487" s="36"/>
      <c r="AA487" s="37"/>
      <c r="AB487" s="36"/>
      <c r="AC487" s="36"/>
      <c r="AD487" s="36"/>
      <c r="AE487" s="36"/>
      <c r="AF487" s="36"/>
      <c r="AG487" s="36"/>
      <c r="AH487" s="38" t="s">
        <v>72</v>
      </c>
      <c r="AI487" s="38" t="s">
        <v>72</v>
      </c>
      <c r="AJ487" s="38" t="s">
        <v>72</v>
      </c>
      <c r="AK487" s="6" t="s">
        <v>100</v>
      </c>
      <c r="AL487" s="6" t="s">
        <v>76</v>
      </c>
      <c r="AM487" s="6" t="s">
        <v>524</v>
      </c>
      <c r="AN487" s="6" t="s">
        <v>72</v>
      </c>
      <c r="AO487" s="33"/>
      <c r="AP487" s="6" t="s">
        <v>75</v>
      </c>
      <c r="AQ487" s="33"/>
      <c r="AR487" s="33"/>
      <c r="AS487" s="33"/>
      <c r="AT487" s="6" t="s">
        <v>76</v>
      </c>
      <c r="AU487" s="33"/>
      <c r="AV487" s="33"/>
      <c r="AW487" s="33"/>
      <c r="AX487" s="33"/>
      <c r="AY487" s="33"/>
      <c r="AZ487" s="6" t="s">
        <v>76</v>
      </c>
      <c r="BA487" s="33"/>
      <c r="BB487" s="33">
        <f>VLOOKUP(O487,Eco_DEM_Data!$D$1:$AC$643,20,False)</f>
        <v>2229</v>
      </c>
      <c r="BC487" s="33">
        <f>VLOOKUP($O487,Eco_DEM_Data!$D$1:$AC$643,20,False)</f>
        <v>2229</v>
      </c>
      <c r="BD487" s="33">
        <f>VLOOKUP($O487,Eco_DEM_Data!$D$1:$AC$643,25,False)</f>
        <v>851</v>
      </c>
      <c r="BE487" s="33">
        <f>VLOOKUP($O487,Eco_DEM_Data!$D$1:$AC$643,22,False)</f>
        <v>56</v>
      </c>
      <c r="BF487" s="33">
        <f>VLOOKUP($O487,Eco_DEM_Data!$D$1:$AC$643,23,False)</f>
        <v>185</v>
      </c>
      <c r="BG487" s="33">
        <f>VLOOKUP($O487,Eco_DEM_Data!$D$1:$AC$643,21,False)</f>
        <v>5127</v>
      </c>
      <c r="BH487" s="33">
        <f>VLOOKUP($O487,Eco_DEM_Data!$D$1:$AC$643,26,False)</f>
        <v>1</v>
      </c>
      <c r="BI487" s="33" t="str">
        <f>VLOOKUP($O487,Eco_DEM_Data!$D$1:$AC$643,9,False)</f>
        <v>Petén-Veracruz moist forests</v>
      </c>
      <c r="BJ487" s="33" t="str">
        <f>VLOOKUP($O487,Eco_DEM_Data!$D$1:$AC$643,11,False)</f>
        <v>Tropical &amp; Subtropical Moist Broadleaf Forests</v>
      </c>
    </row>
    <row r="488">
      <c r="A488" s="33" t="s">
        <v>647</v>
      </c>
      <c r="B488" s="33" t="s">
        <v>2258</v>
      </c>
      <c r="C488" s="34">
        <v>26.0</v>
      </c>
      <c r="D488" s="33" t="s">
        <v>53</v>
      </c>
      <c r="E488" s="34">
        <v>2017.0</v>
      </c>
      <c r="F488" s="33" t="s">
        <v>648</v>
      </c>
      <c r="G488" s="33" t="s">
        <v>649</v>
      </c>
      <c r="H488" s="33" t="s">
        <v>650</v>
      </c>
      <c r="I488" s="33" t="s">
        <v>651</v>
      </c>
      <c r="J488" s="33" t="s">
        <v>652</v>
      </c>
      <c r="K488" s="34">
        <v>106.0</v>
      </c>
      <c r="L488" s="34">
        <v>1.0</v>
      </c>
      <c r="M488" s="6" t="s">
        <v>653</v>
      </c>
      <c r="N488" s="35" t="s">
        <v>60</v>
      </c>
      <c r="O488" s="33" t="s">
        <v>690</v>
      </c>
      <c r="P488" s="36" t="s">
        <v>62</v>
      </c>
      <c r="Q488" s="36" t="s">
        <v>187</v>
      </c>
      <c r="R488" s="36" t="s">
        <v>680</v>
      </c>
      <c r="S488" s="37">
        <v>17.057139</v>
      </c>
      <c r="T488" s="37">
        <v>-88.256167</v>
      </c>
      <c r="U488" s="36" t="s">
        <v>148</v>
      </c>
      <c r="V488" s="6" t="s">
        <v>275</v>
      </c>
      <c r="W488" s="33" t="s">
        <v>656</v>
      </c>
      <c r="X488" s="1" t="s">
        <v>278</v>
      </c>
      <c r="Y488" s="33" t="s">
        <v>279</v>
      </c>
      <c r="Z488" s="36"/>
      <c r="AA488" s="37">
        <v>3.0</v>
      </c>
      <c r="AB488" s="36"/>
      <c r="AC488" s="36"/>
      <c r="AD488" s="36"/>
      <c r="AE488" s="36"/>
      <c r="AF488" s="36"/>
      <c r="AG488" s="36"/>
      <c r="AH488" s="36" t="s">
        <v>657</v>
      </c>
      <c r="AI488" s="38" t="s">
        <v>72</v>
      </c>
      <c r="AJ488" s="38" t="s">
        <v>72</v>
      </c>
      <c r="AK488" s="6" t="s">
        <v>100</v>
      </c>
      <c r="AL488" s="6" t="s">
        <v>76</v>
      </c>
      <c r="AM488" s="6" t="s">
        <v>524</v>
      </c>
      <c r="AN488" s="6" t="s">
        <v>72</v>
      </c>
      <c r="AO488" s="33"/>
      <c r="AP488" s="6" t="s">
        <v>75</v>
      </c>
      <c r="AQ488" s="33"/>
      <c r="AR488" s="33"/>
      <c r="AS488" s="33"/>
      <c r="AT488" s="6" t="s">
        <v>76</v>
      </c>
      <c r="AU488" s="33"/>
      <c r="AV488" s="33"/>
      <c r="AW488" s="33"/>
      <c r="AX488" s="33"/>
      <c r="AY488" s="33"/>
      <c r="AZ488" s="6" t="s">
        <v>76</v>
      </c>
      <c r="BA488" s="33"/>
      <c r="BB488" s="33">
        <f>VLOOKUP(O488,Eco_DEM_Data!$D$1:$AC$643,20,False)</f>
        <v>2205</v>
      </c>
      <c r="BC488" s="33">
        <f>VLOOKUP($O488,Eco_DEM_Data!$D$1:$AC$643,20,False)</f>
        <v>2205</v>
      </c>
      <c r="BD488" s="33">
        <f>VLOOKUP($O488,Eco_DEM_Data!$D$1:$AC$643,25,False)</f>
        <v>846</v>
      </c>
      <c r="BE488" s="33">
        <f>VLOOKUP($O488,Eco_DEM_Data!$D$1:$AC$643,22,False)</f>
        <v>56</v>
      </c>
      <c r="BF488" s="33">
        <f>VLOOKUP($O488,Eco_DEM_Data!$D$1:$AC$643,23,False)</f>
        <v>184</v>
      </c>
      <c r="BG488" s="33">
        <f>VLOOKUP($O488,Eco_DEM_Data!$D$1:$AC$643,21,False)</f>
        <v>5151</v>
      </c>
      <c r="BH488" s="33">
        <f>VLOOKUP($O488,Eco_DEM_Data!$D$1:$AC$643,26,False)</f>
        <v>2</v>
      </c>
      <c r="BI488" s="33" t="str">
        <f>VLOOKUP($O488,Eco_DEM_Data!$D$1:$AC$643,9,False)</f>
        <v>Mesoamerican Gulf-Caribbean mangroves</v>
      </c>
      <c r="BJ488" s="33" t="str">
        <f>VLOOKUP($O488,Eco_DEM_Data!$D$1:$AC$643,11,False)</f>
        <v>Mangroves</v>
      </c>
    </row>
    <row r="489">
      <c r="A489" s="33" t="s">
        <v>647</v>
      </c>
      <c r="B489" s="33" t="s">
        <v>2258</v>
      </c>
      <c r="C489" s="34">
        <v>26.0</v>
      </c>
      <c r="D489" s="33" t="s">
        <v>53</v>
      </c>
      <c r="E489" s="34">
        <v>2017.0</v>
      </c>
      <c r="F489" s="33" t="s">
        <v>648</v>
      </c>
      <c r="G489" s="33" t="s">
        <v>649</v>
      </c>
      <c r="H489" s="33" t="s">
        <v>650</v>
      </c>
      <c r="I489" s="33" t="s">
        <v>651</v>
      </c>
      <c r="J489" s="33" t="s">
        <v>652</v>
      </c>
      <c r="K489" s="34">
        <v>106.0</v>
      </c>
      <c r="L489" s="34">
        <v>1.0</v>
      </c>
      <c r="M489" s="6" t="s">
        <v>653</v>
      </c>
      <c r="N489" s="35" t="s">
        <v>60</v>
      </c>
      <c r="O489" s="33" t="s">
        <v>691</v>
      </c>
      <c r="P489" s="36" t="s">
        <v>62</v>
      </c>
      <c r="Q489" s="36" t="s">
        <v>187</v>
      </c>
      <c r="R489" s="36" t="s">
        <v>680</v>
      </c>
      <c r="S489" s="37">
        <v>17.05425</v>
      </c>
      <c r="T489" s="37">
        <v>-88.243861</v>
      </c>
      <c r="U489" s="36" t="s">
        <v>148</v>
      </c>
      <c r="V489" s="6" t="s">
        <v>275</v>
      </c>
      <c r="W489" s="33" t="s">
        <v>656</v>
      </c>
      <c r="X489" s="1" t="s">
        <v>278</v>
      </c>
      <c r="Y489" s="33" t="s">
        <v>279</v>
      </c>
      <c r="Z489" s="36"/>
      <c r="AA489" s="37">
        <v>4.0</v>
      </c>
      <c r="AB489" s="36"/>
      <c r="AC489" s="36"/>
      <c r="AD489" s="36"/>
      <c r="AE489" s="36"/>
      <c r="AF489" s="36"/>
      <c r="AG489" s="36"/>
      <c r="AH489" s="36" t="s">
        <v>692</v>
      </c>
      <c r="AI489" s="38" t="s">
        <v>72</v>
      </c>
      <c r="AJ489" s="38" t="s">
        <v>72</v>
      </c>
      <c r="AK489" s="6" t="s">
        <v>100</v>
      </c>
      <c r="AL489" s="6" t="s">
        <v>76</v>
      </c>
      <c r="AM489" s="6" t="s">
        <v>524</v>
      </c>
      <c r="AN489" s="6" t="s">
        <v>72</v>
      </c>
      <c r="AO489" s="33"/>
      <c r="AP489" s="6" t="s">
        <v>75</v>
      </c>
      <c r="AQ489" s="33"/>
      <c r="AR489" s="33"/>
      <c r="AS489" s="33"/>
      <c r="AT489" s="6" t="s">
        <v>76</v>
      </c>
      <c r="AU489" s="33"/>
      <c r="AV489" s="33"/>
      <c r="AW489" s="33"/>
      <c r="AX489" s="33"/>
      <c r="AY489" s="33"/>
      <c r="AZ489" s="6" t="s">
        <v>76</v>
      </c>
      <c r="BA489" s="33"/>
      <c r="BB489" s="33">
        <f>VLOOKUP(O489,Eco_DEM_Data!$D$1:$AC$643,20,False)</f>
        <v>2193</v>
      </c>
      <c r="BC489" s="33">
        <f>VLOOKUP($O489,Eco_DEM_Data!$D$1:$AC$643,20,False)</f>
        <v>2193</v>
      </c>
      <c r="BD489" s="33">
        <f>VLOOKUP($O489,Eco_DEM_Data!$D$1:$AC$643,25,False)</f>
        <v>842</v>
      </c>
      <c r="BE489" s="33">
        <f>VLOOKUP($O489,Eco_DEM_Data!$D$1:$AC$643,22,False)</f>
        <v>55</v>
      </c>
      <c r="BF489" s="33">
        <f>VLOOKUP($O489,Eco_DEM_Data!$D$1:$AC$643,23,False)</f>
        <v>182</v>
      </c>
      <c r="BG489" s="33">
        <f>VLOOKUP($O489,Eco_DEM_Data!$D$1:$AC$643,21,False)</f>
        <v>5158</v>
      </c>
      <c r="BH489" s="33">
        <f>VLOOKUP($O489,Eco_DEM_Data!$D$1:$AC$643,26,False)</f>
        <v>2</v>
      </c>
      <c r="BI489" s="33" t="str">
        <f>VLOOKUP($O489,Eco_DEM_Data!$D$1:$AC$643,9,False)</f>
        <v>Mesoamerican Gulf-Caribbean mangroves</v>
      </c>
      <c r="BJ489" s="33" t="str">
        <f>VLOOKUP($O489,Eco_DEM_Data!$D$1:$AC$643,11,False)</f>
        <v>Mangroves</v>
      </c>
    </row>
    <row r="490">
      <c r="A490" s="33" t="s">
        <v>647</v>
      </c>
      <c r="B490" s="33" t="s">
        <v>2258</v>
      </c>
      <c r="C490" s="34">
        <v>26.0</v>
      </c>
      <c r="D490" s="33" t="s">
        <v>53</v>
      </c>
      <c r="E490" s="34">
        <v>2017.0</v>
      </c>
      <c r="F490" s="33" t="s">
        <v>648</v>
      </c>
      <c r="G490" s="33" t="s">
        <v>649</v>
      </c>
      <c r="H490" s="33" t="s">
        <v>650</v>
      </c>
      <c r="I490" s="33" t="s">
        <v>651</v>
      </c>
      <c r="J490" s="33" t="s">
        <v>652</v>
      </c>
      <c r="K490" s="34">
        <v>106.0</v>
      </c>
      <c r="L490" s="34">
        <v>1.0</v>
      </c>
      <c r="M490" s="6" t="s">
        <v>653</v>
      </c>
      <c r="N490" s="35" t="s">
        <v>60</v>
      </c>
      <c r="O490" s="33" t="s">
        <v>693</v>
      </c>
      <c r="P490" s="36" t="s">
        <v>62</v>
      </c>
      <c r="Q490" s="36" t="s">
        <v>187</v>
      </c>
      <c r="R490" s="36" t="s">
        <v>680</v>
      </c>
      <c r="S490" s="37">
        <v>17.053583</v>
      </c>
      <c r="T490" s="37">
        <v>-88.270444</v>
      </c>
      <c r="U490" s="36" t="s">
        <v>148</v>
      </c>
      <c r="V490" s="6" t="s">
        <v>275</v>
      </c>
      <c r="W490" s="33" t="s">
        <v>656</v>
      </c>
      <c r="X490" s="1" t="s">
        <v>278</v>
      </c>
      <c r="Y490" s="33" t="s">
        <v>279</v>
      </c>
      <c r="Z490" s="36"/>
      <c r="AA490" s="37">
        <v>1.0</v>
      </c>
      <c r="AB490" s="36"/>
      <c r="AC490" s="36"/>
      <c r="AD490" s="36"/>
      <c r="AE490" s="36"/>
      <c r="AF490" s="36"/>
      <c r="AG490" s="36"/>
      <c r="AH490" s="36" t="s">
        <v>663</v>
      </c>
      <c r="AI490" s="38" t="s">
        <v>72</v>
      </c>
      <c r="AJ490" s="38" t="s">
        <v>72</v>
      </c>
      <c r="AK490" s="6" t="s">
        <v>100</v>
      </c>
      <c r="AL490" s="6" t="s">
        <v>76</v>
      </c>
      <c r="AM490" s="6" t="s">
        <v>524</v>
      </c>
      <c r="AN490" s="6" t="s">
        <v>72</v>
      </c>
      <c r="AO490" s="33"/>
      <c r="AP490" s="6" t="s">
        <v>75</v>
      </c>
      <c r="AQ490" s="33"/>
      <c r="AR490" s="33"/>
      <c r="AS490" s="33"/>
      <c r="AT490" s="6" t="s">
        <v>76</v>
      </c>
      <c r="AU490" s="33"/>
      <c r="AV490" s="33"/>
      <c r="AW490" s="33"/>
      <c r="AX490" s="33"/>
      <c r="AY490" s="33"/>
      <c r="AZ490" s="6" t="s">
        <v>76</v>
      </c>
      <c r="BA490" s="33"/>
      <c r="BB490" s="33">
        <f>VLOOKUP(O490,Eco_DEM_Data!$D$1:$AC$643,20,False)</f>
        <v>2229</v>
      </c>
      <c r="BC490" s="33">
        <f>VLOOKUP($O490,Eco_DEM_Data!$D$1:$AC$643,20,False)</f>
        <v>2229</v>
      </c>
      <c r="BD490" s="33">
        <f>VLOOKUP($O490,Eco_DEM_Data!$D$1:$AC$643,25,False)</f>
        <v>851</v>
      </c>
      <c r="BE490" s="33">
        <f>VLOOKUP($O490,Eco_DEM_Data!$D$1:$AC$643,22,False)</f>
        <v>56</v>
      </c>
      <c r="BF490" s="33">
        <f>VLOOKUP($O490,Eco_DEM_Data!$D$1:$AC$643,23,False)</f>
        <v>185</v>
      </c>
      <c r="BG490" s="33">
        <f>VLOOKUP($O490,Eco_DEM_Data!$D$1:$AC$643,21,False)</f>
        <v>5127</v>
      </c>
      <c r="BH490" s="33">
        <f>VLOOKUP($O490,Eco_DEM_Data!$D$1:$AC$643,26,False)</f>
        <v>1</v>
      </c>
      <c r="BI490" s="33" t="str">
        <f>VLOOKUP($O490,Eco_DEM_Data!$D$1:$AC$643,9,False)</f>
        <v>Petén-Veracruz moist forests</v>
      </c>
      <c r="BJ490" s="33" t="str">
        <f>VLOOKUP($O490,Eco_DEM_Data!$D$1:$AC$643,11,False)</f>
        <v>Tropical &amp; Subtropical Moist Broadleaf Forests</v>
      </c>
    </row>
    <row r="491">
      <c r="A491" s="33" t="s">
        <v>647</v>
      </c>
      <c r="B491" s="33" t="s">
        <v>2258</v>
      </c>
      <c r="C491" s="34">
        <v>26.0</v>
      </c>
      <c r="D491" s="33" t="s">
        <v>53</v>
      </c>
      <c r="E491" s="34">
        <v>2017.0</v>
      </c>
      <c r="F491" s="33" t="s">
        <v>648</v>
      </c>
      <c r="G491" s="33" t="s">
        <v>649</v>
      </c>
      <c r="H491" s="33" t="s">
        <v>650</v>
      </c>
      <c r="I491" s="33" t="s">
        <v>651</v>
      </c>
      <c r="J491" s="33" t="s">
        <v>652</v>
      </c>
      <c r="K491" s="34">
        <v>106.0</v>
      </c>
      <c r="L491" s="34">
        <v>1.0</v>
      </c>
      <c r="M491" s="6" t="s">
        <v>653</v>
      </c>
      <c r="N491" s="35" t="s">
        <v>60</v>
      </c>
      <c r="O491" s="33" t="s">
        <v>694</v>
      </c>
      <c r="P491" s="36" t="s">
        <v>62</v>
      </c>
      <c r="Q491" s="36" t="s">
        <v>187</v>
      </c>
      <c r="R491" s="36" t="s">
        <v>680</v>
      </c>
      <c r="S491" s="37">
        <v>17.051194</v>
      </c>
      <c r="T491" s="37">
        <v>-88.263361</v>
      </c>
      <c r="U491" s="36" t="s">
        <v>148</v>
      </c>
      <c r="V491" s="6" t="s">
        <v>275</v>
      </c>
      <c r="W491" s="33" t="s">
        <v>656</v>
      </c>
      <c r="X491" s="1" t="s">
        <v>278</v>
      </c>
      <c r="Y491" s="33" t="s">
        <v>279</v>
      </c>
      <c r="Z491" s="36"/>
      <c r="AA491" s="37">
        <v>3.0</v>
      </c>
      <c r="AB491" s="36"/>
      <c r="AC491" s="36"/>
      <c r="AD491" s="36"/>
      <c r="AE491" s="36"/>
      <c r="AF491" s="36"/>
      <c r="AG491" s="36"/>
      <c r="AH491" s="36" t="s">
        <v>657</v>
      </c>
      <c r="AI491" s="38" t="s">
        <v>72</v>
      </c>
      <c r="AJ491" s="38" t="s">
        <v>72</v>
      </c>
      <c r="AK491" s="6" t="s">
        <v>100</v>
      </c>
      <c r="AL491" s="6" t="s">
        <v>76</v>
      </c>
      <c r="AM491" s="6" t="s">
        <v>524</v>
      </c>
      <c r="AN491" s="6" t="s">
        <v>72</v>
      </c>
      <c r="AO491" s="33"/>
      <c r="AP491" s="6" t="s">
        <v>75</v>
      </c>
      <c r="AQ491" s="33"/>
      <c r="AR491" s="33"/>
      <c r="AS491" s="33"/>
      <c r="AT491" s="6" t="s">
        <v>76</v>
      </c>
      <c r="AU491" s="33"/>
      <c r="AV491" s="33"/>
      <c r="AW491" s="33"/>
      <c r="AX491" s="33"/>
      <c r="AY491" s="33"/>
      <c r="AZ491" s="6" t="s">
        <v>76</v>
      </c>
      <c r="BA491" s="33"/>
      <c r="BB491" s="33">
        <f>VLOOKUP(O491,Eco_DEM_Data!$D$1:$AC$643,20,False)</f>
        <v>2212</v>
      </c>
      <c r="BC491" s="33">
        <f>VLOOKUP($O491,Eco_DEM_Data!$D$1:$AC$643,20,False)</f>
        <v>2212</v>
      </c>
      <c r="BD491" s="33">
        <f>VLOOKUP($O491,Eco_DEM_Data!$D$1:$AC$643,25,False)</f>
        <v>848</v>
      </c>
      <c r="BE491" s="33">
        <f>VLOOKUP($O491,Eco_DEM_Data!$D$1:$AC$643,22,False)</f>
        <v>56</v>
      </c>
      <c r="BF491" s="33">
        <f>VLOOKUP($O491,Eco_DEM_Data!$D$1:$AC$643,23,False)</f>
        <v>184</v>
      </c>
      <c r="BG491" s="33">
        <f>VLOOKUP($O491,Eco_DEM_Data!$D$1:$AC$643,21,False)</f>
        <v>5160</v>
      </c>
      <c r="BH491" s="33">
        <f>VLOOKUP($O491,Eco_DEM_Data!$D$1:$AC$643,26,False)</f>
        <v>1</v>
      </c>
      <c r="BI491" s="33" t="str">
        <f>VLOOKUP($O491,Eco_DEM_Data!$D$1:$AC$643,9,False)</f>
        <v>Petén-Veracruz moist forests</v>
      </c>
      <c r="BJ491" s="33" t="str">
        <f>VLOOKUP($O491,Eco_DEM_Data!$D$1:$AC$643,11,False)</f>
        <v>Tropical &amp; Subtropical Moist Broadleaf Forests</v>
      </c>
    </row>
    <row r="492">
      <c r="A492" s="33" t="s">
        <v>647</v>
      </c>
      <c r="B492" s="33" t="s">
        <v>2258</v>
      </c>
      <c r="C492" s="34">
        <v>26.0</v>
      </c>
      <c r="D492" s="33" t="s">
        <v>53</v>
      </c>
      <c r="E492" s="34">
        <v>2017.0</v>
      </c>
      <c r="F492" s="33" t="s">
        <v>648</v>
      </c>
      <c r="G492" s="33" t="s">
        <v>649</v>
      </c>
      <c r="H492" s="33" t="s">
        <v>650</v>
      </c>
      <c r="I492" s="50" t="s">
        <v>651</v>
      </c>
      <c r="J492" s="33" t="s">
        <v>652</v>
      </c>
      <c r="K492" s="34">
        <v>106.0</v>
      </c>
      <c r="L492" s="34">
        <v>1.0</v>
      </c>
      <c r="M492" s="6" t="s">
        <v>653</v>
      </c>
      <c r="N492" s="35" t="s">
        <v>60</v>
      </c>
      <c r="O492" s="33" t="s">
        <v>695</v>
      </c>
      <c r="P492" s="36" t="s">
        <v>62</v>
      </c>
      <c r="Q492" s="36" t="s">
        <v>187</v>
      </c>
      <c r="R492" s="36" t="s">
        <v>696</v>
      </c>
      <c r="S492" s="37">
        <v>16.902278</v>
      </c>
      <c r="T492" s="37">
        <v>-88.288056</v>
      </c>
      <c r="U492" s="36" t="s">
        <v>148</v>
      </c>
      <c r="V492" s="6" t="s">
        <v>275</v>
      </c>
      <c r="W492" s="33" t="s">
        <v>656</v>
      </c>
      <c r="X492" s="1" t="s">
        <v>278</v>
      </c>
      <c r="Y492" s="33" t="s">
        <v>279</v>
      </c>
      <c r="Z492" s="36"/>
      <c r="AA492" s="37">
        <v>2.0</v>
      </c>
      <c r="AB492" s="36"/>
      <c r="AC492" s="36"/>
      <c r="AD492" s="36"/>
      <c r="AE492" s="36"/>
      <c r="AF492" s="36"/>
      <c r="AG492" s="36"/>
      <c r="AH492" s="36" t="s">
        <v>675</v>
      </c>
      <c r="AI492" s="38" t="s">
        <v>72</v>
      </c>
      <c r="AJ492" s="38" t="s">
        <v>72</v>
      </c>
      <c r="AK492" s="6" t="s">
        <v>100</v>
      </c>
      <c r="AL492" s="6" t="s">
        <v>76</v>
      </c>
      <c r="AM492" s="6" t="s">
        <v>524</v>
      </c>
      <c r="AN492" s="6" t="s">
        <v>72</v>
      </c>
      <c r="AO492" s="33"/>
      <c r="AP492" s="6" t="s">
        <v>75</v>
      </c>
      <c r="AQ492" s="33"/>
      <c r="AR492" s="33"/>
      <c r="AS492" s="33"/>
      <c r="AT492" s="6" t="s">
        <v>76</v>
      </c>
      <c r="AU492" s="33"/>
      <c r="AV492" s="33"/>
      <c r="AW492" s="33"/>
      <c r="AX492" s="33"/>
      <c r="AY492" s="33"/>
      <c r="AZ492" s="6" t="s">
        <v>76</v>
      </c>
      <c r="BA492" s="33"/>
      <c r="BB492" s="33">
        <f>VLOOKUP(O492,Eco_DEM_Data!$D$1:$AC$643,20,False)</f>
        <v>2221</v>
      </c>
      <c r="BC492" s="33">
        <f>VLOOKUP($O492,Eco_DEM_Data!$D$1:$AC$643,20,False)</f>
        <v>2221</v>
      </c>
      <c r="BD492" s="33">
        <f>VLOOKUP($O492,Eco_DEM_Data!$D$1:$AC$643,25,False)</f>
        <v>870</v>
      </c>
      <c r="BE492" s="33">
        <f>VLOOKUP($O492,Eco_DEM_Data!$D$1:$AC$643,22,False)</f>
        <v>58</v>
      </c>
      <c r="BF492" s="33">
        <f>VLOOKUP($O492,Eco_DEM_Data!$D$1:$AC$643,23,False)</f>
        <v>182</v>
      </c>
      <c r="BG492" s="33">
        <f>VLOOKUP($O492,Eco_DEM_Data!$D$1:$AC$643,21,False)</f>
        <v>5250</v>
      </c>
      <c r="BH492" s="33">
        <f>VLOOKUP($O492,Eco_DEM_Data!$D$1:$AC$643,26,False)</f>
        <v>1</v>
      </c>
      <c r="BI492" s="33" t="str">
        <f>VLOOKUP($O492,Eco_DEM_Data!$D$1:$AC$643,9,False)</f>
        <v>Mesoamerican Gulf-Caribbean mangroves</v>
      </c>
      <c r="BJ492" s="33" t="str">
        <f>VLOOKUP($O492,Eco_DEM_Data!$D$1:$AC$643,11,False)</f>
        <v>Mangroves</v>
      </c>
    </row>
    <row r="493">
      <c r="A493" s="33" t="s">
        <v>647</v>
      </c>
      <c r="B493" s="33" t="s">
        <v>2258</v>
      </c>
      <c r="C493" s="34">
        <v>26.0</v>
      </c>
      <c r="D493" s="33" t="s">
        <v>53</v>
      </c>
      <c r="E493" s="34">
        <v>2017.0</v>
      </c>
      <c r="F493" s="33" t="s">
        <v>648</v>
      </c>
      <c r="G493" s="33" t="s">
        <v>649</v>
      </c>
      <c r="H493" s="33" t="s">
        <v>650</v>
      </c>
      <c r="I493" s="33" t="s">
        <v>651</v>
      </c>
      <c r="J493" s="33" t="s">
        <v>652</v>
      </c>
      <c r="K493" s="34">
        <v>106.0</v>
      </c>
      <c r="L493" s="34">
        <v>1.0</v>
      </c>
      <c r="M493" s="6" t="s">
        <v>653</v>
      </c>
      <c r="N493" s="35" t="s">
        <v>60</v>
      </c>
      <c r="O493" s="33" t="s">
        <v>697</v>
      </c>
      <c r="P493" s="36" t="s">
        <v>62</v>
      </c>
      <c r="Q493" s="36" t="s">
        <v>187</v>
      </c>
      <c r="R493" s="36" t="s">
        <v>696</v>
      </c>
      <c r="S493" s="37">
        <v>16.90125</v>
      </c>
      <c r="T493" s="37">
        <v>-88.282194</v>
      </c>
      <c r="U493" s="36" t="s">
        <v>148</v>
      </c>
      <c r="V493" s="6" t="s">
        <v>275</v>
      </c>
      <c r="W493" s="33" t="s">
        <v>656</v>
      </c>
      <c r="X493" s="1" t="s">
        <v>278</v>
      </c>
      <c r="Y493" s="33" t="s">
        <v>279</v>
      </c>
      <c r="Z493" s="36"/>
      <c r="AA493" s="37">
        <v>4.0</v>
      </c>
      <c r="AB493" s="36"/>
      <c r="AC493" s="36"/>
      <c r="AD493" s="36"/>
      <c r="AE493" s="36"/>
      <c r="AF493" s="36"/>
      <c r="AG493" s="36"/>
      <c r="AH493" s="36" t="s">
        <v>698</v>
      </c>
      <c r="AI493" s="38" t="s">
        <v>72</v>
      </c>
      <c r="AJ493" s="38" t="s">
        <v>72</v>
      </c>
      <c r="AK493" s="6" t="s">
        <v>100</v>
      </c>
      <c r="AL493" s="6" t="s">
        <v>76</v>
      </c>
      <c r="AM493" s="6" t="s">
        <v>524</v>
      </c>
      <c r="AN493" s="6" t="s">
        <v>72</v>
      </c>
      <c r="AO493" s="33"/>
      <c r="AP493" s="6" t="s">
        <v>75</v>
      </c>
      <c r="AQ493" s="33"/>
      <c r="AR493" s="33"/>
      <c r="AS493" s="33"/>
      <c r="AT493" s="6" t="s">
        <v>76</v>
      </c>
      <c r="AU493" s="33"/>
      <c r="AV493" s="33"/>
      <c r="AW493" s="33"/>
      <c r="AX493" s="33"/>
      <c r="AY493" s="33"/>
      <c r="AZ493" s="6" t="s">
        <v>76</v>
      </c>
      <c r="BA493" s="33"/>
      <c r="BB493" s="33">
        <f>VLOOKUP(O493,Eco_DEM_Data!$D$1:$AC$643,20,False)</f>
        <v>2221</v>
      </c>
      <c r="BC493" s="33">
        <f>VLOOKUP($O493,Eco_DEM_Data!$D$1:$AC$643,20,False)</f>
        <v>2221</v>
      </c>
      <c r="BD493" s="33">
        <f>VLOOKUP($O493,Eco_DEM_Data!$D$1:$AC$643,25,False)</f>
        <v>870</v>
      </c>
      <c r="BE493" s="33">
        <f>VLOOKUP($O493,Eco_DEM_Data!$D$1:$AC$643,22,False)</f>
        <v>58</v>
      </c>
      <c r="BF493" s="33">
        <f>VLOOKUP($O493,Eco_DEM_Data!$D$1:$AC$643,23,False)</f>
        <v>182</v>
      </c>
      <c r="BG493" s="33">
        <f>VLOOKUP($O493,Eco_DEM_Data!$D$1:$AC$643,21,False)</f>
        <v>5250</v>
      </c>
      <c r="BH493" s="33">
        <f>VLOOKUP($O493,Eco_DEM_Data!$D$1:$AC$643,26,False)</f>
        <v>1</v>
      </c>
      <c r="BI493" s="33" t="str">
        <f>VLOOKUP($O493,Eco_DEM_Data!$D$1:$AC$643,9,False)</f>
        <v>Mesoamerican Gulf-Caribbean mangroves</v>
      </c>
      <c r="BJ493" s="33" t="str">
        <f>VLOOKUP($O493,Eco_DEM_Data!$D$1:$AC$643,11,False)</f>
        <v>Mangroves</v>
      </c>
    </row>
    <row r="494">
      <c r="A494" s="33" t="s">
        <v>647</v>
      </c>
      <c r="B494" s="33" t="s">
        <v>2258</v>
      </c>
      <c r="C494" s="34">
        <v>26.0</v>
      </c>
      <c r="D494" s="33" t="s">
        <v>53</v>
      </c>
      <c r="E494" s="34">
        <v>2017.0</v>
      </c>
      <c r="F494" s="33" t="s">
        <v>648</v>
      </c>
      <c r="G494" s="33" t="s">
        <v>649</v>
      </c>
      <c r="H494" s="33" t="s">
        <v>650</v>
      </c>
      <c r="I494" s="33" t="s">
        <v>651</v>
      </c>
      <c r="J494" s="33" t="s">
        <v>652</v>
      </c>
      <c r="K494" s="34">
        <v>106.0</v>
      </c>
      <c r="L494" s="34">
        <v>1.0</v>
      </c>
      <c r="M494" s="6" t="s">
        <v>653</v>
      </c>
      <c r="N494" s="35" t="s">
        <v>60</v>
      </c>
      <c r="O494" s="33" t="s">
        <v>699</v>
      </c>
      <c r="P494" s="36" t="s">
        <v>62</v>
      </c>
      <c r="Q494" s="36" t="s">
        <v>187</v>
      </c>
      <c r="R494" s="36" t="s">
        <v>696</v>
      </c>
      <c r="S494" s="37">
        <v>16.898694</v>
      </c>
      <c r="T494" s="37">
        <v>-88.295056</v>
      </c>
      <c r="U494" s="36" t="s">
        <v>148</v>
      </c>
      <c r="V494" s="6" t="s">
        <v>275</v>
      </c>
      <c r="W494" s="33" t="s">
        <v>656</v>
      </c>
      <c r="X494" s="1" t="s">
        <v>278</v>
      </c>
      <c r="Y494" s="33" t="s">
        <v>279</v>
      </c>
      <c r="Z494" s="36"/>
      <c r="AA494" s="37"/>
      <c r="AB494" s="36"/>
      <c r="AC494" s="36"/>
      <c r="AD494" s="36"/>
      <c r="AE494" s="36"/>
      <c r="AF494" s="36"/>
      <c r="AG494" s="36"/>
      <c r="AH494" s="38" t="s">
        <v>72</v>
      </c>
      <c r="AI494" s="38" t="s">
        <v>72</v>
      </c>
      <c r="AJ494" s="38" t="s">
        <v>72</v>
      </c>
      <c r="AK494" s="6" t="s">
        <v>100</v>
      </c>
      <c r="AL494" s="6" t="s">
        <v>76</v>
      </c>
      <c r="AM494" s="6" t="s">
        <v>524</v>
      </c>
      <c r="AN494" s="6" t="s">
        <v>72</v>
      </c>
      <c r="AO494" s="33"/>
      <c r="AP494" s="6" t="s">
        <v>75</v>
      </c>
      <c r="AQ494" s="33"/>
      <c r="AR494" s="33"/>
      <c r="AS494" s="33"/>
      <c r="AT494" s="6" t="s">
        <v>76</v>
      </c>
      <c r="AU494" s="33"/>
      <c r="AV494" s="33"/>
      <c r="AW494" s="33"/>
      <c r="AX494" s="33"/>
      <c r="AY494" s="33"/>
      <c r="AZ494" s="6" t="s">
        <v>76</v>
      </c>
      <c r="BA494" s="33"/>
      <c r="BB494" s="33">
        <f>VLOOKUP(O494,Eco_DEM_Data!$D$1:$AC$643,20,False)</f>
        <v>2211</v>
      </c>
      <c r="BC494" s="33">
        <f>VLOOKUP($O494,Eco_DEM_Data!$D$1:$AC$643,20,False)</f>
        <v>2211</v>
      </c>
      <c r="BD494" s="33">
        <f>VLOOKUP($O494,Eco_DEM_Data!$D$1:$AC$643,25,False)</f>
        <v>869</v>
      </c>
      <c r="BE494" s="33">
        <f>VLOOKUP($O494,Eco_DEM_Data!$D$1:$AC$643,22,False)</f>
        <v>58</v>
      </c>
      <c r="BF494" s="33">
        <f>VLOOKUP($O494,Eco_DEM_Data!$D$1:$AC$643,23,False)</f>
        <v>181</v>
      </c>
      <c r="BG494" s="33">
        <f>VLOOKUP($O494,Eco_DEM_Data!$D$1:$AC$643,21,False)</f>
        <v>5283</v>
      </c>
      <c r="BH494" s="33">
        <f>VLOOKUP($O494,Eco_DEM_Data!$D$1:$AC$643,26,False)</f>
        <v>2</v>
      </c>
      <c r="BI494" s="33" t="str">
        <f>VLOOKUP($O494,Eco_DEM_Data!$D$1:$AC$643,9,False)</f>
        <v>Mesoamerican Gulf-Caribbean mangroves</v>
      </c>
      <c r="BJ494" s="33" t="str">
        <f>VLOOKUP($O494,Eco_DEM_Data!$D$1:$AC$643,11,False)</f>
        <v>Mangroves</v>
      </c>
    </row>
    <row r="495">
      <c r="A495" s="33" t="s">
        <v>647</v>
      </c>
      <c r="B495" s="33" t="s">
        <v>2258</v>
      </c>
      <c r="C495" s="34">
        <v>26.0</v>
      </c>
      <c r="D495" s="33" t="s">
        <v>53</v>
      </c>
      <c r="E495" s="34">
        <v>2017.0</v>
      </c>
      <c r="F495" s="33" t="s">
        <v>648</v>
      </c>
      <c r="G495" s="33" t="s">
        <v>649</v>
      </c>
      <c r="H495" s="33" t="s">
        <v>650</v>
      </c>
      <c r="I495" s="33" t="s">
        <v>651</v>
      </c>
      <c r="J495" s="33" t="s">
        <v>652</v>
      </c>
      <c r="K495" s="34">
        <v>106.0</v>
      </c>
      <c r="L495" s="34">
        <v>1.0</v>
      </c>
      <c r="M495" s="6" t="s">
        <v>653</v>
      </c>
      <c r="N495" s="35" t="s">
        <v>60</v>
      </c>
      <c r="O495" s="33" t="s">
        <v>700</v>
      </c>
      <c r="P495" s="36" t="s">
        <v>62</v>
      </c>
      <c r="Q495" s="36" t="s">
        <v>187</v>
      </c>
      <c r="R495" s="36" t="s">
        <v>696</v>
      </c>
      <c r="S495" s="37">
        <v>16.8885</v>
      </c>
      <c r="T495" s="37">
        <v>-88.289639</v>
      </c>
      <c r="U495" s="36" t="s">
        <v>148</v>
      </c>
      <c r="V495" s="6" t="s">
        <v>275</v>
      </c>
      <c r="W495" s="33" t="s">
        <v>656</v>
      </c>
      <c r="X495" s="1" t="s">
        <v>278</v>
      </c>
      <c r="Y495" s="33" t="s">
        <v>279</v>
      </c>
      <c r="Z495" s="36"/>
      <c r="AA495" s="37">
        <v>4.0</v>
      </c>
      <c r="AB495" s="36"/>
      <c r="AC495" s="36"/>
      <c r="AD495" s="36"/>
      <c r="AE495" s="36"/>
      <c r="AF495" s="36"/>
      <c r="AG495" s="36"/>
      <c r="AH495" s="36" t="s">
        <v>692</v>
      </c>
      <c r="AI495" s="38" t="s">
        <v>72</v>
      </c>
      <c r="AJ495" s="38" t="s">
        <v>72</v>
      </c>
      <c r="AK495" s="6" t="s">
        <v>100</v>
      </c>
      <c r="AL495" s="6" t="s">
        <v>76</v>
      </c>
      <c r="AM495" s="6" t="s">
        <v>524</v>
      </c>
      <c r="AN495" s="6" t="s">
        <v>72</v>
      </c>
      <c r="AO495" s="33"/>
      <c r="AP495" s="6" t="s">
        <v>75</v>
      </c>
      <c r="AQ495" s="33"/>
      <c r="AR495" s="33"/>
      <c r="AS495" s="33"/>
      <c r="AT495" s="6" t="s">
        <v>76</v>
      </c>
      <c r="AU495" s="33"/>
      <c r="AV495" s="33"/>
      <c r="AW495" s="33"/>
      <c r="AX495" s="33"/>
      <c r="AY495" s="33"/>
      <c r="AZ495" s="6" t="s">
        <v>76</v>
      </c>
      <c r="BA495" s="33"/>
      <c r="BB495" s="33">
        <f>VLOOKUP(O495,Eco_DEM_Data!$D$1:$AC$643,20,False)</f>
        <v>2201</v>
      </c>
      <c r="BC495" s="33">
        <f>VLOOKUP($O495,Eco_DEM_Data!$D$1:$AC$643,20,False)</f>
        <v>2201</v>
      </c>
      <c r="BD495" s="33">
        <f>VLOOKUP($O495,Eco_DEM_Data!$D$1:$AC$643,25,False)</f>
        <v>868</v>
      </c>
      <c r="BE495" s="33">
        <f>VLOOKUP($O495,Eco_DEM_Data!$D$1:$AC$643,22,False)</f>
        <v>58</v>
      </c>
      <c r="BF495" s="33">
        <f>VLOOKUP($O495,Eco_DEM_Data!$D$1:$AC$643,23,False)</f>
        <v>180</v>
      </c>
      <c r="BG495" s="33">
        <f>VLOOKUP($O495,Eco_DEM_Data!$D$1:$AC$643,21,False)</f>
        <v>5304</v>
      </c>
      <c r="BH495" s="33">
        <f>VLOOKUP($O495,Eco_DEM_Data!$D$1:$AC$643,26,False)</f>
        <v>1</v>
      </c>
      <c r="BI495" s="33" t="str">
        <f>VLOOKUP($O495,Eco_DEM_Data!$D$1:$AC$643,9,False)</f>
        <v>Mesoamerican Gulf-Caribbean mangroves</v>
      </c>
      <c r="BJ495" s="33" t="str">
        <f>VLOOKUP($O495,Eco_DEM_Data!$D$1:$AC$643,11,False)</f>
        <v>Mangroves</v>
      </c>
    </row>
    <row r="496">
      <c r="A496" s="33" t="s">
        <v>647</v>
      </c>
      <c r="B496" s="33" t="s">
        <v>2258</v>
      </c>
      <c r="C496" s="34">
        <v>26.0</v>
      </c>
      <c r="D496" s="33" t="s">
        <v>53</v>
      </c>
      <c r="E496" s="34">
        <v>2017.0</v>
      </c>
      <c r="F496" s="33" t="s">
        <v>648</v>
      </c>
      <c r="G496" s="33" t="s">
        <v>649</v>
      </c>
      <c r="H496" s="33" t="s">
        <v>650</v>
      </c>
      <c r="I496" s="33" t="s">
        <v>651</v>
      </c>
      <c r="J496" s="33" t="s">
        <v>652</v>
      </c>
      <c r="K496" s="34">
        <v>106.0</v>
      </c>
      <c r="L496" s="34">
        <v>1.0</v>
      </c>
      <c r="M496" s="6" t="s">
        <v>653</v>
      </c>
      <c r="N496" s="35" t="s">
        <v>60</v>
      </c>
      <c r="O496" s="33" t="s">
        <v>701</v>
      </c>
      <c r="P496" s="36" t="s">
        <v>62</v>
      </c>
      <c r="Q496" s="36" t="s">
        <v>187</v>
      </c>
      <c r="R496" s="36" t="s">
        <v>696</v>
      </c>
      <c r="S496" s="37">
        <v>16.888361</v>
      </c>
      <c r="T496" s="37">
        <v>-88.289333</v>
      </c>
      <c r="U496" s="36" t="s">
        <v>148</v>
      </c>
      <c r="V496" s="6" t="s">
        <v>275</v>
      </c>
      <c r="W496" s="33" t="s">
        <v>656</v>
      </c>
      <c r="X496" s="1" t="s">
        <v>278</v>
      </c>
      <c r="Y496" s="33" t="s">
        <v>279</v>
      </c>
      <c r="Z496" s="36"/>
      <c r="AA496" s="37">
        <v>3.0</v>
      </c>
      <c r="AB496" s="36"/>
      <c r="AC496" s="36"/>
      <c r="AD496" s="36"/>
      <c r="AE496" s="36"/>
      <c r="AF496" s="36"/>
      <c r="AG496" s="36"/>
      <c r="AH496" s="36" t="s">
        <v>702</v>
      </c>
      <c r="AI496" s="38" t="s">
        <v>72</v>
      </c>
      <c r="AJ496" s="38" t="s">
        <v>72</v>
      </c>
      <c r="AK496" s="6" t="s">
        <v>100</v>
      </c>
      <c r="AL496" s="6" t="s">
        <v>76</v>
      </c>
      <c r="AM496" s="6" t="s">
        <v>524</v>
      </c>
      <c r="AN496" s="6" t="s">
        <v>72</v>
      </c>
      <c r="AO496" s="33"/>
      <c r="AP496" s="6" t="s">
        <v>75</v>
      </c>
      <c r="AQ496" s="33"/>
      <c r="AR496" s="33"/>
      <c r="AS496" s="33"/>
      <c r="AT496" s="6" t="s">
        <v>76</v>
      </c>
      <c r="AU496" s="33"/>
      <c r="AV496" s="33"/>
      <c r="AW496" s="33"/>
      <c r="AX496" s="33"/>
      <c r="AY496" s="33"/>
      <c r="AZ496" s="6" t="s">
        <v>76</v>
      </c>
      <c r="BA496" s="33"/>
      <c r="BB496" s="33">
        <f>VLOOKUP(O496,Eco_DEM_Data!$D$1:$AC$643,20,False)</f>
        <v>2201</v>
      </c>
      <c r="BC496" s="33">
        <f>VLOOKUP($O496,Eco_DEM_Data!$D$1:$AC$643,20,False)</f>
        <v>2201</v>
      </c>
      <c r="BD496" s="33">
        <f>VLOOKUP($O496,Eco_DEM_Data!$D$1:$AC$643,25,False)</f>
        <v>868</v>
      </c>
      <c r="BE496" s="33">
        <f>VLOOKUP($O496,Eco_DEM_Data!$D$1:$AC$643,22,False)</f>
        <v>58</v>
      </c>
      <c r="BF496" s="33">
        <f>VLOOKUP($O496,Eco_DEM_Data!$D$1:$AC$643,23,False)</f>
        <v>180</v>
      </c>
      <c r="BG496" s="33">
        <f>VLOOKUP($O496,Eco_DEM_Data!$D$1:$AC$643,21,False)</f>
        <v>5304</v>
      </c>
      <c r="BH496" s="33">
        <f>VLOOKUP($O496,Eco_DEM_Data!$D$1:$AC$643,26,False)</f>
        <v>1</v>
      </c>
      <c r="BI496" s="33" t="str">
        <f>VLOOKUP($O496,Eco_DEM_Data!$D$1:$AC$643,9,False)</f>
        <v>Mesoamerican Gulf-Caribbean mangroves</v>
      </c>
      <c r="BJ496" s="33" t="str">
        <f>VLOOKUP($O496,Eco_DEM_Data!$D$1:$AC$643,11,False)</f>
        <v>Mangroves</v>
      </c>
    </row>
    <row r="497">
      <c r="A497" s="33" t="s">
        <v>647</v>
      </c>
      <c r="B497" s="33" t="s">
        <v>2258</v>
      </c>
      <c r="C497" s="34">
        <v>26.0</v>
      </c>
      <c r="D497" s="33" t="s">
        <v>53</v>
      </c>
      <c r="E497" s="34">
        <v>2017.0</v>
      </c>
      <c r="F497" s="33" t="s">
        <v>648</v>
      </c>
      <c r="G497" s="33" t="s">
        <v>649</v>
      </c>
      <c r="H497" s="33" t="s">
        <v>650</v>
      </c>
      <c r="I497" s="33" t="s">
        <v>651</v>
      </c>
      <c r="J497" s="33" t="s">
        <v>652</v>
      </c>
      <c r="K497" s="34">
        <v>106.0</v>
      </c>
      <c r="L497" s="34">
        <v>1.0</v>
      </c>
      <c r="M497" s="6" t="s">
        <v>653</v>
      </c>
      <c r="N497" s="35" t="s">
        <v>60</v>
      </c>
      <c r="O497" s="33" t="s">
        <v>703</v>
      </c>
      <c r="P497" s="36" t="s">
        <v>62</v>
      </c>
      <c r="Q497" s="36" t="s">
        <v>187</v>
      </c>
      <c r="R497" s="36" t="s">
        <v>704</v>
      </c>
      <c r="S497" s="37">
        <v>16.775111</v>
      </c>
      <c r="T497" s="37">
        <v>-88.318278</v>
      </c>
      <c r="U497" s="36" t="s">
        <v>148</v>
      </c>
      <c r="V497" s="6" t="s">
        <v>275</v>
      </c>
      <c r="W497" s="33" t="s">
        <v>656</v>
      </c>
      <c r="X497" s="1" t="s">
        <v>278</v>
      </c>
      <c r="Y497" s="33" t="s">
        <v>279</v>
      </c>
      <c r="Z497" s="36"/>
      <c r="AA497" s="37">
        <v>3.0</v>
      </c>
      <c r="AB497" s="36"/>
      <c r="AC497" s="36"/>
      <c r="AD497" s="36"/>
      <c r="AE497" s="36"/>
      <c r="AF497" s="36"/>
      <c r="AG497" s="36"/>
      <c r="AH497" s="36" t="s">
        <v>663</v>
      </c>
      <c r="AI497" s="38" t="s">
        <v>72</v>
      </c>
      <c r="AJ497" s="38" t="s">
        <v>72</v>
      </c>
      <c r="AK497" s="6" t="s">
        <v>100</v>
      </c>
      <c r="AL497" s="6" t="s">
        <v>76</v>
      </c>
      <c r="AM497" s="6" t="s">
        <v>524</v>
      </c>
      <c r="AN497" s="6" t="s">
        <v>72</v>
      </c>
      <c r="AO497" s="33"/>
      <c r="AP497" s="6" t="s">
        <v>75</v>
      </c>
      <c r="AQ497" s="33"/>
      <c r="AR497" s="33"/>
      <c r="AS497" s="33"/>
      <c r="AT497" s="6" t="s">
        <v>76</v>
      </c>
      <c r="AU497" s="33"/>
      <c r="AV497" s="33"/>
      <c r="AW497" s="33"/>
      <c r="AX497" s="33"/>
      <c r="AY497" s="33"/>
      <c r="AZ497" s="6" t="s">
        <v>76</v>
      </c>
      <c r="BA497" s="33"/>
      <c r="BB497" s="33">
        <f>VLOOKUP(O497,Eco_DEM_Data!$D$1:$AC$643,20,False)</f>
        <v>2150</v>
      </c>
      <c r="BC497" s="33">
        <f>VLOOKUP($O497,Eco_DEM_Data!$D$1:$AC$643,20,False)</f>
        <v>2150</v>
      </c>
      <c r="BD497" s="33">
        <f>VLOOKUP($O497,Eco_DEM_Data!$D$1:$AC$643,25,False)</f>
        <v>857</v>
      </c>
      <c r="BE497" s="33">
        <f>VLOOKUP($O497,Eco_DEM_Data!$D$1:$AC$643,22,False)</f>
        <v>56</v>
      </c>
      <c r="BF497" s="33">
        <f>VLOOKUP($O497,Eco_DEM_Data!$D$1:$AC$643,23,False)</f>
        <v>176</v>
      </c>
      <c r="BG497" s="33">
        <f>VLOOKUP($O497,Eco_DEM_Data!$D$1:$AC$643,21,False)</f>
        <v>5413</v>
      </c>
      <c r="BH497" s="33">
        <f>VLOOKUP($O497,Eco_DEM_Data!$D$1:$AC$643,26,False)</f>
        <v>6</v>
      </c>
      <c r="BI497" s="33" t="str">
        <f>VLOOKUP($O497,Eco_DEM_Data!$D$1:$AC$643,9,False)</f>
        <v>Mesoamerican Gulf-Caribbean mangroves</v>
      </c>
      <c r="BJ497" s="33" t="str">
        <f>VLOOKUP($O497,Eco_DEM_Data!$D$1:$AC$643,11,False)</f>
        <v>Mangroves</v>
      </c>
    </row>
    <row r="498">
      <c r="A498" s="33" t="s">
        <v>647</v>
      </c>
      <c r="B498" s="33" t="s">
        <v>2258</v>
      </c>
      <c r="C498" s="34">
        <v>26.0</v>
      </c>
      <c r="D498" s="33" t="s">
        <v>53</v>
      </c>
      <c r="E498" s="34">
        <v>2017.0</v>
      </c>
      <c r="F498" s="33" t="s">
        <v>648</v>
      </c>
      <c r="G498" s="33" t="s">
        <v>649</v>
      </c>
      <c r="H498" s="33" t="s">
        <v>650</v>
      </c>
      <c r="I498" s="50" t="s">
        <v>651</v>
      </c>
      <c r="J498" s="33" t="s">
        <v>652</v>
      </c>
      <c r="K498" s="34">
        <v>106.0</v>
      </c>
      <c r="L498" s="34">
        <v>1.0</v>
      </c>
      <c r="M498" s="6" t="s">
        <v>653</v>
      </c>
      <c r="N498" s="35" t="s">
        <v>60</v>
      </c>
      <c r="O498" s="33" t="s">
        <v>705</v>
      </c>
      <c r="P498" s="36" t="s">
        <v>62</v>
      </c>
      <c r="Q498" s="36" t="s">
        <v>187</v>
      </c>
      <c r="R498" s="36" t="s">
        <v>704</v>
      </c>
      <c r="S498" s="37">
        <v>16.764583</v>
      </c>
      <c r="T498" s="37">
        <v>-88.316194</v>
      </c>
      <c r="U498" s="36" t="s">
        <v>148</v>
      </c>
      <c r="V498" s="6" t="s">
        <v>275</v>
      </c>
      <c r="W498" s="33" t="s">
        <v>656</v>
      </c>
      <c r="X498" s="1" t="s">
        <v>278</v>
      </c>
      <c r="Y498" s="33" t="s">
        <v>279</v>
      </c>
      <c r="Z498" s="36"/>
      <c r="AA498" s="37">
        <v>1.0</v>
      </c>
      <c r="AB498" s="36"/>
      <c r="AC498" s="36"/>
      <c r="AD498" s="36"/>
      <c r="AE498" s="36"/>
      <c r="AF498" s="36"/>
      <c r="AG498" s="36"/>
      <c r="AH498" s="36" t="s">
        <v>706</v>
      </c>
      <c r="AI498" s="38" t="s">
        <v>72</v>
      </c>
      <c r="AJ498" s="38" t="s">
        <v>72</v>
      </c>
      <c r="AK498" s="6" t="s">
        <v>100</v>
      </c>
      <c r="AL498" s="6" t="s">
        <v>76</v>
      </c>
      <c r="AM498" s="6" t="s">
        <v>524</v>
      </c>
      <c r="AN498" s="6" t="s">
        <v>72</v>
      </c>
      <c r="AO498" s="33"/>
      <c r="AP498" s="6" t="s">
        <v>75</v>
      </c>
      <c r="AQ498" s="33"/>
      <c r="AR498" s="33"/>
      <c r="AS498" s="33"/>
      <c r="AT498" s="6" t="s">
        <v>76</v>
      </c>
      <c r="AU498" s="33"/>
      <c r="AV498" s="33"/>
      <c r="AW498" s="33"/>
      <c r="AX498" s="33"/>
      <c r="AY498" s="33"/>
      <c r="AZ498" s="6" t="s">
        <v>76</v>
      </c>
      <c r="BA498" s="33"/>
      <c r="BB498" s="33">
        <f>VLOOKUP(O498,Eco_DEM_Data!$D$1:$AC$643,20,False)</f>
        <v>2142</v>
      </c>
      <c r="BC498" s="33">
        <f>VLOOKUP($O498,Eco_DEM_Data!$D$1:$AC$643,20,False)</f>
        <v>2142</v>
      </c>
      <c r="BD498" s="33">
        <f>VLOOKUP($O498,Eco_DEM_Data!$D$1:$AC$643,25,False)</f>
        <v>859</v>
      </c>
      <c r="BE498" s="33">
        <f>VLOOKUP($O498,Eco_DEM_Data!$D$1:$AC$643,22,False)</f>
        <v>57</v>
      </c>
      <c r="BF498" s="33">
        <f>VLOOKUP($O498,Eco_DEM_Data!$D$1:$AC$643,23,False)</f>
        <v>176</v>
      </c>
      <c r="BG498" s="33">
        <f>VLOOKUP($O498,Eco_DEM_Data!$D$1:$AC$643,21,False)</f>
        <v>5451</v>
      </c>
      <c r="BH498" s="33">
        <f>VLOOKUP($O498,Eco_DEM_Data!$D$1:$AC$643,26,False)</f>
        <v>1</v>
      </c>
      <c r="BI498" s="33" t="str">
        <f>VLOOKUP($O498,Eco_DEM_Data!$D$1:$AC$643,9,False)</f>
        <v>Mesoamerican Gulf-Caribbean mangroves</v>
      </c>
      <c r="BJ498" s="33" t="str">
        <f>VLOOKUP($O498,Eco_DEM_Data!$D$1:$AC$643,11,False)</f>
        <v>Mangroves</v>
      </c>
    </row>
    <row r="499">
      <c r="A499" s="33" t="s">
        <v>647</v>
      </c>
      <c r="B499" s="33" t="s">
        <v>2258</v>
      </c>
      <c r="C499" s="34">
        <v>26.0</v>
      </c>
      <c r="D499" s="33" t="s">
        <v>53</v>
      </c>
      <c r="E499" s="34">
        <v>2017.0</v>
      </c>
      <c r="F499" s="33" t="s">
        <v>648</v>
      </c>
      <c r="G499" s="33" t="s">
        <v>649</v>
      </c>
      <c r="H499" s="33" t="s">
        <v>650</v>
      </c>
      <c r="I499" s="33" t="s">
        <v>651</v>
      </c>
      <c r="J499" s="33" t="s">
        <v>652</v>
      </c>
      <c r="K499" s="34">
        <v>106.0</v>
      </c>
      <c r="L499" s="34">
        <v>1.0</v>
      </c>
      <c r="M499" s="6" t="s">
        <v>653</v>
      </c>
      <c r="N499" s="35" t="s">
        <v>60</v>
      </c>
      <c r="O499" s="33" t="s">
        <v>707</v>
      </c>
      <c r="P499" s="36" t="s">
        <v>62</v>
      </c>
      <c r="Q499" s="36" t="s">
        <v>187</v>
      </c>
      <c r="R499" s="36" t="s">
        <v>704</v>
      </c>
      <c r="S499" s="37">
        <v>16.764556</v>
      </c>
      <c r="T499" s="37">
        <v>-88.31325</v>
      </c>
      <c r="U499" s="36" t="s">
        <v>148</v>
      </c>
      <c r="V499" s="6" t="s">
        <v>275</v>
      </c>
      <c r="W499" s="33" t="s">
        <v>656</v>
      </c>
      <c r="X499" s="1" t="s">
        <v>278</v>
      </c>
      <c r="Y499" s="33" t="s">
        <v>279</v>
      </c>
      <c r="Z499" s="36"/>
      <c r="AA499" s="37">
        <v>3.0</v>
      </c>
      <c r="AB499" s="36"/>
      <c r="AC499" s="36"/>
      <c r="AD499" s="36"/>
      <c r="AE499" s="36"/>
      <c r="AF499" s="36"/>
      <c r="AG499" s="36"/>
      <c r="AH499" s="36" t="s">
        <v>708</v>
      </c>
      <c r="AI499" s="38" t="s">
        <v>72</v>
      </c>
      <c r="AJ499" s="38" t="s">
        <v>72</v>
      </c>
      <c r="AK499" s="6" t="s">
        <v>100</v>
      </c>
      <c r="AL499" s="6" t="s">
        <v>76</v>
      </c>
      <c r="AM499" s="6" t="s">
        <v>524</v>
      </c>
      <c r="AN499" s="6" t="s">
        <v>72</v>
      </c>
      <c r="AO499" s="33"/>
      <c r="AP499" s="6" t="s">
        <v>75</v>
      </c>
      <c r="AQ499" s="33"/>
      <c r="AR499" s="33"/>
      <c r="AS499" s="33"/>
      <c r="AT499" s="6" t="s">
        <v>76</v>
      </c>
      <c r="AU499" s="33"/>
      <c r="AV499" s="33"/>
      <c r="AW499" s="33"/>
      <c r="AX499" s="33"/>
      <c r="AY499" s="33"/>
      <c r="AZ499" s="6" t="s">
        <v>76</v>
      </c>
      <c r="BA499" s="33"/>
      <c r="BB499" s="33">
        <f>VLOOKUP(O499,Eco_DEM_Data!$D$1:$AC$643,20,False)</f>
        <v>2142</v>
      </c>
      <c r="BC499" s="33">
        <f>VLOOKUP($O499,Eco_DEM_Data!$D$1:$AC$643,20,False)</f>
        <v>2142</v>
      </c>
      <c r="BD499" s="33">
        <f>VLOOKUP($O499,Eco_DEM_Data!$D$1:$AC$643,25,False)</f>
        <v>859</v>
      </c>
      <c r="BE499" s="33">
        <f>VLOOKUP($O499,Eco_DEM_Data!$D$1:$AC$643,22,False)</f>
        <v>57</v>
      </c>
      <c r="BF499" s="33">
        <f>VLOOKUP($O499,Eco_DEM_Data!$D$1:$AC$643,23,False)</f>
        <v>176</v>
      </c>
      <c r="BG499" s="33">
        <f>VLOOKUP($O499,Eco_DEM_Data!$D$1:$AC$643,21,False)</f>
        <v>5451</v>
      </c>
      <c r="BH499" s="33">
        <f>VLOOKUP($O499,Eco_DEM_Data!$D$1:$AC$643,26,False)</f>
        <v>1</v>
      </c>
      <c r="BI499" s="33" t="str">
        <f>VLOOKUP($O499,Eco_DEM_Data!$D$1:$AC$643,9,False)</f>
        <v>Mesoamerican Gulf-Caribbean mangroves</v>
      </c>
      <c r="BJ499" s="33" t="str">
        <f>VLOOKUP($O499,Eco_DEM_Data!$D$1:$AC$643,11,False)</f>
        <v>Mangroves</v>
      </c>
    </row>
    <row r="500">
      <c r="A500" s="33" t="s">
        <v>647</v>
      </c>
      <c r="B500" s="33" t="s">
        <v>2258</v>
      </c>
      <c r="C500" s="34">
        <v>26.0</v>
      </c>
      <c r="D500" s="33" t="s">
        <v>53</v>
      </c>
      <c r="E500" s="34">
        <v>2017.0</v>
      </c>
      <c r="F500" s="33" t="s">
        <v>648</v>
      </c>
      <c r="G500" s="33" t="s">
        <v>649</v>
      </c>
      <c r="H500" s="33" t="s">
        <v>650</v>
      </c>
      <c r="I500" s="33" t="s">
        <v>651</v>
      </c>
      <c r="J500" s="33" t="s">
        <v>652</v>
      </c>
      <c r="K500" s="34">
        <v>106.0</v>
      </c>
      <c r="L500" s="34">
        <v>1.0</v>
      </c>
      <c r="M500" s="6" t="s">
        <v>653</v>
      </c>
      <c r="N500" s="35" t="s">
        <v>60</v>
      </c>
      <c r="O500" s="33" t="s">
        <v>709</v>
      </c>
      <c r="P500" s="36" t="s">
        <v>62</v>
      </c>
      <c r="Q500" s="36" t="s">
        <v>187</v>
      </c>
      <c r="R500" s="36" t="s">
        <v>704</v>
      </c>
      <c r="S500" s="37">
        <v>16.764111</v>
      </c>
      <c r="T500" s="37">
        <v>-88.318889</v>
      </c>
      <c r="U500" s="36" t="s">
        <v>148</v>
      </c>
      <c r="V500" s="6" t="s">
        <v>275</v>
      </c>
      <c r="W500" s="33" t="s">
        <v>656</v>
      </c>
      <c r="X500" s="1" t="s">
        <v>278</v>
      </c>
      <c r="Y500" s="33" t="s">
        <v>279</v>
      </c>
      <c r="Z500" s="36"/>
      <c r="AA500" s="37">
        <v>1.0</v>
      </c>
      <c r="AB500" s="36"/>
      <c r="AC500" s="36"/>
      <c r="AD500" s="36"/>
      <c r="AE500" s="36"/>
      <c r="AF500" s="36"/>
      <c r="AG500" s="36"/>
      <c r="AH500" s="36" t="s">
        <v>675</v>
      </c>
      <c r="AI500" s="38" t="s">
        <v>72</v>
      </c>
      <c r="AJ500" s="38" t="s">
        <v>72</v>
      </c>
      <c r="AK500" s="6" t="s">
        <v>100</v>
      </c>
      <c r="AL500" s="6" t="s">
        <v>76</v>
      </c>
      <c r="AM500" s="6" t="s">
        <v>524</v>
      </c>
      <c r="AN500" s="6" t="s">
        <v>72</v>
      </c>
      <c r="AO500" s="33"/>
      <c r="AP500" s="6" t="s">
        <v>75</v>
      </c>
      <c r="AQ500" s="33"/>
      <c r="AR500" s="33"/>
      <c r="AS500" s="33"/>
      <c r="AT500" s="6" t="s">
        <v>76</v>
      </c>
      <c r="AU500" s="33"/>
      <c r="AV500" s="33"/>
      <c r="AW500" s="33"/>
      <c r="AX500" s="33"/>
      <c r="AY500" s="33"/>
      <c r="AZ500" s="6" t="s">
        <v>76</v>
      </c>
      <c r="BA500" s="33"/>
      <c r="BB500" s="33">
        <f>VLOOKUP(O500,Eco_DEM_Data!$D$1:$AC$643,20,False)</f>
        <v>2153</v>
      </c>
      <c r="BC500" s="33">
        <f>VLOOKUP($O500,Eco_DEM_Data!$D$1:$AC$643,20,False)</f>
        <v>2153</v>
      </c>
      <c r="BD500" s="33">
        <f>VLOOKUP($O500,Eco_DEM_Data!$D$1:$AC$643,25,False)</f>
        <v>860</v>
      </c>
      <c r="BE500" s="33">
        <f>VLOOKUP($O500,Eco_DEM_Data!$D$1:$AC$643,22,False)</f>
        <v>56</v>
      </c>
      <c r="BF500" s="33">
        <f>VLOOKUP($O500,Eco_DEM_Data!$D$1:$AC$643,23,False)</f>
        <v>176</v>
      </c>
      <c r="BG500" s="33">
        <f>VLOOKUP($O500,Eco_DEM_Data!$D$1:$AC$643,21,False)</f>
        <v>5417</v>
      </c>
      <c r="BH500" s="33">
        <f>VLOOKUP($O500,Eco_DEM_Data!$D$1:$AC$643,26,False)</f>
        <v>1</v>
      </c>
      <c r="BI500" s="33" t="str">
        <f>VLOOKUP($O500,Eco_DEM_Data!$D$1:$AC$643,9,False)</f>
        <v>Mesoamerican Gulf-Caribbean mangroves</v>
      </c>
      <c r="BJ500" s="33" t="str">
        <f>VLOOKUP($O500,Eco_DEM_Data!$D$1:$AC$643,11,False)</f>
        <v>Mangroves</v>
      </c>
    </row>
    <row r="501">
      <c r="A501" s="33" t="s">
        <v>647</v>
      </c>
      <c r="B501" s="33" t="s">
        <v>2258</v>
      </c>
      <c r="C501" s="34">
        <v>26.0</v>
      </c>
      <c r="D501" s="33" t="s">
        <v>53</v>
      </c>
      <c r="E501" s="34">
        <v>2017.0</v>
      </c>
      <c r="F501" s="33" t="s">
        <v>648</v>
      </c>
      <c r="G501" s="33" t="s">
        <v>649</v>
      </c>
      <c r="H501" s="33" t="s">
        <v>650</v>
      </c>
      <c r="I501" s="33" t="s">
        <v>651</v>
      </c>
      <c r="J501" s="33" t="s">
        <v>652</v>
      </c>
      <c r="K501" s="34">
        <v>106.0</v>
      </c>
      <c r="L501" s="34">
        <v>1.0</v>
      </c>
      <c r="M501" s="6" t="s">
        <v>653</v>
      </c>
      <c r="N501" s="35" t="s">
        <v>60</v>
      </c>
      <c r="O501" s="33" t="s">
        <v>710</v>
      </c>
      <c r="P501" s="36" t="s">
        <v>62</v>
      </c>
      <c r="Q501" s="36" t="s">
        <v>187</v>
      </c>
      <c r="R501" s="36" t="s">
        <v>704</v>
      </c>
      <c r="S501" s="37">
        <v>16.763444</v>
      </c>
      <c r="T501" s="37">
        <v>-88.312139</v>
      </c>
      <c r="U501" s="36" t="s">
        <v>148</v>
      </c>
      <c r="V501" s="6" t="s">
        <v>275</v>
      </c>
      <c r="W501" s="33" t="s">
        <v>656</v>
      </c>
      <c r="X501" s="1" t="s">
        <v>278</v>
      </c>
      <c r="Y501" s="33" t="s">
        <v>279</v>
      </c>
      <c r="Z501" s="36"/>
      <c r="AA501" s="37">
        <v>2.0</v>
      </c>
      <c r="AB501" s="36"/>
      <c r="AC501" s="36"/>
      <c r="AD501" s="36"/>
      <c r="AE501" s="36"/>
      <c r="AF501" s="36"/>
      <c r="AG501" s="36"/>
      <c r="AH501" s="36" t="s">
        <v>675</v>
      </c>
      <c r="AI501" s="38" t="s">
        <v>72</v>
      </c>
      <c r="AJ501" s="38" t="s">
        <v>72</v>
      </c>
      <c r="AK501" s="6" t="s">
        <v>100</v>
      </c>
      <c r="AL501" s="6" t="s">
        <v>76</v>
      </c>
      <c r="AM501" s="6" t="s">
        <v>524</v>
      </c>
      <c r="AN501" s="6" t="s">
        <v>72</v>
      </c>
      <c r="AO501" s="33"/>
      <c r="AP501" s="6" t="s">
        <v>75</v>
      </c>
      <c r="AQ501" s="33"/>
      <c r="AR501" s="33"/>
      <c r="AS501" s="33"/>
      <c r="AT501" s="6" t="s">
        <v>76</v>
      </c>
      <c r="AU501" s="33"/>
      <c r="AV501" s="33"/>
      <c r="AW501" s="33"/>
      <c r="AX501" s="33"/>
      <c r="AY501" s="33"/>
      <c r="AZ501" s="6" t="s">
        <v>76</v>
      </c>
      <c r="BA501" s="33"/>
      <c r="BB501" s="33">
        <f>VLOOKUP(O501,Eco_DEM_Data!$D$1:$AC$643,20,False)</f>
        <v>2142</v>
      </c>
      <c r="BC501" s="33">
        <f>VLOOKUP($O501,Eco_DEM_Data!$D$1:$AC$643,20,False)</f>
        <v>2142</v>
      </c>
      <c r="BD501" s="33">
        <f>VLOOKUP($O501,Eco_DEM_Data!$D$1:$AC$643,25,False)</f>
        <v>859</v>
      </c>
      <c r="BE501" s="33">
        <f>VLOOKUP($O501,Eco_DEM_Data!$D$1:$AC$643,22,False)</f>
        <v>57</v>
      </c>
      <c r="BF501" s="33">
        <f>VLOOKUP($O501,Eco_DEM_Data!$D$1:$AC$643,23,False)</f>
        <v>176</v>
      </c>
      <c r="BG501" s="33">
        <f>VLOOKUP($O501,Eco_DEM_Data!$D$1:$AC$643,21,False)</f>
        <v>5451</v>
      </c>
      <c r="BH501" s="33">
        <f>VLOOKUP($O501,Eco_DEM_Data!$D$1:$AC$643,26,False)</f>
        <v>1</v>
      </c>
      <c r="BI501" s="33" t="str">
        <f>VLOOKUP($O501,Eco_DEM_Data!$D$1:$AC$643,9,False)</f>
        <v>Mesoamerican Gulf-Caribbean mangroves</v>
      </c>
      <c r="BJ501" s="33" t="str">
        <f>VLOOKUP($O501,Eco_DEM_Data!$D$1:$AC$643,11,False)</f>
        <v>Mangroves</v>
      </c>
    </row>
    <row r="502">
      <c r="A502" s="33" t="s">
        <v>647</v>
      </c>
      <c r="B502" s="33" t="s">
        <v>2258</v>
      </c>
      <c r="C502" s="34">
        <v>26.0</v>
      </c>
      <c r="D502" s="33" t="s">
        <v>53</v>
      </c>
      <c r="E502" s="34">
        <v>2017.0</v>
      </c>
      <c r="F502" s="33" t="s">
        <v>648</v>
      </c>
      <c r="G502" s="33" t="s">
        <v>649</v>
      </c>
      <c r="H502" s="33" t="s">
        <v>650</v>
      </c>
      <c r="I502" s="33" t="s">
        <v>651</v>
      </c>
      <c r="J502" s="33" t="s">
        <v>652</v>
      </c>
      <c r="K502" s="34">
        <v>106.0</v>
      </c>
      <c r="L502" s="34">
        <v>1.0</v>
      </c>
      <c r="M502" s="6" t="s">
        <v>653</v>
      </c>
      <c r="N502" s="35" t="s">
        <v>60</v>
      </c>
      <c r="O502" s="33" t="s">
        <v>711</v>
      </c>
      <c r="P502" s="36" t="s">
        <v>62</v>
      </c>
      <c r="Q502" s="36" t="s">
        <v>187</v>
      </c>
      <c r="R502" s="36" t="s">
        <v>704</v>
      </c>
      <c r="S502" s="37">
        <v>16.756111</v>
      </c>
      <c r="T502" s="37">
        <v>-88.318278</v>
      </c>
      <c r="U502" s="36" t="s">
        <v>148</v>
      </c>
      <c r="V502" s="6" t="s">
        <v>275</v>
      </c>
      <c r="W502" s="33" t="s">
        <v>656</v>
      </c>
      <c r="X502" s="1" t="s">
        <v>278</v>
      </c>
      <c r="Y502" s="33" t="s">
        <v>279</v>
      </c>
      <c r="Z502" s="36"/>
      <c r="AA502" s="37">
        <v>2.0</v>
      </c>
      <c r="AB502" s="36"/>
      <c r="AC502" s="36"/>
      <c r="AD502" s="36"/>
      <c r="AE502" s="36"/>
      <c r="AF502" s="36"/>
      <c r="AG502" s="36"/>
      <c r="AH502" s="36" t="s">
        <v>708</v>
      </c>
      <c r="AI502" s="38" t="s">
        <v>72</v>
      </c>
      <c r="AJ502" s="38" t="s">
        <v>72</v>
      </c>
      <c r="AK502" s="6" t="s">
        <v>100</v>
      </c>
      <c r="AL502" s="6" t="s">
        <v>76</v>
      </c>
      <c r="AM502" s="6" t="s">
        <v>524</v>
      </c>
      <c r="AN502" s="6" t="s">
        <v>72</v>
      </c>
      <c r="AO502" s="33"/>
      <c r="AP502" s="6" t="s">
        <v>75</v>
      </c>
      <c r="AQ502" s="33"/>
      <c r="AR502" s="33"/>
      <c r="AS502" s="33"/>
      <c r="AT502" s="6" t="s">
        <v>76</v>
      </c>
      <c r="AU502" s="33"/>
      <c r="AV502" s="33"/>
      <c r="AW502" s="33"/>
      <c r="AX502" s="33"/>
      <c r="AY502" s="33"/>
      <c r="AZ502" s="6" t="s">
        <v>76</v>
      </c>
      <c r="BA502" s="33"/>
      <c r="BB502" s="33">
        <f>VLOOKUP(O502,Eco_DEM_Data!$D$1:$AC$643,20,False)</f>
        <v>2145</v>
      </c>
      <c r="BC502" s="33">
        <f>VLOOKUP($O502,Eco_DEM_Data!$D$1:$AC$643,20,False)</f>
        <v>2145</v>
      </c>
      <c r="BD502" s="33">
        <f>VLOOKUP($O502,Eco_DEM_Data!$D$1:$AC$643,25,False)</f>
        <v>860</v>
      </c>
      <c r="BE502" s="33">
        <f>VLOOKUP($O502,Eco_DEM_Data!$D$1:$AC$643,22,False)</f>
        <v>57</v>
      </c>
      <c r="BF502" s="33">
        <f>VLOOKUP($O502,Eco_DEM_Data!$D$1:$AC$643,23,False)</f>
        <v>176</v>
      </c>
      <c r="BG502" s="33">
        <f>VLOOKUP($O502,Eco_DEM_Data!$D$1:$AC$643,21,False)</f>
        <v>5444</v>
      </c>
      <c r="BH502" s="33">
        <f>VLOOKUP($O502,Eco_DEM_Data!$D$1:$AC$643,26,False)</f>
        <v>1</v>
      </c>
      <c r="BI502" s="33" t="str">
        <f>VLOOKUP($O502,Eco_DEM_Data!$D$1:$AC$643,9,False)</f>
        <v>Mesoamerican Gulf-Caribbean mangroves</v>
      </c>
      <c r="BJ502" s="33" t="str">
        <f>VLOOKUP($O502,Eco_DEM_Data!$D$1:$AC$643,11,False)</f>
        <v>Mangroves</v>
      </c>
    </row>
    <row r="503">
      <c r="A503" s="33" t="s">
        <v>607</v>
      </c>
      <c r="B503" s="33" t="s">
        <v>2258</v>
      </c>
      <c r="C503" s="70" t="e">
        <v>#N/A</v>
      </c>
      <c r="D503" s="33" t="s">
        <v>53</v>
      </c>
      <c r="E503" s="34">
        <v>2017.0</v>
      </c>
      <c r="F503" s="33" t="s">
        <v>608</v>
      </c>
      <c r="G503" s="33" t="s">
        <v>609</v>
      </c>
      <c r="H503" s="33" t="s">
        <v>583</v>
      </c>
      <c r="I503" s="33" t="s">
        <v>610</v>
      </c>
      <c r="J503" s="33" t="s">
        <v>611</v>
      </c>
      <c r="K503" s="34">
        <v>27.0</v>
      </c>
      <c r="L503" s="34">
        <v>9.0</v>
      </c>
      <c r="M503" s="6" t="s">
        <v>612</v>
      </c>
      <c r="N503" s="35" t="s">
        <v>76</v>
      </c>
      <c r="O503" s="33" t="s">
        <v>607</v>
      </c>
      <c r="P503" s="33" t="s">
        <v>62</v>
      </c>
      <c r="Q503" s="33" t="s">
        <v>92</v>
      </c>
      <c r="R503" s="33" t="s">
        <v>613</v>
      </c>
      <c r="S503" s="34">
        <v>16.9</v>
      </c>
      <c r="T503" s="55">
        <v>-91.6</v>
      </c>
      <c r="U503" s="33" t="s">
        <v>148</v>
      </c>
      <c r="V503" s="6" t="s">
        <v>614</v>
      </c>
      <c r="W503" s="6" t="s">
        <v>615</v>
      </c>
      <c r="X503" s="1" t="s">
        <v>264</v>
      </c>
      <c r="Y503" s="6" t="s">
        <v>83</v>
      </c>
      <c r="Z503" s="33"/>
      <c r="AA503" s="34">
        <v>7.0</v>
      </c>
      <c r="AB503" s="33"/>
      <c r="AC503" s="33"/>
      <c r="AD503" s="33"/>
      <c r="AE503" s="33"/>
      <c r="AF503" s="33"/>
      <c r="AG503" s="33"/>
      <c r="AH503" s="6" t="s">
        <v>72</v>
      </c>
      <c r="AI503" s="34">
        <v>-7590.0</v>
      </c>
      <c r="AJ503" s="34">
        <v>1950.0</v>
      </c>
      <c r="AK503" s="6" t="s">
        <v>73</v>
      </c>
      <c r="AL503" s="6" t="s">
        <v>72</v>
      </c>
      <c r="AM503" s="6" t="s">
        <v>132</v>
      </c>
      <c r="AN503" s="6" t="s">
        <v>72</v>
      </c>
      <c r="AO503" s="33"/>
      <c r="AP503" s="6" t="s">
        <v>102</v>
      </c>
      <c r="AQ503" s="33"/>
      <c r="AR503" s="33"/>
      <c r="AS503" s="33"/>
      <c r="AT503" s="6" t="s">
        <v>76</v>
      </c>
      <c r="AU503" s="33"/>
      <c r="AV503" s="33"/>
      <c r="AW503" s="33"/>
      <c r="AX503" s="33"/>
      <c r="AY503" s="33"/>
      <c r="AZ503" s="6" t="s">
        <v>76</v>
      </c>
      <c r="BA503" s="33"/>
      <c r="BB503" s="33">
        <f>VLOOKUP(O503,Eco_DEM_Data!$D$1:$AC$643,20,False)</f>
        <v>2025</v>
      </c>
      <c r="BC503" s="33">
        <f>VLOOKUP($O503,Eco_DEM_Data!$D$1:$AC$643,20,False)</f>
        <v>2025</v>
      </c>
      <c r="BD503" s="33">
        <f>VLOOKUP($O503,Eco_DEM_Data!$D$1:$AC$643,25,False)</f>
        <v>887</v>
      </c>
      <c r="BE503" s="33">
        <f>VLOOKUP($O503,Eco_DEM_Data!$D$1:$AC$643,22,False)</f>
        <v>52</v>
      </c>
      <c r="BF503" s="33">
        <f>VLOOKUP($O503,Eco_DEM_Data!$D$1:$AC$643,23,False)</f>
        <v>167</v>
      </c>
      <c r="BG503" s="33">
        <f>VLOOKUP($O503,Eco_DEM_Data!$D$1:$AC$643,21,False)</f>
        <v>6573</v>
      </c>
      <c r="BH503" s="33">
        <f>VLOOKUP($O503,Eco_DEM_Data!$D$1:$AC$643,26,False)</f>
        <v>687</v>
      </c>
      <c r="BI503" s="33" t="str">
        <f>VLOOKUP($O503,Eco_DEM_Data!$D$1:$AC$643,9,False)</f>
        <v>Petén-Veracruz moist forests</v>
      </c>
      <c r="BJ503" s="33" t="str">
        <f>VLOOKUP($O503,Eco_DEM_Data!$D$1:$AC$643,11,False)</f>
        <v>Tropical &amp; Subtropical Moist Broadleaf Forests</v>
      </c>
    </row>
    <row r="504">
      <c r="A504" s="33" t="s">
        <v>1738</v>
      </c>
      <c r="B504" s="33" t="s">
        <v>2259</v>
      </c>
      <c r="C504" s="70" t="e">
        <v>#N/A</v>
      </c>
      <c r="D504" s="33" t="s">
        <v>53</v>
      </c>
      <c r="E504" s="34">
        <v>2017.0</v>
      </c>
      <c r="F504" s="33" t="s">
        <v>1739</v>
      </c>
      <c r="G504" s="33" t="s">
        <v>1740</v>
      </c>
      <c r="H504" s="33" t="s">
        <v>1386</v>
      </c>
      <c r="I504" s="33" t="s">
        <v>1741</v>
      </c>
      <c r="J504" s="33" t="s">
        <v>1742</v>
      </c>
      <c r="K504" s="34">
        <v>175.0</v>
      </c>
      <c r="L504" s="33"/>
      <c r="M504" s="6" t="s">
        <v>1743</v>
      </c>
      <c r="N504" s="35" t="s">
        <v>60</v>
      </c>
      <c r="O504" s="33" t="s">
        <v>1744</v>
      </c>
      <c r="P504" s="33" t="s">
        <v>62</v>
      </c>
      <c r="Q504" s="33" t="s">
        <v>92</v>
      </c>
      <c r="R504" s="33" t="s">
        <v>1745</v>
      </c>
      <c r="S504" s="34">
        <v>20.407785</v>
      </c>
      <c r="T504" s="55">
        <v>-87.464611</v>
      </c>
      <c r="U504" s="33" t="s">
        <v>148</v>
      </c>
      <c r="V504" s="6" t="s">
        <v>95</v>
      </c>
      <c r="W504" s="6" t="s">
        <v>615</v>
      </c>
      <c r="X504" s="1" t="s">
        <v>1746</v>
      </c>
      <c r="Y504" s="6" t="s">
        <v>99</v>
      </c>
      <c r="Z504" s="33"/>
      <c r="AA504" s="34">
        <v>21.0</v>
      </c>
      <c r="AB504" s="33"/>
      <c r="AC504" s="33"/>
      <c r="AD504" s="33"/>
      <c r="AE504" s="33"/>
      <c r="AF504" s="33"/>
      <c r="AG504" s="33"/>
      <c r="AH504" s="33" t="s">
        <v>1747</v>
      </c>
      <c r="AI504" s="34">
        <v>-6350.0</v>
      </c>
      <c r="AJ504" s="34">
        <v>1950.0</v>
      </c>
      <c r="AK504" s="6" t="s">
        <v>153</v>
      </c>
      <c r="AL504" s="6" t="s">
        <v>72</v>
      </c>
      <c r="AM504" s="6" t="s">
        <v>132</v>
      </c>
      <c r="AN504" s="6" t="s">
        <v>72</v>
      </c>
      <c r="AO504" s="33"/>
      <c r="AP504" s="6" t="s">
        <v>576</v>
      </c>
      <c r="AQ504" s="33"/>
      <c r="AR504" s="33"/>
      <c r="AS504" s="33"/>
      <c r="AT504" s="6" t="s">
        <v>76</v>
      </c>
      <c r="AU504" s="33"/>
      <c r="AV504" s="33"/>
      <c r="AW504" s="33"/>
      <c r="AX504" s="33"/>
      <c r="AY504" s="33"/>
      <c r="AZ504" s="6" t="s">
        <v>76</v>
      </c>
      <c r="BA504" s="33"/>
      <c r="BB504" s="33">
        <f>VLOOKUP(O504,Eco_DEM_Data!$D$1:$AC$643,20,False)</f>
        <v>1235</v>
      </c>
      <c r="BC504" s="33">
        <f>VLOOKUP($O504,Eco_DEM_Data!$D$1:$AC$643,20,False)</f>
        <v>1235</v>
      </c>
      <c r="BD504" s="33">
        <f>VLOOKUP($O504,Eco_DEM_Data!$D$1:$AC$643,25,False)</f>
        <v>512</v>
      </c>
      <c r="BE504" s="33">
        <f>VLOOKUP($O504,Eco_DEM_Data!$D$1:$AC$643,22,False)</f>
        <v>41</v>
      </c>
      <c r="BF504" s="33">
        <f>VLOOKUP($O504,Eco_DEM_Data!$D$1:$AC$643,23,False)</f>
        <v>137</v>
      </c>
      <c r="BG504" s="33">
        <f>VLOOKUP($O504,Eco_DEM_Data!$D$1:$AC$643,21,False)</f>
        <v>5112</v>
      </c>
      <c r="BH504" s="33">
        <f>VLOOKUP($O504,Eco_DEM_Data!$D$1:$AC$643,26,False)</f>
        <v>13</v>
      </c>
      <c r="BI504" s="33" t="str">
        <f>VLOOKUP($O504,Eco_DEM_Data!$D$1:$AC$643,9,False)</f>
        <v>Yucatán moist forests</v>
      </c>
      <c r="BJ504" s="33" t="str">
        <f>VLOOKUP($O504,Eco_DEM_Data!$D$1:$AC$643,11,False)</f>
        <v>Tropical &amp; Subtropical Moist Broadleaf Forests</v>
      </c>
    </row>
    <row r="505">
      <c r="A505" s="33" t="s">
        <v>1738</v>
      </c>
      <c r="B505" s="33" t="s">
        <v>2259</v>
      </c>
      <c r="C505" s="70" t="e">
        <v>#N/A</v>
      </c>
      <c r="D505" s="33" t="s">
        <v>53</v>
      </c>
      <c r="E505" s="34">
        <v>2017.0</v>
      </c>
      <c r="F505" s="33" t="s">
        <v>1739</v>
      </c>
      <c r="G505" s="33" t="s">
        <v>1740</v>
      </c>
      <c r="H505" s="33" t="s">
        <v>1386</v>
      </c>
      <c r="I505" s="33" t="s">
        <v>1741</v>
      </c>
      <c r="J505" s="33" t="s">
        <v>1742</v>
      </c>
      <c r="K505" s="34">
        <v>175.0</v>
      </c>
      <c r="L505" s="33"/>
      <c r="M505" s="6" t="s">
        <v>1743</v>
      </c>
      <c r="N505" s="35" t="s">
        <v>60</v>
      </c>
      <c r="O505" s="33" t="s">
        <v>1748</v>
      </c>
      <c r="P505" s="33" t="s">
        <v>62</v>
      </c>
      <c r="Q505" s="33" t="s">
        <v>92</v>
      </c>
      <c r="R505" s="33" t="s">
        <v>1745</v>
      </c>
      <c r="S505" s="34">
        <v>20.407785</v>
      </c>
      <c r="T505" s="55">
        <v>-87.464611</v>
      </c>
      <c r="U505" s="33" t="s">
        <v>148</v>
      </c>
      <c r="V505" s="6" t="s">
        <v>169</v>
      </c>
      <c r="W505" s="33" t="s">
        <v>1533</v>
      </c>
      <c r="X505" s="1" t="s">
        <v>1749</v>
      </c>
      <c r="Y505" s="6" t="s">
        <v>99</v>
      </c>
      <c r="Z505" s="33"/>
      <c r="AA505" s="34">
        <v>21.0</v>
      </c>
      <c r="AB505" s="33"/>
      <c r="AC505" s="33"/>
      <c r="AD505" s="33"/>
      <c r="AE505" s="33"/>
      <c r="AF505" s="33"/>
      <c r="AG505" s="33"/>
      <c r="AH505" s="33" t="s">
        <v>1747</v>
      </c>
      <c r="AI505" s="34">
        <v>-6350.0</v>
      </c>
      <c r="AJ505" s="34">
        <v>1950.0</v>
      </c>
      <c r="AK505" s="6" t="s">
        <v>153</v>
      </c>
      <c r="AL505" s="6" t="s">
        <v>72</v>
      </c>
      <c r="AM505" s="6" t="s">
        <v>132</v>
      </c>
      <c r="AN505" s="6" t="s">
        <v>72</v>
      </c>
      <c r="AO505" s="33"/>
      <c r="AP505" s="6" t="s">
        <v>576</v>
      </c>
      <c r="AQ505" s="33"/>
      <c r="AR505" s="33"/>
      <c r="AS505" s="33"/>
      <c r="AT505" s="6" t="s">
        <v>76</v>
      </c>
      <c r="AU505" s="33"/>
      <c r="AV505" s="33"/>
      <c r="AW505" s="33"/>
      <c r="AX505" s="33"/>
      <c r="AY505" s="33"/>
      <c r="AZ505" s="6" t="s">
        <v>76</v>
      </c>
      <c r="BA505" s="33"/>
      <c r="BB505" s="33">
        <f>VLOOKUP(O505,Eco_DEM_Data!$D$1:$AC$643,20,False)</f>
        <v>1235</v>
      </c>
      <c r="BC505" s="33">
        <f>VLOOKUP($O505,Eco_DEM_Data!$D$1:$AC$643,20,False)</f>
        <v>1235</v>
      </c>
      <c r="BD505" s="33">
        <f>VLOOKUP($O505,Eco_DEM_Data!$D$1:$AC$643,25,False)</f>
        <v>512</v>
      </c>
      <c r="BE505" s="33">
        <f>VLOOKUP($O505,Eco_DEM_Data!$D$1:$AC$643,22,False)</f>
        <v>41</v>
      </c>
      <c r="BF505" s="33">
        <f>VLOOKUP($O505,Eco_DEM_Data!$D$1:$AC$643,23,False)</f>
        <v>137</v>
      </c>
      <c r="BG505" s="33">
        <f>VLOOKUP($O505,Eco_DEM_Data!$D$1:$AC$643,21,False)</f>
        <v>5112</v>
      </c>
      <c r="BH505" s="33">
        <f>VLOOKUP($O505,Eco_DEM_Data!$D$1:$AC$643,26,False)</f>
        <v>13</v>
      </c>
      <c r="BI505" s="33" t="str">
        <f>VLOOKUP($O505,Eco_DEM_Data!$D$1:$AC$643,9,False)</f>
        <v>Yucatán moist forests</v>
      </c>
      <c r="BJ505" s="33" t="str">
        <f>VLOOKUP($O505,Eco_DEM_Data!$D$1:$AC$643,11,False)</f>
        <v>Tropical &amp; Subtropical Moist Broadleaf Forests</v>
      </c>
    </row>
    <row r="506">
      <c r="A506" s="33" t="s">
        <v>390</v>
      </c>
      <c r="B506" s="33" t="s">
        <v>2259</v>
      </c>
      <c r="C506" s="34">
        <v>23.0</v>
      </c>
      <c r="D506" s="33" t="s">
        <v>53</v>
      </c>
      <c r="E506" s="34">
        <v>2017.0</v>
      </c>
      <c r="F506" s="33" t="s">
        <v>391</v>
      </c>
      <c r="G506" s="33" t="s">
        <v>392</v>
      </c>
      <c r="H506" s="33" t="s">
        <v>359</v>
      </c>
      <c r="I506" s="33" t="s">
        <v>393</v>
      </c>
      <c r="J506" s="33" t="s">
        <v>394</v>
      </c>
      <c r="K506" s="34">
        <v>32.0</v>
      </c>
      <c r="L506" s="34">
        <v>1.0</v>
      </c>
      <c r="M506" s="6" t="s">
        <v>395</v>
      </c>
      <c r="N506" s="35" t="s">
        <v>60</v>
      </c>
      <c r="O506" s="33" t="s">
        <v>396</v>
      </c>
      <c r="P506" s="36" t="s">
        <v>62</v>
      </c>
      <c r="Q506" s="36" t="s">
        <v>167</v>
      </c>
      <c r="R506" s="36" t="s">
        <v>397</v>
      </c>
      <c r="S506" s="37">
        <v>17.239926</v>
      </c>
      <c r="T506" s="37">
        <v>-89.804629</v>
      </c>
      <c r="U506" s="36" t="s">
        <v>398</v>
      </c>
      <c r="V506" s="6" t="s">
        <v>189</v>
      </c>
      <c r="W506" s="33" t="s">
        <v>173</v>
      </c>
      <c r="X506" s="1" t="s">
        <v>191</v>
      </c>
      <c r="Y506" s="33" t="s">
        <v>70</v>
      </c>
      <c r="Z506" s="36"/>
      <c r="AA506" s="37">
        <v>3.0</v>
      </c>
      <c r="AB506" s="36"/>
      <c r="AC506" s="36"/>
      <c r="AD506" s="36"/>
      <c r="AE506" s="36"/>
      <c r="AF506" s="36"/>
      <c r="AG506" s="36"/>
      <c r="AH506" s="36" t="s">
        <v>399</v>
      </c>
      <c r="AI506" s="37">
        <v>220.0</v>
      </c>
      <c r="AJ506" s="37">
        <v>760.0</v>
      </c>
      <c r="AK506" s="6" t="s">
        <v>100</v>
      </c>
      <c r="AL506" s="6" t="s">
        <v>72</v>
      </c>
      <c r="AM506" s="33" t="s">
        <v>400</v>
      </c>
      <c r="AN506" s="6" t="s">
        <v>72</v>
      </c>
      <c r="AO506" s="33"/>
      <c r="AP506" s="6" t="s">
        <v>75</v>
      </c>
      <c r="AQ506" s="33"/>
      <c r="AR506" s="33"/>
      <c r="AS506" s="33"/>
      <c r="AT506" s="6" t="s">
        <v>76</v>
      </c>
      <c r="AU506" s="33"/>
      <c r="AV506" s="33"/>
      <c r="AW506" s="33"/>
      <c r="AX506" s="33"/>
      <c r="AY506" s="33"/>
      <c r="AZ506" s="6" t="s">
        <v>76</v>
      </c>
      <c r="BA506" s="33"/>
      <c r="BB506" s="33">
        <f>VLOOKUP(O506,Eco_DEM_Data!$D$1:$AC$643,20,False)</f>
        <v>1616</v>
      </c>
      <c r="BC506" s="33">
        <f>VLOOKUP($O506,Eco_DEM_Data!$D$1:$AC$643,20,False)</f>
        <v>1616</v>
      </c>
      <c r="BD506" s="33">
        <f>VLOOKUP($O506,Eco_DEM_Data!$D$1:$AC$643,25,False)</f>
        <v>647</v>
      </c>
      <c r="BE506" s="33">
        <f>VLOOKUP($O506,Eco_DEM_Data!$D$1:$AC$643,22,False)</f>
        <v>38</v>
      </c>
      <c r="BF506" s="33">
        <f>VLOOKUP($O506,Eco_DEM_Data!$D$1:$AC$643,23,False)</f>
        <v>128</v>
      </c>
      <c r="BG506" s="33">
        <f>VLOOKUP($O506,Eco_DEM_Data!$D$1:$AC$643,21,False)</f>
        <v>5637</v>
      </c>
      <c r="BH506" s="33">
        <f>VLOOKUP($O506,Eco_DEM_Data!$D$1:$AC$643,26,False)</f>
        <v>226</v>
      </c>
      <c r="BI506" s="33" t="str">
        <f>VLOOKUP($O506,Eco_DEM_Data!$D$1:$AC$643,9,False)</f>
        <v>Petén-Veracruz moist forests</v>
      </c>
      <c r="BJ506" s="33" t="str">
        <f>VLOOKUP($O506,Eco_DEM_Data!$D$1:$AC$643,11,False)</f>
        <v>Tropical &amp; Subtropical Moist Broadleaf Forests</v>
      </c>
    </row>
    <row r="507">
      <c r="A507" s="33" t="s">
        <v>390</v>
      </c>
      <c r="B507" s="33" t="s">
        <v>2259</v>
      </c>
      <c r="C507" s="34">
        <v>23.0</v>
      </c>
      <c r="D507" s="33" t="s">
        <v>53</v>
      </c>
      <c r="E507" s="34">
        <v>2017.0</v>
      </c>
      <c r="F507" s="33" t="s">
        <v>391</v>
      </c>
      <c r="G507" s="33" t="s">
        <v>392</v>
      </c>
      <c r="H507" s="33" t="s">
        <v>359</v>
      </c>
      <c r="I507" s="33" t="s">
        <v>393</v>
      </c>
      <c r="J507" s="33" t="s">
        <v>394</v>
      </c>
      <c r="K507" s="34">
        <v>32.0</v>
      </c>
      <c r="L507" s="34">
        <v>1.0</v>
      </c>
      <c r="M507" s="6" t="s">
        <v>395</v>
      </c>
      <c r="N507" s="35" t="s">
        <v>60</v>
      </c>
      <c r="O507" s="33" t="s">
        <v>401</v>
      </c>
      <c r="P507" s="36" t="s">
        <v>62</v>
      </c>
      <c r="Q507" s="36" t="s">
        <v>167</v>
      </c>
      <c r="R507" s="36" t="s">
        <v>402</v>
      </c>
      <c r="S507" s="37">
        <v>17.239567</v>
      </c>
      <c r="T507" s="37">
        <v>-89.810542</v>
      </c>
      <c r="U507" s="36" t="s">
        <v>398</v>
      </c>
      <c r="V507" s="6" t="s">
        <v>189</v>
      </c>
      <c r="W507" s="33" t="s">
        <v>173</v>
      </c>
      <c r="X507" s="1" t="s">
        <v>191</v>
      </c>
      <c r="Y507" s="33" t="s">
        <v>70</v>
      </c>
      <c r="Z507" s="36"/>
      <c r="AA507" s="37">
        <v>2.0</v>
      </c>
      <c r="AB507" s="36"/>
      <c r="AC507" s="36"/>
      <c r="AD507" s="36"/>
      <c r="AE507" s="36"/>
      <c r="AF507" s="36"/>
      <c r="AG507" s="36"/>
      <c r="AH507" s="36" t="s">
        <v>399</v>
      </c>
      <c r="AI507" s="37">
        <v>255.0</v>
      </c>
      <c r="AJ507" s="37">
        <v>370.0</v>
      </c>
      <c r="AK507" s="6" t="s">
        <v>100</v>
      </c>
      <c r="AL507" s="6" t="s">
        <v>72</v>
      </c>
      <c r="AM507" s="33" t="s">
        <v>400</v>
      </c>
      <c r="AN507" s="6" t="s">
        <v>72</v>
      </c>
      <c r="AO507" s="33"/>
      <c r="AP507" s="6" t="s">
        <v>75</v>
      </c>
      <c r="AQ507" s="33"/>
      <c r="AR507" s="33"/>
      <c r="AS507" s="33"/>
      <c r="AT507" s="6" t="s">
        <v>76</v>
      </c>
      <c r="AU507" s="33"/>
      <c r="AV507" s="33"/>
      <c r="AW507" s="33"/>
      <c r="AX507" s="33"/>
      <c r="AY507" s="33"/>
      <c r="AZ507" s="6" t="s">
        <v>76</v>
      </c>
      <c r="BA507" s="33"/>
      <c r="BB507" s="33">
        <f>VLOOKUP(O507,Eco_DEM_Data!$D$1:$AC$643,20,False)</f>
        <v>1621</v>
      </c>
      <c r="BC507" s="33">
        <f>VLOOKUP($O507,Eco_DEM_Data!$D$1:$AC$643,20,False)</f>
        <v>1621</v>
      </c>
      <c r="BD507" s="33">
        <f>VLOOKUP($O507,Eco_DEM_Data!$D$1:$AC$643,25,False)</f>
        <v>649</v>
      </c>
      <c r="BE507" s="33">
        <f>VLOOKUP($O507,Eco_DEM_Data!$D$1:$AC$643,22,False)</f>
        <v>38</v>
      </c>
      <c r="BF507" s="33">
        <f>VLOOKUP($O507,Eco_DEM_Data!$D$1:$AC$643,23,False)</f>
        <v>130</v>
      </c>
      <c r="BG507" s="33">
        <f>VLOOKUP($O507,Eco_DEM_Data!$D$1:$AC$643,21,False)</f>
        <v>5627</v>
      </c>
      <c r="BH507" s="33">
        <f>VLOOKUP($O507,Eco_DEM_Data!$D$1:$AC$643,26,False)</f>
        <v>249</v>
      </c>
      <c r="BI507" s="33" t="str">
        <f>VLOOKUP($O507,Eco_DEM_Data!$D$1:$AC$643,9,False)</f>
        <v>Petén-Veracruz moist forests</v>
      </c>
      <c r="BJ507" s="33" t="str">
        <f>VLOOKUP($O507,Eco_DEM_Data!$D$1:$AC$643,11,False)</f>
        <v>Tropical &amp; Subtropical Moist Broadleaf Forests</v>
      </c>
    </row>
    <row r="508">
      <c r="A508" s="33" t="s">
        <v>390</v>
      </c>
      <c r="B508" s="33" t="s">
        <v>2259</v>
      </c>
      <c r="C508" s="34">
        <v>23.0</v>
      </c>
      <c r="D508" s="33" t="s">
        <v>53</v>
      </c>
      <c r="E508" s="34">
        <v>2017.0</v>
      </c>
      <c r="F508" s="33" t="s">
        <v>391</v>
      </c>
      <c r="G508" s="33" t="s">
        <v>392</v>
      </c>
      <c r="H508" s="33" t="s">
        <v>359</v>
      </c>
      <c r="I508" s="33" t="s">
        <v>393</v>
      </c>
      <c r="J508" s="33" t="s">
        <v>394</v>
      </c>
      <c r="K508" s="34">
        <v>32.0</v>
      </c>
      <c r="L508" s="34">
        <v>1.0</v>
      </c>
      <c r="M508" s="6" t="s">
        <v>395</v>
      </c>
      <c r="N508" s="35" t="s">
        <v>60</v>
      </c>
      <c r="O508" s="33" t="s">
        <v>403</v>
      </c>
      <c r="P508" s="36" t="s">
        <v>62</v>
      </c>
      <c r="Q508" s="36" t="s">
        <v>167</v>
      </c>
      <c r="R508" s="36" t="s">
        <v>404</v>
      </c>
      <c r="S508" s="37">
        <v>17.228088</v>
      </c>
      <c r="T508" s="37">
        <v>-89.761455</v>
      </c>
      <c r="U508" s="36" t="s">
        <v>398</v>
      </c>
      <c r="V508" s="6" t="s">
        <v>189</v>
      </c>
      <c r="W508" s="33" t="s">
        <v>173</v>
      </c>
      <c r="X508" s="1" t="s">
        <v>191</v>
      </c>
      <c r="Y508" s="33" t="s">
        <v>70</v>
      </c>
      <c r="Z508" s="36"/>
      <c r="AA508" s="37">
        <v>1.0</v>
      </c>
      <c r="AB508" s="36"/>
      <c r="AC508" s="36"/>
      <c r="AD508" s="36"/>
      <c r="AE508" s="36"/>
      <c r="AF508" s="36"/>
      <c r="AG508" s="36"/>
      <c r="AH508" s="36" t="s">
        <v>399</v>
      </c>
      <c r="AI508" s="37">
        <v>-475.0</v>
      </c>
      <c r="AJ508" s="52" t="s">
        <v>72</v>
      </c>
      <c r="AK508" s="6" t="s">
        <v>100</v>
      </c>
      <c r="AL508" s="6" t="s">
        <v>72</v>
      </c>
      <c r="AM508" s="33" t="s">
        <v>400</v>
      </c>
      <c r="AN508" s="6" t="s">
        <v>72</v>
      </c>
      <c r="AO508" s="33"/>
      <c r="AP508" s="6" t="s">
        <v>75</v>
      </c>
      <c r="AQ508" s="33"/>
      <c r="AR508" s="33"/>
      <c r="AS508" s="33"/>
      <c r="AT508" s="6" t="s">
        <v>76</v>
      </c>
      <c r="AU508" s="33"/>
      <c r="AV508" s="33"/>
      <c r="AW508" s="33"/>
      <c r="AX508" s="33"/>
      <c r="AY508" s="33"/>
      <c r="AZ508" s="6" t="s">
        <v>76</v>
      </c>
      <c r="BA508" s="33"/>
      <c r="BB508" s="33">
        <f>VLOOKUP(O508,Eco_DEM_Data!$D$1:$AC$643,20,False)</f>
        <v>1614</v>
      </c>
      <c r="BC508" s="33">
        <f>VLOOKUP($O508,Eco_DEM_Data!$D$1:$AC$643,20,False)</f>
        <v>1614</v>
      </c>
      <c r="BD508" s="33">
        <f>VLOOKUP($O508,Eco_DEM_Data!$D$1:$AC$643,25,False)</f>
        <v>641</v>
      </c>
      <c r="BE508" s="33">
        <f>VLOOKUP($O508,Eco_DEM_Data!$D$1:$AC$643,22,False)</f>
        <v>38</v>
      </c>
      <c r="BF508" s="33">
        <f>VLOOKUP($O508,Eco_DEM_Data!$D$1:$AC$643,23,False)</f>
        <v>130</v>
      </c>
      <c r="BG508" s="33">
        <f>VLOOKUP($O508,Eco_DEM_Data!$D$1:$AC$643,21,False)</f>
        <v>5597</v>
      </c>
      <c r="BH508" s="33">
        <f>VLOOKUP($O508,Eco_DEM_Data!$D$1:$AC$643,26,False)</f>
        <v>229</v>
      </c>
      <c r="BI508" s="33" t="str">
        <f>VLOOKUP($O508,Eco_DEM_Data!$D$1:$AC$643,9,False)</f>
        <v>Petén-Veracruz moist forests</v>
      </c>
      <c r="BJ508" s="33" t="str">
        <f>VLOOKUP($O508,Eco_DEM_Data!$D$1:$AC$643,11,False)</f>
        <v>Tropical &amp; Subtropical Moist Broadleaf Forests</v>
      </c>
    </row>
    <row r="509">
      <c r="A509" s="33" t="s">
        <v>390</v>
      </c>
      <c r="B509" s="33" t="s">
        <v>2259</v>
      </c>
      <c r="C509" s="34">
        <v>23.0</v>
      </c>
      <c r="D509" s="33" t="s">
        <v>53</v>
      </c>
      <c r="E509" s="34">
        <v>2017.0</v>
      </c>
      <c r="F509" s="33" t="s">
        <v>391</v>
      </c>
      <c r="G509" s="33" t="s">
        <v>392</v>
      </c>
      <c r="H509" s="33" t="s">
        <v>359</v>
      </c>
      <c r="I509" s="33" t="s">
        <v>393</v>
      </c>
      <c r="J509" s="33" t="s">
        <v>394</v>
      </c>
      <c r="K509" s="34">
        <v>32.0</v>
      </c>
      <c r="L509" s="34">
        <v>1.0</v>
      </c>
      <c r="M509" s="6" t="s">
        <v>395</v>
      </c>
      <c r="N509" s="35" t="s">
        <v>60</v>
      </c>
      <c r="O509" s="33" t="s">
        <v>405</v>
      </c>
      <c r="P509" s="36" t="s">
        <v>62</v>
      </c>
      <c r="Q509" s="36" t="s">
        <v>167</v>
      </c>
      <c r="R509" s="36" t="s">
        <v>406</v>
      </c>
      <c r="S509" s="37">
        <v>17.228088</v>
      </c>
      <c r="T509" s="37">
        <v>-89.761455</v>
      </c>
      <c r="U509" s="36" t="s">
        <v>398</v>
      </c>
      <c r="V509" s="6" t="s">
        <v>189</v>
      </c>
      <c r="W509" s="33" t="s">
        <v>173</v>
      </c>
      <c r="X509" s="1" t="s">
        <v>191</v>
      </c>
      <c r="Y509" s="33" t="s">
        <v>70</v>
      </c>
      <c r="Z509" s="36"/>
      <c r="AA509" s="37">
        <v>3.0</v>
      </c>
      <c r="AB509" s="36"/>
      <c r="AC509" s="36"/>
      <c r="AD509" s="36"/>
      <c r="AE509" s="36"/>
      <c r="AF509" s="36"/>
      <c r="AG509" s="36"/>
      <c r="AH509" s="36" t="s">
        <v>399</v>
      </c>
      <c r="AI509" s="37">
        <v>-1725.0</v>
      </c>
      <c r="AJ509" s="37">
        <v>20.0</v>
      </c>
      <c r="AK509" s="6" t="s">
        <v>73</v>
      </c>
      <c r="AL509" s="6" t="s">
        <v>72</v>
      </c>
      <c r="AM509" s="33" t="s">
        <v>400</v>
      </c>
      <c r="AN509" s="6" t="s">
        <v>72</v>
      </c>
      <c r="AO509" s="33"/>
      <c r="AP509" s="6" t="s">
        <v>75</v>
      </c>
      <c r="AQ509" s="33"/>
      <c r="AR509" s="33"/>
      <c r="AS509" s="33"/>
      <c r="AT509" s="6" t="s">
        <v>76</v>
      </c>
      <c r="AU509" s="33"/>
      <c r="AV509" s="33"/>
      <c r="AW509" s="33"/>
      <c r="AX509" s="33"/>
      <c r="AY509" s="33"/>
      <c r="AZ509" s="6" t="s">
        <v>76</v>
      </c>
      <c r="BA509" s="33"/>
      <c r="BB509" s="33">
        <f>VLOOKUP(O509,Eco_DEM_Data!$D$1:$AC$643,20,False)</f>
        <v>1614</v>
      </c>
      <c r="BC509" s="33">
        <f>VLOOKUP($O509,Eco_DEM_Data!$D$1:$AC$643,20,False)</f>
        <v>1614</v>
      </c>
      <c r="BD509" s="33">
        <f>VLOOKUP($O509,Eco_DEM_Data!$D$1:$AC$643,25,False)</f>
        <v>641</v>
      </c>
      <c r="BE509" s="33">
        <f>VLOOKUP($O509,Eco_DEM_Data!$D$1:$AC$643,22,False)</f>
        <v>38</v>
      </c>
      <c r="BF509" s="33">
        <f>VLOOKUP($O509,Eco_DEM_Data!$D$1:$AC$643,23,False)</f>
        <v>130</v>
      </c>
      <c r="BG509" s="33">
        <f>VLOOKUP($O509,Eco_DEM_Data!$D$1:$AC$643,21,False)</f>
        <v>5597</v>
      </c>
      <c r="BH509" s="33">
        <f>VLOOKUP($O509,Eco_DEM_Data!$D$1:$AC$643,26,False)</f>
        <v>229</v>
      </c>
      <c r="BI509" s="33" t="str">
        <f>VLOOKUP($O509,Eco_DEM_Data!$D$1:$AC$643,9,False)</f>
        <v>Petén-Veracruz moist forests</v>
      </c>
      <c r="BJ509" s="33" t="str">
        <f>VLOOKUP($O509,Eco_DEM_Data!$D$1:$AC$643,11,False)</f>
        <v>Tropical &amp; Subtropical Moist Broadleaf Forests</v>
      </c>
    </row>
    <row r="510">
      <c r="A510" s="33" t="s">
        <v>390</v>
      </c>
      <c r="B510" s="33" t="s">
        <v>2259</v>
      </c>
      <c r="C510" s="34">
        <v>23.0</v>
      </c>
      <c r="D510" s="33" t="s">
        <v>53</v>
      </c>
      <c r="E510" s="34">
        <v>2017.0</v>
      </c>
      <c r="F510" s="33" t="s">
        <v>391</v>
      </c>
      <c r="G510" s="33" t="s">
        <v>392</v>
      </c>
      <c r="H510" s="33" t="s">
        <v>359</v>
      </c>
      <c r="I510" s="33" t="s">
        <v>393</v>
      </c>
      <c r="J510" s="33" t="s">
        <v>394</v>
      </c>
      <c r="K510" s="34">
        <v>32.0</v>
      </c>
      <c r="L510" s="34">
        <v>1.0</v>
      </c>
      <c r="M510" s="6" t="s">
        <v>395</v>
      </c>
      <c r="N510" s="35" t="s">
        <v>60</v>
      </c>
      <c r="O510" s="33" t="s">
        <v>407</v>
      </c>
      <c r="P510" s="36" t="s">
        <v>62</v>
      </c>
      <c r="Q510" s="36" t="s">
        <v>167</v>
      </c>
      <c r="R510" s="36" t="s">
        <v>406</v>
      </c>
      <c r="S510" s="37">
        <v>17.228088</v>
      </c>
      <c r="T510" s="37">
        <v>-89.761455</v>
      </c>
      <c r="U510" s="36" t="s">
        <v>398</v>
      </c>
      <c r="V510" s="6" t="s">
        <v>189</v>
      </c>
      <c r="W510" s="33" t="s">
        <v>173</v>
      </c>
      <c r="X510" s="1" t="s">
        <v>191</v>
      </c>
      <c r="Y510" s="33" t="s">
        <v>70</v>
      </c>
      <c r="Z510" s="36"/>
      <c r="AA510" s="37">
        <v>2.0</v>
      </c>
      <c r="AB510" s="36"/>
      <c r="AC510" s="36"/>
      <c r="AD510" s="36"/>
      <c r="AE510" s="36"/>
      <c r="AF510" s="36"/>
      <c r="AG510" s="36"/>
      <c r="AH510" s="36" t="s">
        <v>408</v>
      </c>
      <c r="AI510" s="37">
        <v>235.0</v>
      </c>
      <c r="AJ510" s="37">
        <v>660.0</v>
      </c>
      <c r="AK510" s="6" t="s">
        <v>100</v>
      </c>
      <c r="AL510" s="6" t="s">
        <v>72</v>
      </c>
      <c r="AM510" s="33" t="s">
        <v>400</v>
      </c>
      <c r="AN510" s="6" t="s">
        <v>72</v>
      </c>
      <c r="AO510" s="33"/>
      <c r="AP510" s="6" t="s">
        <v>75</v>
      </c>
      <c r="AQ510" s="33"/>
      <c r="AR510" s="33"/>
      <c r="AS510" s="33"/>
      <c r="AT510" s="6" t="s">
        <v>76</v>
      </c>
      <c r="AU510" s="33"/>
      <c r="AV510" s="33"/>
      <c r="AW510" s="33"/>
      <c r="AX510" s="33"/>
      <c r="AY510" s="33"/>
      <c r="AZ510" s="6" t="s">
        <v>76</v>
      </c>
      <c r="BA510" s="33"/>
      <c r="BB510" s="33">
        <f>VLOOKUP(O510,Eco_DEM_Data!$D$1:$AC$643,20,False)</f>
        <v>1614</v>
      </c>
      <c r="BC510" s="33">
        <f>VLOOKUP($O510,Eco_DEM_Data!$D$1:$AC$643,20,False)</f>
        <v>1614</v>
      </c>
      <c r="BD510" s="33">
        <f>VLOOKUP($O510,Eco_DEM_Data!$D$1:$AC$643,25,False)</f>
        <v>641</v>
      </c>
      <c r="BE510" s="33">
        <f>VLOOKUP($O510,Eco_DEM_Data!$D$1:$AC$643,22,False)</f>
        <v>38</v>
      </c>
      <c r="BF510" s="33">
        <f>VLOOKUP($O510,Eco_DEM_Data!$D$1:$AC$643,23,False)</f>
        <v>130</v>
      </c>
      <c r="BG510" s="33">
        <f>VLOOKUP($O510,Eco_DEM_Data!$D$1:$AC$643,21,False)</f>
        <v>5597</v>
      </c>
      <c r="BH510" s="33">
        <f>VLOOKUP($O510,Eco_DEM_Data!$D$1:$AC$643,26,False)</f>
        <v>229</v>
      </c>
      <c r="BI510" s="33" t="str">
        <f>VLOOKUP($O510,Eco_DEM_Data!$D$1:$AC$643,9,False)</f>
        <v>Petén-Veracruz moist forests</v>
      </c>
      <c r="BJ510" s="33" t="str">
        <f>VLOOKUP($O510,Eco_DEM_Data!$D$1:$AC$643,11,False)</f>
        <v>Tropical &amp; Subtropical Moist Broadleaf Forests</v>
      </c>
    </row>
    <row r="511">
      <c r="A511" s="33" t="s">
        <v>390</v>
      </c>
      <c r="B511" s="33" t="s">
        <v>2259</v>
      </c>
      <c r="C511" s="34">
        <v>23.0</v>
      </c>
      <c r="D511" s="33" t="s">
        <v>53</v>
      </c>
      <c r="E511" s="34">
        <v>2017.0</v>
      </c>
      <c r="F511" s="33" t="s">
        <v>391</v>
      </c>
      <c r="G511" s="33" t="s">
        <v>392</v>
      </c>
      <c r="H511" s="33" t="s">
        <v>359</v>
      </c>
      <c r="I511" s="33" t="s">
        <v>393</v>
      </c>
      <c r="J511" s="33" t="s">
        <v>394</v>
      </c>
      <c r="K511" s="34">
        <v>32.0</v>
      </c>
      <c r="L511" s="34">
        <v>1.0</v>
      </c>
      <c r="M511" s="6" t="s">
        <v>395</v>
      </c>
      <c r="N511" s="35" t="s">
        <v>60</v>
      </c>
      <c r="O511" s="33" t="s">
        <v>409</v>
      </c>
      <c r="P511" s="36" t="s">
        <v>62</v>
      </c>
      <c r="Q511" s="36" t="s">
        <v>167</v>
      </c>
      <c r="R511" s="36" t="s">
        <v>397</v>
      </c>
      <c r="S511" s="37">
        <v>17.239926</v>
      </c>
      <c r="T511" s="37">
        <v>-89.804629</v>
      </c>
      <c r="U511" s="36" t="s">
        <v>398</v>
      </c>
      <c r="V511" s="6" t="s">
        <v>135</v>
      </c>
      <c r="W511" s="41" t="s">
        <v>823</v>
      </c>
      <c r="X511" s="7" t="s">
        <v>410</v>
      </c>
      <c r="Y511" s="60" t="s">
        <v>70</v>
      </c>
      <c r="Z511" s="43"/>
      <c r="AA511" s="42">
        <v>3.0</v>
      </c>
      <c r="AB511" s="43"/>
      <c r="AC511" s="43"/>
      <c r="AD511" s="43"/>
      <c r="AE511" s="43"/>
      <c r="AF511" s="43"/>
      <c r="AG511" s="43"/>
      <c r="AH511" s="43" t="s">
        <v>399</v>
      </c>
      <c r="AI511" s="42">
        <v>220.0</v>
      </c>
      <c r="AJ511" s="42">
        <v>760.0</v>
      </c>
      <c r="AK511" s="5" t="s">
        <v>100</v>
      </c>
      <c r="AL511" s="5" t="s">
        <v>72</v>
      </c>
      <c r="AM511" s="33" t="s">
        <v>400</v>
      </c>
      <c r="AN511" s="5" t="s">
        <v>72</v>
      </c>
      <c r="AO511" s="41"/>
      <c r="AP511" s="5" t="s">
        <v>75</v>
      </c>
      <c r="AQ511" s="41"/>
      <c r="AR511" s="41"/>
      <c r="AS511" s="41"/>
      <c r="AT511" s="6" t="s">
        <v>76</v>
      </c>
      <c r="AU511" s="33"/>
      <c r="AV511" s="33"/>
      <c r="AW511" s="33"/>
      <c r="AX511" s="33"/>
      <c r="AY511" s="33"/>
      <c r="AZ511" s="6" t="s">
        <v>76</v>
      </c>
      <c r="BA511" s="33"/>
      <c r="BB511" s="33">
        <f>VLOOKUP(O511,Eco_DEM_Data!$D$1:$AC$643,20,False)</f>
        <v>1616</v>
      </c>
      <c r="BC511" s="33">
        <f>VLOOKUP($O511,Eco_DEM_Data!$D$1:$AC$643,20,False)</f>
        <v>1616</v>
      </c>
      <c r="BD511" s="33">
        <f>VLOOKUP($O511,Eco_DEM_Data!$D$1:$AC$643,25,False)</f>
        <v>647</v>
      </c>
      <c r="BE511" s="33">
        <f>VLOOKUP($O511,Eco_DEM_Data!$D$1:$AC$643,22,False)</f>
        <v>38</v>
      </c>
      <c r="BF511" s="33">
        <f>VLOOKUP($O511,Eco_DEM_Data!$D$1:$AC$643,23,False)</f>
        <v>128</v>
      </c>
      <c r="BG511" s="33">
        <f>VLOOKUP($O511,Eco_DEM_Data!$D$1:$AC$643,21,False)</f>
        <v>5637</v>
      </c>
      <c r="BH511" s="33">
        <f>VLOOKUP($O511,Eco_DEM_Data!$D$1:$AC$643,26,False)</f>
        <v>226</v>
      </c>
      <c r="BI511" s="33" t="str">
        <f>VLOOKUP($O511,Eco_DEM_Data!$D$1:$AC$643,9,False)</f>
        <v>Petén-Veracruz moist forests</v>
      </c>
      <c r="BJ511" s="33" t="str">
        <f>VLOOKUP($O511,Eco_DEM_Data!$D$1:$AC$643,11,False)</f>
        <v>Tropical &amp; Subtropical Moist Broadleaf Forests</v>
      </c>
    </row>
    <row r="512">
      <c r="A512" s="33" t="s">
        <v>390</v>
      </c>
      <c r="B512" s="33" t="s">
        <v>2259</v>
      </c>
      <c r="C512" s="34">
        <v>23.0</v>
      </c>
      <c r="D512" s="33" t="s">
        <v>53</v>
      </c>
      <c r="E512" s="34">
        <v>2017.0</v>
      </c>
      <c r="F512" s="33" t="s">
        <v>391</v>
      </c>
      <c r="G512" s="33" t="s">
        <v>392</v>
      </c>
      <c r="H512" s="33" t="s">
        <v>359</v>
      </c>
      <c r="I512" s="33" t="s">
        <v>393</v>
      </c>
      <c r="J512" s="33" t="s">
        <v>394</v>
      </c>
      <c r="K512" s="34">
        <v>32.0</v>
      </c>
      <c r="L512" s="34">
        <v>1.0</v>
      </c>
      <c r="M512" s="6" t="s">
        <v>395</v>
      </c>
      <c r="N512" s="35" t="s">
        <v>60</v>
      </c>
      <c r="O512" s="33" t="s">
        <v>412</v>
      </c>
      <c r="P512" s="36" t="s">
        <v>62</v>
      </c>
      <c r="Q512" s="36" t="s">
        <v>167</v>
      </c>
      <c r="R512" s="36" t="s">
        <v>402</v>
      </c>
      <c r="S512" s="37">
        <v>17.239567</v>
      </c>
      <c r="T512" s="37">
        <v>-89.810542</v>
      </c>
      <c r="U512" s="36" t="s">
        <v>398</v>
      </c>
      <c r="V512" s="6" t="s">
        <v>135</v>
      </c>
      <c r="W512" s="41" t="s">
        <v>823</v>
      </c>
      <c r="X512" s="7" t="s">
        <v>410</v>
      </c>
      <c r="Y512" s="60" t="s">
        <v>70</v>
      </c>
      <c r="Z512" s="43"/>
      <c r="AA512" s="42">
        <v>2.0</v>
      </c>
      <c r="AB512" s="43"/>
      <c r="AC512" s="43"/>
      <c r="AD512" s="43"/>
      <c r="AE512" s="43"/>
      <c r="AF512" s="43"/>
      <c r="AG512" s="43"/>
      <c r="AH512" s="43" t="s">
        <v>399</v>
      </c>
      <c r="AI512" s="42">
        <v>255.0</v>
      </c>
      <c r="AJ512" s="42">
        <v>370.0</v>
      </c>
      <c r="AK512" s="5" t="s">
        <v>100</v>
      </c>
      <c r="AL512" s="5" t="s">
        <v>72</v>
      </c>
      <c r="AM512" s="33" t="s">
        <v>400</v>
      </c>
      <c r="AN512" s="5" t="s">
        <v>72</v>
      </c>
      <c r="AO512" s="41"/>
      <c r="AP512" s="5" t="s">
        <v>75</v>
      </c>
      <c r="AQ512" s="41"/>
      <c r="AR512" s="41"/>
      <c r="AS512" s="41"/>
      <c r="AT512" s="6" t="s">
        <v>76</v>
      </c>
      <c r="AU512" s="33"/>
      <c r="AV512" s="33"/>
      <c r="AW512" s="33"/>
      <c r="AX512" s="33"/>
      <c r="AY512" s="33"/>
      <c r="AZ512" s="6" t="s">
        <v>76</v>
      </c>
      <c r="BA512" s="33"/>
      <c r="BB512" s="33">
        <f>VLOOKUP(O512,Eco_DEM_Data!$D$1:$AC$643,20,False)</f>
        <v>1621</v>
      </c>
      <c r="BC512" s="33">
        <f>VLOOKUP($O512,Eco_DEM_Data!$D$1:$AC$643,20,False)</f>
        <v>1621</v>
      </c>
      <c r="BD512" s="33">
        <f>VLOOKUP($O512,Eco_DEM_Data!$D$1:$AC$643,25,False)</f>
        <v>649</v>
      </c>
      <c r="BE512" s="33">
        <f>VLOOKUP($O512,Eco_DEM_Data!$D$1:$AC$643,22,False)</f>
        <v>38</v>
      </c>
      <c r="BF512" s="33">
        <f>VLOOKUP($O512,Eco_DEM_Data!$D$1:$AC$643,23,False)</f>
        <v>130</v>
      </c>
      <c r="BG512" s="33">
        <f>VLOOKUP($O512,Eco_DEM_Data!$D$1:$AC$643,21,False)</f>
        <v>5627</v>
      </c>
      <c r="BH512" s="33">
        <f>VLOOKUP($O512,Eco_DEM_Data!$D$1:$AC$643,26,False)</f>
        <v>249</v>
      </c>
      <c r="BI512" s="33" t="str">
        <f>VLOOKUP($O512,Eco_DEM_Data!$D$1:$AC$643,9,False)</f>
        <v>Petén-Veracruz moist forests</v>
      </c>
      <c r="BJ512" s="33" t="str">
        <f>VLOOKUP($O512,Eco_DEM_Data!$D$1:$AC$643,11,False)</f>
        <v>Tropical &amp; Subtropical Moist Broadleaf Forests</v>
      </c>
    </row>
    <row r="513">
      <c r="A513" s="33" t="s">
        <v>390</v>
      </c>
      <c r="B513" s="33" t="s">
        <v>2259</v>
      </c>
      <c r="C513" s="34">
        <v>23.0</v>
      </c>
      <c r="D513" s="33" t="s">
        <v>53</v>
      </c>
      <c r="E513" s="34">
        <v>2017.0</v>
      </c>
      <c r="F513" s="33" t="s">
        <v>391</v>
      </c>
      <c r="G513" s="33" t="s">
        <v>392</v>
      </c>
      <c r="H513" s="33" t="s">
        <v>359</v>
      </c>
      <c r="I513" s="33" t="s">
        <v>393</v>
      </c>
      <c r="J513" s="33" t="s">
        <v>394</v>
      </c>
      <c r="K513" s="34">
        <v>32.0</v>
      </c>
      <c r="L513" s="34">
        <v>1.0</v>
      </c>
      <c r="M513" s="6" t="s">
        <v>395</v>
      </c>
      <c r="N513" s="35" t="s">
        <v>60</v>
      </c>
      <c r="O513" s="33" t="s">
        <v>413</v>
      </c>
      <c r="P513" s="36" t="s">
        <v>62</v>
      </c>
      <c r="Q513" s="36" t="s">
        <v>167</v>
      </c>
      <c r="R513" s="36" t="s">
        <v>404</v>
      </c>
      <c r="S513" s="37">
        <v>17.228088</v>
      </c>
      <c r="T513" s="37">
        <v>-89.761455</v>
      </c>
      <c r="U513" s="36" t="s">
        <v>398</v>
      </c>
      <c r="V513" s="6" t="s">
        <v>135</v>
      </c>
      <c r="W513" s="41" t="s">
        <v>823</v>
      </c>
      <c r="X513" s="7" t="s">
        <v>410</v>
      </c>
      <c r="Y513" s="60" t="s">
        <v>70</v>
      </c>
      <c r="Z513" s="43"/>
      <c r="AA513" s="42">
        <v>1.0</v>
      </c>
      <c r="AB513" s="43"/>
      <c r="AC513" s="43"/>
      <c r="AD513" s="43"/>
      <c r="AE513" s="43"/>
      <c r="AF513" s="43"/>
      <c r="AG513" s="43"/>
      <c r="AH513" s="43" t="s">
        <v>399</v>
      </c>
      <c r="AI513" s="42">
        <v>-475.0</v>
      </c>
      <c r="AJ513" s="53" t="s">
        <v>72</v>
      </c>
      <c r="AK513" s="5" t="s">
        <v>100</v>
      </c>
      <c r="AL513" s="5" t="s">
        <v>72</v>
      </c>
      <c r="AM513" s="33" t="s">
        <v>400</v>
      </c>
      <c r="AN513" s="5" t="s">
        <v>72</v>
      </c>
      <c r="AO513" s="41"/>
      <c r="AP513" s="5" t="s">
        <v>75</v>
      </c>
      <c r="AQ513" s="41"/>
      <c r="AR513" s="41"/>
      <c r="AS513" s="41"/>
      <c r="AT513" s="6" t="s">
        <v>76</v>
      </c>
      <c r="AU513" s="33"/>
      <c r="AV513" s="33"/>
      <c r="AW513" s="33"/>
      <c r="AX513" s="33"/>
      <c r="AY513" s="33"/>
      <c r="AZ513" s="6" t="s">
        <v>76</v>
      </c>
      <c r="BA513" s="33"/>
      <c r="BB513" s="33">
        <f>VLOOKUP(O513,Eco_DEM_Data!$D$1:$AC$643,20,False)</f>
        <v>1614</v>
      </c>
      <c r="BC513" s="33">
        <f>VLOOKUP($O513,Eco_DEM_Data!$D$1:$AC$643,20,False)</f>
        <v>1614</v>
      </c>
      <c r="BD513" s="33">
        <f>VLOOKUP($O513,Eco_DEM_Data!$D$1:$AC$643,25,False)</f>
        <v>641</v>
      </c>
      <c r="BE513" s="33">
        <f>VLOOKUP($O513,Eco_DEM_Data!$D$1:$AC$643,22,False)</f>
        <v>38</v>
      </c>
      <c r="BF513" s="33">
        <f>VLOOKUP($O513,Eco_DEM_Data!$D$1:$AC$643,23,False)</f>
        <v>130</v>
      </c>
      <c r="BG513" s="33">
        <f>VLOOKUP($O513,Eco_DEM_Data!$D$1:$AC$643,21,False)</f>
        <v>5597</v>
      </c>
      <c r="BH513" s="33">
        <f>VLOOKUP($O513,Eco_DEM_Data!$D$1:$AC$643,26,False)</f>
        <v>229</v>
      </c>
      <c r="BI513" s="33" t="str">
        <f>VLOOKUP($O513,Eco_DEM_Data!$D$1:$AC$643,9,False)</f>
        <v>Petén-Veracruz moist forests</v>
      </c>
      <c r="BJ513" s="33" t="str">
        <f>VLOOKUP($O513,Eco_DEM_Data!$D$1:$AC$643,11,False)</f>
        <v>Tropical &amp; Subtropical Moist Broadleaf Forests</v>
      </c>
    </row>
    <row r="514">
      <c r="A514" s="33" t="s">
        <v>390</v>
      </c>
      <c r="B514" s="33" t="s">
        <v>2259</v>
      </c>
      <c r="C514" s="34">
        <v>23.0</v>
      </c>
      <c r="D514" s="33" t="s">
        <v>53</v>
      </c>
      <c r="E514" s="34">
        <v>2017.0</v>
      </c>
      <c r="F514" s="33" t="s">
        <v>391</v>
      </c>
      <c r="G514" s="33" t="s">
        <v>392</v>
      </c>
      <c r="H514" s="33" t="s">
        <v>359</v>
      </c>
      <c r="I514" s="33" t="s">
        <v>393</v>
      </c>
      <c r="J514" s="33" t="s">
        <v>394</v>
      </c>
      <c r="K514" s="34">
        <v>32.0</v>
      </c>
      <c r="L514" s="34">
        <v>1.0</v>
      </c>
      <c r="M514" s="6" t="s">
        <v>395</v>
      </c>
      <c r="N514" s="35" t="s">
        <v>60</v>
      </c>
      <c r="O514" s="33" t="s">
        <v>414</v>
      </c>
      <c r="P514" s="36" t="s">
        <v>62</v>
      </c>
      <c r="Q514" s="36" t="s">
        <v>167</v>
      </c>
      <c r="R514" s="36" t="s">
        <v>406</v>
      </c>
      <c r="S514" s="37">
        <v>17.228088</v>
      </c>
      <c r="T514" s="37">
        <v>-89.761455</v>
      </c>
      <c r="U514" s="36" t="s">
        <v>398</v>
      </c>
      <c r="V514" s="6" t="s">
        <v>135</v>
      </c>
      <c r="W514" s="41" t="s">
        <v>823</v>
      </c>
      <c r="X514" s="7" t="s">
        <v>410</v>
      </c>
      <c r="Y514" s="60" t="s">
        <v>70</v>
      </c>
      <c r="Z514" s="43"/>
      <c r="AA514" s="42">
        <v>3.0</v>
      </c>
      <c r="AB514" s="43"/>
      <c r="AC514" s="43"/>
      <c r="AD514" s="43"/>
      <c r="AE514" s="43"/>
      <c r="AF514" s="43"/>
      <c r="AG514" s="43"/>
      <c r="AH514" s="43" t="s">
        <v>399</v>
      </c>
      <c r="AI514" s="42">
        <v>-1725.0</v>
      </c>
      <c r="AJ514" s="42">
        <v>20.0</v>
      </c>
      <c r="AK514" s="5" t="s">
        <v>73</v>
      </c>
      <c r="AL514" s="5" t="s">
        <v>72</v>
      </c>
      <c r="AM514" s="33" t="s">
        <v>400</v>
      </c>
      <c r="AN514" s="5" t="s">
        <v>72</v>
      </c>
      <c r="AO514" s="41"/>
      <c r="AP514" s="5" t="s">
        <v>75</v>
      </c>
      <c r="AQ514" s="41"/>
      <c r="AR514" s="41"/>
      <c r="AS514" s="41"/>
      <c r="AT514" s="6" t="s">
        <v>76</v>
      </c>
      <c r="AU514" s="33"/>
      <c r="AV514" s="33"/>
      <c r="AW514" s="33"/>
      <c r="AX514" s="33"/>
      <c r="AY514" s="33"/>
      <c r="AZ514" s="6" t="s">
        <v>76</v>
      </c>
      <c r="BA514" s="33"/>
      <c r="BB514" s="33">
        <f>VLOOKUP(O514,Eco_DEM_Data!$D$1:$AC$643,20,False)</f>
        <v>1614</v>
      </c>
      <c r="BC514" s="33">
        <f>VLOOKUP($O514,Eco_DEM_Data!$D$1:$AC$643,20,False)</f>
        <v>1614</v>
      </c>
      <c r="BD514" s="33">
        <f>VLOOKUP($O514,Eco_DEM_Data!$D$1:$AC$643,25,False)</f>
        <v>641</v>
      </c>
      <c r="BE514" s="33">
        <f>VLOOKUP($O514,Eco_DEM_Data!$D$1:$AC$643,22,False)</f>
        <v>38</v>
      </c>
      <c r="BF514" s="33">
        <f>VLOOKUP($O514,Eco_DEM_Data!$D$1:$AC$643,23,False)</f>
        <v>130</v>
      </c>
      <c r="BG514" s="33">
        <f>VLOOKUP($O514,Eco_DEM_Data!$D$1:$AC$643,21,False)</f>
        <v>5597</v>
      </c>
      <c r="BH514" s="33">
        <f>VLOOKUP($O514,Eco_DEM_Data!$D$1:$AC$643,26,False)</f>
        <v>229</v>
      </c>
      <c r="BI514" s="33" t="str">
        <f>VLOOKUP($O514,Eco_DEM_Data!$D$1:$AC$643,9,False)</f>
        <v>Petén-Veracruz moist forests</v>
      </c>
      <c r="BJ514" s="33" t="str">
        <f>VLOOKUP($O514,Eco_DEM_Data!$D$1:$AC$643,11,False)</f>
        <v>Tropical &amp; Subtropical Moist Broadleaf Forests</v>
      </c>
    </row>
    <row r="515">
      <c r="A515" s="33" t="s">
        <v>390</v>
      </c>
      <c r="B515" s="33" t="s">
        <v>2259</v>
      </c>
      <c r="C515" s="34">
        <v>23.0</v>
      </c>
      <c r="D515" s="33" t="s">
        <v>53</v>
      </c>
      <c r="E515" s="34">
        <v>2017.0</v>
      </c>
      <c r="F515" s="33" t="s">
        <v>391</v>
      </c>
      <c r="G515" s="33" t="s">
        <v>392</v>
      </c>
      <c r="H515" s="33" t="s">
        <v>359</v>
      </c>
      <c r="I515" s="33" t="s">
        <v>393</v>
      </c>
      <c r="J515" s="33" t="s">
        <v>394</v>
      </c>
      <c r="K515" s="34">
        <v>32.0</v>
      </c>
      <c r="L515" s="34">
        <v>1.0</v>
      </c>
      <c r="M515" s="6" t="s">
        <v>395</v>
      </c>
      <c r="N515" s="35" t="s">
        <v>60</v>
      </c>
      <c r="O515" s="33" t="s">
        <v>415</v>
      </c>
      <c r="P515" s="36" t="s">
        <v>62</v>
      </c>
      <c r="Q515" s="36" t="s">
        <v>167</v>
      </c>
      <c r="R515" s="36" t="s">
        <v>406</v>
      </c>
      <c r="S515" s="37">
        <v>17.228088</v>
      </c>
      <c r="T515" s="37">
        <v>-89.761455</v>
      </c>
      <c r="U515" s="36" t="s">
        <v>398</v>
      </c>
      <c r="V515" s="6" t="s">
        <v>135</v>
      </c>
      <c r="W515" s="41" t="s">
        <v>823</v>
      </c>
      <c r="X515" s="7" t="s">
        <v>410</v>
      </c>
      <c r="Y515" s="60" t="s">
        <v>70</v>
      </c>
      <c r="Z515" s="43"/>
      <c r="AA515" s="42">
        <v>2.0</v>
      </c>
      <c r="AB515" s="43"/>
      <c r="AC515" s="43"/>
      <c r="AD515" s="43"/>
      <c r="AE515" s="43"/>
      <c r="AF515" s="43"/>
      <c r="AG515" s="43"/>
      <c r="AH515" s="43" t="s">
        <v>408</v>
      </c>
      <c r="AI515" s="42">
        <v>235.0</v>
      </c>
      <c r="AJ515" s="42">
        <v>660.0</v>
      </c>
      <c r="AK515" s="5" t="s">
        <v>100</v>
      </c>
      <c r="AL515" s="5" t="s">
        <v>72</v>
      </c>
      <c r="AM515" s="33" t="s">
        <v>400</v>
      </c>
      <c r="AN515" s="5" t="s">
        <v>72</v>
      </c>
      <c r="AO515" s="41"/>
      <c r="AP515" s="5" t="s">
        <v>75</v>
      </c>
      <c r="AQ515" s="41"/>
      <c r="AR515" s="41"/>
      <c r="AS515" s="41"/>
      <c r="AT515" s="6" t="s">
        <v>76</v>
      </c>
      <c r="AU515" s="33"/>
      <c r="AV515" s="33"/>
      <c r="AW515" s="33"/>
      <c r="AX515" s="33"/>
      <c r="AY515" s="33"/>
      <c r="AZ515" s="6" t="s">
        <v>76</v>
      </c>
      <c r="BA515" s="33"/>
      <c r="BB515" s="33">
        <f>VLOOKUP(O515,Eco_DEM_Data!$D$1:$AC$643,20,False)</f>
        <v>1614</v>
      </c>
      <c r="BC515" s="33">
        <f>VLOOKUP($O515,Eco_DEM_Data!$D$1:$AC$643,20,False)</f>
        <v>1614</v>
      </c>
      <c r="BD515" s="33">
        <f>VLOOKUP($O515,Eco_DEM_Data!$D$1:$AC$643,25,False)</f>
        <v>641</v>
      </c>
      <c r="BE515" s="33">
        <f>VLOOKUP($O515,Eco_DEM_Data!$D$1:$AC$643,22,False)</f>
        <v>38</v>
      </c>
      <c r="BF515" s="33">
        <f>VLOOKUP($O515,Eco_DEM_Data!$D$1:$AC$643,23,False)</f>
        <v>130</v>
      </c>
      <c r="BG515" s="33">
        <f>VLOOKUP($O515,Eco_DEM_Data!$D$1:$AC$643,21,False)</f>
        <v>5597</v>
      </c>
      <c r="BH515" s="33">
        <f>VLOOKUP($O515,Eco_DEM_Data!$D$1:$AC$643,26,False)</f>
        <v>229</v>
      </c>
      <c r="BI515" s="33" t="str">
        <f>VLOOKUP($O515,Eco_DEM_Data!$D$1:$AC$643,9,False)</f>
        <v>Petén-Veracruz moist forests</v>
      </c>
      <c r="BJ515" s="33" t="str">
        <f>VLOOKUP($O515,Eco_DEM_Data!$D$1:$AC$643,11,False)</f>
        <v>Tropical &amp; Subtropical Moist Broadleaf Forests</v>
      </c>
    </row>
    <row r="516">
      <c r="A516" s="33" t="s">
        <v>390</v>
      </c>
      <c r="B516" s="33" t="s">
        <v>2259</v>
      </c>
      <c r="C516" s="34">
        <v>23.0</v>
      </c>
      <c r="D516" s="33" t="s">
        <v>53</v>
      </c>
      <c r="E516" s="34">
        <v>2017.0</v>
      </c>
      <c r="F516" s="33" t="s">
        <v>391</v>
      </c>
      <c r="G516" s="33" t="s">
        <v>392</v>
      </c>
      <c r="H516" s="33" t="s">
        <v>359</v>
      </c>
      <c r="I516" s="33" t="s">
        <v>393</v>
      </c>
      <c r="J516" s="33" t="s">
        <v>394</v>
      </c>
      <c r="K516" s="34">
        <v>32.0</v>
      </c>
      <c r="L516" s="34">
        <v>1.0</v>
      </c>
      <c r="M516" s="6" t="s">
        <v>395</v>
      </c>
      <c r="N516" s="35" t="s">
        <v>60</v>
      </c>
      <c r="O516" s="33" t="s">
        <v>1934</v>
      </c>
      <c r="P516" s="36" t="s">
        <v>62</v>
      </c>
      <c r="Q516" s="36" t="s">
        <v>167</v>
      </c>
      <c r="R516" s="36" t="s">
        <v>404</v>
      </c>
      <c r="S516" s="37">
        <v>17.228088</v>
      </c>
      <c r="T516" s="37">
        <v>-89.761455</v>
      </c>
      <c r="U516" s="36" t="s">
        <v>398</v>
      </c>
      <c r="V516" s="38" t="s">
        <v>382</v>
      </c>
      <c r="W516" s="5" t="s">
        <v>72</v>
      </c>
      <c r="X516" s="7" t="s">
        <v>1935</v>
      </c>
      <c r="Y516" s="41" t="s">
        <v>968</v>
      </c>
      <c r="Z516" s="43"/>
      <c r="AA516" s="42">
        <v>1.0</v>
      </c>
      <c r="AB516" s="43"/>
      <c r="AC516" s="43"/>
      <c r="AD516" s="43"/>
      <c r="AE516" s="43"/>
      <c r="AF516" s="43"/>
      <c r="AG516" s="43"/>
      <c r="AH516" s="43" t="s">
        <v>399</v>
      </c>
      <c r="AI516" s="42">
        <v>-475.0</v>
      </c>
      <c r="AJ516" s="42">
        <v>0.0</v>
      </c>
      <c r="AK516" s="5" t="s">
        <v>100</v>
      </c>
      <c r="AL516" s="5" t="s">
        <v>72</v>
      </c>
      <c r="AM516" s="33" t="s">
        <v>400</v>
      </c>
      <c r="AN516" s="5" t="s">
        <v>72</v>
      </c>
      <c r="AO516" s="41"/>
      <c r="AP516" s="5" t="s">
        <v>75</v>
      </c>
      <c r="AQ516" s="41"/>
      <c r="AR516" s="41"/>
      <c r="AS516" s="41"/>
      <c r="AT516" s="5" t="s">
        <v>76</v>
      </c>
      <c r="AU516" s="33"/>
      <c r="AV516" s="33"/>
      <c r="AW516" s="33"/>
      <c r="AX516" s="33"/>
      <c r="AY516" s="33"/>
      <c r="AZ516" s="6" t="s">
        <v>76</v>
      </c>
      <c r="BA516" s="33"/>
      <c r="BB516" s="33">
        <f>VLOOKUP(O516,Eco_DEM_Data!$D$1:$AC$643,20,False)</f>
        <v>1614</v>
      </c>
      <c r="BC516" s="33">
        <f>VLOOKUP($O516,Eco_DEM_Data!$D$1:$AC$643,20,False)</f>
        <v>1614</v>
      </c>
      <c r="BD516" s="33">
        <f>VLOOKUP($O516,Eco_DEM_Data!$D$1:$AC$643,25,False)</f>
        <v>641</v>
      </c>
      <c r="BE516" s="33">
        <f>VLOOKUP($O516,Eco_DEM_Data!$D$1:$AC$643,22,False)</f>
        <v>38</v>
      </c>
      <c r="BF516" s="33">
        <f>VLOOKUP($O516,Eco_DEM_Data!$D$1:$AC$643,23,False)</f>
        <v>130</v>
      </c>
      <c r="BG516" s="33">
        <f>VLOOKUP($O516,Eco_DEM_Data!$D$1:$AC$643,21,False)</f>
        <v>5597</v>
      </c>
      <c r="BH516" s="33">
        <f>VLOOKUP($O516,Eco_DEM_Data!$D$1:$AC$643,26,False)</f>
        <v>229</v>
      </c>
      <c r="BI516" s="33" t="str">
        <f>VLOOKUP($O516,Eco_DEM_Data!$D$1:$AC$643,9,False)</f>
        <v>Petén-Veracruz moist forests</v>
      </c>
      <c r="BJ516" s="33" t="str">
        <f>VLOOKUP($O516,Eco_DEM_Data!$D$1:$AC$643,11,False)</f>
        <v>Tropical &amp; Subtropical Moist Broadleaf Forests</v>
      </c>
    </row>
    <row r="517">
      <c r="A517" s="33" t="s">
        <v>390</v>
      </c>
      <c r="B517" s="33" t="s">
        <v>2259</v>
      </c>
      <c r="C517" s="34">
        <v>23.0</v>
      </c>
      <c r="D517" s="33" t="s">
        <v>53</v>
      </c>
      <c r="E517" s="34">
        <v>2017.0</v>
      </c>
      <c r="F517" s="33" t="s">
        <v>391</v>
      </c>
      <c r="G517" s="33" t="s">
        <v>392</v>
      </c>
      <c r="H517" s="33" t="s">
        <v>359</v>
      </c>
      <c r="I517" s="33" t="s">
        <v>393</v>
      </c>
      <c r="J517" s="33" t="s">
        <v>394</v>
      </c>
      <c r="K517" s="34">
        <v>32.0</v>
      </c>
      <c r="L517" s="34">
        <v>1.0</v>
      </c>
      <c r="M517" s="6" t="s">
        <v>395</v>
      </c>
      <c r="N517" s="35" t="s">
        <v>60</v>
      </c>
      <c r="O517" s="33" t="s">
        <v>1936</v>
      </c>
      <c r="P517" s="36" t="s">
        <v>62</v>
      </c>
      <c r="Q517" s="36" t="s">
        <v>167</v>
      </c>
      <c r="R517" s="36" t="s">
        <v>397</v>
      </c>
      <c r="S517" s="37">
        <v>17.239926</v>
      </c>
      <c r="T517" s="37">
        <v>-89.804629</v>
      </c>
      <c r="U517" s="36" t="s">
        <v>398</v>
      </c>
      <c r="V517" s="38" t="s">
        <v>382</v>
      </c>
      <c r="W517" s="5" t="s">
        <v>72</v>
      </c>
      <c r="X517" s="7" t="s">
        <v>1937</v>
      </c>
      <c r="Y517" s="41" t="s">
        <v>968</v>
      </c>
      <c r="Z517" s="43"/>
      <c r="AA517" s="42">
        <v>3.0</v>
      </c>
      <c r="AB517" s="43"/>
      <c r="AC517" s="43"/>
      <c r="AD517" s="43"/>
      <c r="AE517" s="43"/>
      <c r="AF517" s="43"/>
      <c r="AG517" s="43"/>
      <c r="AH517" s="43" t="s">
        <v>399</v>
      </c>
      <c r="AI517" s="42">
        <v>220.0</v>
      </c>
      <c r="AJ517" s="42">
        <v>760.0</v>
      </c>
      <c r="AK517" s="5" t="s">
        <v>100</v>
      </c>
      <c r="AL517" s="5" t="s">
        <v>72</v>
      </c>
      <c r="AM517" s="33" t="s">
        <v>400</v>
      </c>
      <c r="AN517" s="5" t="s">
        <v>72</v>
      </c>
      <c r="AO517" s="41"/>
      <c r="AP517" s="5" t="s">
        <v>75</v>
      </c>
      <c r="AQ517" s="41"/>
      <c r="AR517" s="41"/>
      <c r="AS517" s="41"/>
      <c r="AT517" s="5" t="s">
        <v>76</v>
      </c>
      <c r="AU517" s="33"/>
      <c r="AV517" s="33"/>
      <c r="AW517" s="33"/>
      <c r="AX517" s="33"/>
      <c r="AY517" s="33"/>
      <c r="AZ517" s="6" t="s">
        <v>76</v>
      </c>
      <c r="BA517" s="33"/>
      <c r="BB517" s="33">
        <f>VLOOKUP(O517,Eco_DEM_Data!$D$1:$AC$643,20,False)</f>
        <v>1616</v>
      </c>
      <c r="BC517" s="33">
        <f>VLOOKUP($O517,Eco_DEM_Data!$D$1:$AC$643,20,False)</f>
        <v>1616</v>
      </c>
      <c r="BD517" s="33">
        <f>VLOOKUP($O517,Eco_DEM_Data!$D$1:$AC$643,25,False)</f>
        <v>647</v>
      </c>
      <c r="BE517" s="33">
        <f>VLOOKUP($O517,Eco_DEM_Data!$D$1:$AC$643,22,False)</f>
        <v>38</v>
      </c>
      <c r="BF517" s="33">
        <f>VLOOKUP($O517,Eco_DEM_Data!$D$1:$AC$643,23,False)</f>
        <v>128</v>
      </c>
      <c r="BG517" s="33">
        <f>VLOOKUP($O517,Eco_DEM_Data!$D$1:$AC$643,21,False)</f>
        <v>5637</v>
      </c>
      <c r="BH517" s="33">
        <f>VLOOKUP($O517,Eco_DEM_Data!$D$1:$AC$643,26,False)</f>
        <v>226</v>
      </c>
      <c r="BI517" s="33" t="str">
        <f>VLOOKUP($O517,Eco_DEM_Data!$D$1:$AC$643,9,False)</f>
        <v>Petén-Veracruz moist forests</v>
      </c>
      <c r="BJ517" s="33" t="str">
        <f>VLOOKUP($O517,Eco_DEM_Data!$D$1:$AC$643,11,False)</f>
        <v>Tropical &amp; Subtropical Moist Broadleaf Forests</v>
      </c>
    </row>
    <row r="518">
      <c r="A518" s="33" t="s">
        <v>390</v>
      </c>
      <c r="B518" s="33" t="s">
        <v>2259</v>
      </c>
      <c r="C518" s="34">
        <v>23.0</v>
      </c>
      <c r="D518" s="33" t="s">
        <v>53</v>
      </c>
      <c r="E518" s="34">
        <v>2017.0</v>
      </c>
      <c r="F518" s="33" t="s">
        <v>391</v>
      </c>
      <c r="G518" s="33" t="s">
        <v>392</v>
      </c>
      <c r="H518" s="33" t="s">
        <v>359</v>
      </c>
      <c r="I518" s="33" t="s">
        <v>393</v>
      </c>
      <c r="J518" s="33" t="s">
        <v>394</v>
      </c>
      <c r="K518" s="34">
        <v>32.0</v>
      </c>
      <c r="L518" s="34">
        <v>1.0</v>
      </c>
      <c r="M518" s="6" t="s">
        <v>395</v>
      </c>
      <c r="N518" s="35" t="s">
        <v>60</v>
      </c>
      <c r="O518" s="33" t="s">
        <v>1938</v>
      </c>
      <c r="P518" s="36" t="s">
        <v>62</v>
      </c>
      <c r="Q518" s="36" t="s">
        <v>167</v>
      </c>
      <c r="R518" s="36" t="s">
        <v>406</v>
      </c>
      <c r="S518" s="37">
        <v>17.228088</v>
      </c>
      <c r="T518" s="37">
        <v>-89.761455</v>
      </c>
      <c r="U518" s="36" t="s">
        <v>398</v>
      </c>
      <c r="V518" s="38" t="s">
        <v>382</v>
      </c>
      <c r="W518" s="5" t="s">
        <v>72</v>
      </c>
      <c r="X518" s="7" t="s">
        <v>1939</v>
      </c>
      <c r="Y518" s="41" t="s">
        <v>968</v>
      </c>
      <c r="Z518" s="43"/>
      <c r="AA518" s="42">
        <v>3.0</v>
      </c>
      <c r="AB518" s="43"/>
      <c r="AC518" s="43"/>
      <c r="AD518" s="43"/>
      <c r="AE518" s="43"/>
      <c r="AF518" s="43"/>
      <c r="AG518" s="43"/>
      <c r="AH518" s="43" t="s">
        <v>399</v>
      </c>
      <c r="AI518" s="42">
        <v>-1725.0</v>
      </c>
      <c r="AJ518" s="42">
        <v>20.0</v>
      </c>
      <c r="AK518" s="5" t="s">
        <v>73</v>
      </c>
      <c r="AL518" s="5" t="s">
        <v>72</v>
      </c>
      <c r="AM518" s="33" t="s">
        <v>400</v>
      </c>
      <c r="AN518" s="5" t="s">
        <v>72</v>
      </c>
      <c r="AO518" s="41"/>
      <c r="AP518" s="5" t="s">
        <v>75</v>
      </c>
      <c r="AQ518" s="41"/>
      <c r="AR518" s="41"/>
      <c r="AS518" s="41"/>
      <c r="AT518" s="5" t="s">
        <v>76</v>
      </c>
      <c r="AU518" s="33"/>
      <c r="AV518" s="33"/>
      <c r="AW518" s="33"/>
      <c r="AX518" s="33"/>
      <c r="AY518" s="33"/>
      <c r="AZ518" s="6" t="s">
        <v>76</v>
      </c>
      <c r="BA518" s="33"/>
      <c r="BB518" s="33">
        <f>VLOOKUP(O518,Eco_DEM_Data!$D$1:$AC$643,20,False)</f>
        <v>1614</v>
      </c>
      <c r="BC518" s="33">
        <f>VLOOKUP($O518,Eco_DEM_Data!$D$1:$AC$643,20,False)</f>
        <v>1614</v>
      </c>
      <c r="BD518" s="33">
        <f>VLOOKUP($O518,Eco_DEM_Data!$D$1:$AC$643,25,False)</f>
        <v>641</v>
      </c>
      <c r="BE518" s="33">
        <f>VLOOKUP($O518,Eco_DEM_Data!$D$1:$AC$643,22,False)</f>
        <v>38</v>
      </c>
      <c r="BF518" s="33">
        <f>VLOOKUP($O518,Eco_DEM_Data!$D$1:$AC$643,23,False)</f>
        <v>130</v>
      </c>
      <c r="BG518" s="33">
        <f>VLOOKUP($O518,Eco_DEM_Data!$D$1:$AC$643,21,False)</f>
        <v>5597</v>
      </c>
      <c r="BH518" s="33">
        <f>VLOOKUP($O518,Eco_DEM_Data!$D$1:$AC$643,26,False)</f>
        <v>229</v>
      </c>
      <c r="BI518" s="33" t="str">
        <f>VLOOKUP($O518,Eco_DEM_Data!$D$1:$AC$643,9,False)</f>
        <v>Petén-Veracruz moist forests</v>
      </c>
      <c r="BJ518" s="33" t="str">
        <f>VLOOKUP($O518,Eco_DEM_Data!$D$1:$AC$643,11,False)</f>
        <v>Tropical &amp; Subtropical Moist Broadleaf Forests</v>
      </c>
    </row>
    <row r="519">
      <c r="A519" s="33" t="s">
        <v>390</v>
      </c>
      <c r="B519" s="33" t="s">
        <v>2259</v>
      </c>
      <c r="C519" s="34">
        <v>23.0</v>
      </c>
      <c r="D519" s="33" t="s">
        <v>53</v>
      </c>
      <c r="E519" s="34">
        <v>2017.0</v>
      </c>
      <c r="F519" s="33" t="s">
        <v>391</v>
      </c>
      <c r="G519" s="33" t="s">
        <v>392</v>
      </c>
      <c r="H519" s="33" t="s">
        <v>359</v>
      </c>
      <c r="I519" s="33" t="s">
        <v>393</v>
      </c>
      <c r="J519" s="33" t="s">
        <v>394</v>
      </c>
      <c r="K519" s="34">
        <v>32.0</v>
      </c>
      <c r="L519" s="34">
        <v>1.0</v>
      </c>
      <c r="M519" s="6" t="s">
        <v>395</v>
      </c>
      <c r="N519" s="35" t="s">
        <v>60</v>
      </c>
      <c r="O519" s="33" t="s">
        <v>1940</v>
      </c>
      <c r="P519" s="36" t="s">
        <v>62</v>
      </c>
      <c r="Q519" s="36" t="s">
        <v>167</v>
      </c>
      <c r="R519" s="36" t="s">
        <v>406</v>
      </c>
      <c r="S519" s="37">
        <v>17.228088</v>
      </c>
      <c r="T519" s="37">
        <v>-89.761455</v>
      </c>
      <c r="U519" s="36" t="s">
        <v>398</v>
      </c>
      <c r="V519" s="38" t="s">
        <v>382</v>
      </c>
      <c r="W519" s="5" t="s">
        <v>72</v>
      </c>
      <c r="X519" s="7" t="s">
        <v>1941</v>
      </c>
      <c r="Y519" s="41" t="s">
        <v>968</v>
      </c>
      <c r="Z519" s="43"/>
      <c r="AA519" s="42">
        <v>2.0</v>
      </c>
      <c r="AB519" s="43"/>
      <c r="AC519" s="43"/>
      <c r="AD519" s="43"/>
      <c r="AE519" s="43"/>
      <c r="AF519" s="43"/>
      <c r="AG519" s="43"/>
      <c r="AH519" s="43" t="s">
        <v>408</v>
      </c>
      <c r="AI519" s="42">
        <v>235.0</v>
      </c>
      <c r="AJ519" s="42">
        <v>660.0</v>
      </c>
      <c r="AK519" s="5" t="s">
        <v>100</v>
      </c>
      <c r="AL519" s="5" t="s">
        <v>72</v>
      </c>
      <c r="AM519" s="33" t="s">
        <v>400</v>
      </c>
      <c r="AN519" s="5" t="s">
        <v>72</v>
      </c>
      <c r="AO519" s="41"/>
      <c r="AP519" s="5" t="s">
        <v>75</v>
      </c>
      <c r="AQ519" s="41"/>
      <c r="AR519" s="41"/>
      <c r="AS519" s="41"/>
      <c r="AT519" s="5" t="s">
        <v>76</v>
      </c>
      <c r="AU519" s="33"/>
      <c r="AV519" s="33"/>
      <c r="AW519" s="33"/>
      <c r="AX519" s="33"/>
      <c r="AY519" s="33"/>
      <c r="AZ519" s="6" t="s">
        <v>76</v>
      </c>
      <c r="BA519" s="33"/>
      <c r="BB519" s="33">
        <f>VLOOKUP(O519,Eco_DEM_Data!$D$1:$AC$643,20,False)</f>
        <v>1614</v>
      </c>
      <c r="BC519" s="33">
        <f>VLOOKUP($O519,Eco_DEM_Data!$D$1:$AC$643,20,False)</f>
        <v>1614</v>
      </c>
      <c r="BD519" s="33">
        <f>VLOOKUP($O519,Eco_DEM_Data!$D$1:$AC$643,25,False)</f>
        <v>641</v>
      </c>
      <c r="BE519" s="33">
        <f>VLOOKUP($O519,Eco_DEM_Data!$D$1:$AC$643,22,False)</f>
        <v>38</v>
      </c>
      <c r="BF519" s="33">
        <f>VLOOKUP($O519,Eco_DEM_Data!$D$1:$AC$643,23,False)</f>
        <v>130</v>
      </c>
      <c r="BG519" s="33">
        <f>VLOOKUP($O519,Eco_DEM_Data!$D$1:$AC$643,21,False)</f>
        <v>5597</v>
      </c>
      <c r="BH519" s="33">
        <f>VLOOKUP($O519,Eco_DEM_Data!$D$1:$AC$643,26,False)</f>
        <v>229</v>
      </c>
      <c r="BI519" s="33" t="str">
        <f>VLOOKUP($O519,Eco_DEM_Data!$D$1:$AC$643,9,False)</f>
        <v>Petén-Veracruz moist forests</v>
      </c>
      <c r="BJ519" s="33" t="str">
        <f>VLOOKUP($O519,Eco_DEM_Data!$D$1:$AC$643,11,False)</f>
        <v>Tropical &amp; Subtropical Moist Broadleaf Forests</v>
      </c>
    </row>
    <row r="520">
      <c r="A520" s="33" t="s">
        <v>390</v>
      </c>
      <c r="B520" s="33" t="s">
        <v>2259</v>
      </c>
      <c r="C520" s="34">
        <v>23.0</v>
      </c>
      <c r="D520" s="33" t="s">
        <v>53</v>
      </c>
      <c r="E520" s="34">
        <v>2017.0</v>
      </c>
      <c r="F520" s="33" t="s">
        <v>391</v>
      </c>
      <c r="G520" s="33" t="s">
        <v>392</v>
      </c>
      <c r="H520" s="33" t="s">
        <v>359</v>
      </c>
      <c r="I520" s="33" t="s">
        <v>393</v>
      </c>
      <c r="J520" s="33" t="s">
        <v>394</v>
      </c>
      <c r="K520" s="34">
        <v>32.0</v>
      </c>
      <c r="L520" s="34">
        <v>1.0</v>
      </c>
      <c r="M520" s="6" t="s">
        <v>395</v>
      </c>
      <c r="N520" s="35" t="s">
        <v>60</v>
      </c>
      <c r="O520" s="33" t="s">
        <v>1942</v>
      </c>
      <c r="P520" s="36" t="s">
        <v>62</v>
      </c>
      <c r="Q520" s="36" t="s">
        <v>167</v>
      </c>
      <c r="R520" s="36" t="s">
        <v>402</v>
      </c>
      <c r="S520" s="37">
        <v>17.239567</v>
      </c>
      <c r="T520" s="37">
        <v>-89.810542</v>
      </c>
      <c r="U520" s="36" t="s">
        <v>398</v>
      </c>
      <c r="V520" s="38" t="s">
        <v>382</v>
      </c>
      <c r="W520" s="5" t="s">
        <v>72</v>
      </c>
      <c r="X520" s="7" t="s">
        <v>1943</v>
      </c>
      <c r="Y520" s="41" t="s">
        <v>968</v>
      </c>
      <c r="Z520" s="43"/>
      <c r="AA520" s="42">
        <v>2.0</v>
      </c>
      <c r="AB520" s="43"/>
      <c r="AC520" s="43"/>
      <c r="AD520" s="43"/>
      <c r="AE520" s="43"/>
      <c r="AF520" s="43"/>
      <c r="AG520" s="43"/>
      <c r="AH520" s="43" t="s">
        <v>399</v>
      </c>
      <c r="AI520" s="42">
        <v>255.0</v>
      </c>
      <c r="AJ520" s="42">
        <v>370.0</v>
      </c>
      <c r="AK520" s="5" t="s">
        <v>100</v>
      </c>
      <c r="AL520" s="5" t="s">
        <v>72</v>
      </c>
      <c r="AM520" s="33" t="s">
        <v>400</v>
      </c>
      <c r="AN520" s="5" t="s">
        <v>72</v>
      </c>
      <c r="AO520" s="41"/>
      <c r="AP520" s="5" t="s">
        <v>75</v>
      </c>
      <c r="AQ520" s="41"/>
      <c r="AR520" s="41"/>
      <c r="AS520" s="41"/>
      <c r="AT520" s="5" t="s">
        <v>76</v>
      </c>
      <c r="AU520" s="33"/>
      <c r="AV520" s="33"/>
      <c r="AW520" s="33"/>
      <c r="AX520" s="33"/>
      <c r="AY520" s="33"/>
      <c r="AZ520" s="6" t="s">
        <v>76</v>
      </c>
      <c r="BA520" s="33"/>
      <c r="BB520" s="33">
        <f>VLOOKUP(O520,Eco_DEM_Data!$D$1:$AC$643,20,False)</f>
        <v>1621</v>
      </c>
      <c r="BC520" s="33">
        <f>VLOOKUP($O520,Eco_DEM_Data!$D$1:$AC$643,20,False)</f>
        <v>1621</v>
      </c>
      <c r="BD520" s="33">
        <f>VLOOKUP($O520,Eco_DEM_Data!$D$1:$AC$643,25,False)</f>
        <v>649</v>
      </c>
      <c r="BE520" s="33">
        <f>VLOOKUP($O520,Eco_DEM_Data!$D$1:$AC$643,22,False)</f>
        <v>38</v>
      </c>
      <c r="BF520" s="33">
        <f>VLOOKUP($O520,Eco_DEM_Data!$D$1:$AC$643,23,False)</f>
        <v>130</v>
      </c>
      <c r="BG520" s="33">
        <f>VLOOKUP($O520,Eco_DEM_Data!$D$1:$AC$643,21,False)</f>
        <v>5627</v>
      </c>
      <c r="BH520" s="33">
        <f>VLOOKUP($O520,Eco_DEM_Data!$D$1:$AC$643,26,False)</f>
        <v>249</v>
      </c>
      <c r="BI520" s="33" t="str">
        <f>VLOOKUP($O520,Eco_DEM_Data!$D$1:$AC$643,9,False)</f>
        <v>Petén-Veracruz moist forests</v>
      </c>
      <c r="BJ520" s="33" t="str">
        <f>VLOOKUP($O520,Eco_DEM_Data!$D$1:$AC$643,11,False)</f>
        <v>Tropical &amp; Subtropical Moist Broadleaf Forests</v>
      </c>
    </row>
    <row r="521">
      <c r="A521" s="33" t="s">
        <v>390</v>
      </c>
      <c r="B521" s="33" t="s">
        <v>2259</v>
      </c>
      <c r="C521" s="34">
        <v>23.0</v>
      </c>
      <c r="D521" s="33" t="s">
        <v>53</v>
      </c>
      <c r="E521" s="34">
        <v>2017.0</v>
      </c>
      <c r="F521" s="33" t="s">
        <v>391</v>
      </c>
      <c r="G521" s="33" t="s">
        <v>392</v>
      </c>
      <c r="H521" s="33" t="s">
        <v>359</v>
      </c>
      <c r="I521" s="33" t="s">
        <v>393</v>
      </c>
      <c r="J521" s="33" t="s">
        <v>394</v>
      </c>
      <c r="K521" s="34">
        <v>32.0</v>
      </c>
      <c r="L521" s="34">
        <v>1.0</v>
      </c>
      <c r="M521" s="6" t="s">
        <v>395</v>
      </c>
      <c r="N521" s="35" t="s">
        <v>60</v>
      </c>
      <c r="O521" s="33" t="s">
        <v>416</v>
      </c>
      <c r="P521" s="36" t="s">
        <v>62</v>
      </c>
      <c r="Q521" s="36" t="s">
        <v>167</v>
      </c>
      <c r="R521" s="36" t="s">
        <v>406</v>
      </c>
      <c r="S521" s="37">
        <v>17.228088</v>
      </c>
      <c r="T521" s="37">
        <v>-89.761455</v>
      </c>
      <c r="U521" s="36" t="s">
        <v>398</v>
      </c>
      <c r="V521" s="6" t="s">
        <v>321</v>
      </c>
      <c r="W521" s="33" t="s">
        <v>156</v>
      </c>
      <c r="X521" s="3" t="s">
        <v>72</v>
      </c>
      <c r="Y521" s="58" t="s">
        <v>83</v>
      </c>
      <c r="Z521" s="36"/>
      <c r="AA521" s="37">
        <v>3.0</v>
      </c>
      <c r="AB521" s="36"/>
      <c r="AC521" s="36"/>
      <c r="AD521" s="36"/>
      <c r="AE521" s="36"/>
      <c r="AF521" s="36"/>
      <c r="AG521" s="36"/>
      <c r="AH521" s="36" t="s">
        <v>399</v>
      </c>
      <c r="AI521" s="37">
        <v>-1725.0</v>
      </c>
      <c r="AJ521" s="37">
        <v>20.0</v>
      </c>
      <c r="AK521" s="6" t="s">
        <v>73</v>
      </c>
      <c r="AL521" s="6" t="s">
        <v>72</v>
      </c>
      <c r="AM521" s="33" t="s">
        <v>400</v>
      </c>
      <c r="AN521" s="6" t="s">
        <v>72</v>
      </c>
      <c r="AO521" s="33"/>
      <c r="AP521" s="6" t="s">
        <v>75</v>
      </c>
      <c r="AQ521" s="33"/>
      <c r="AR521" s="33"/>
      <c r="AS521" s="33"/>
      <c r="AT521" s="6" t="s">
        <v>76</v>
      </c>
      <c r="AU521" s="33"/>
      <c r="AV521" s="33"/>
      <c r="AW521" s="33"/>
      <c r="AX521" s="33"/>
      <c r="AY521" s="33"/>
      <c r="AZ521" s="6" t="s">
        <v>76</v>
      </c>
      <c r="BA521" s="33"/>
      <c r="BB521" s="33">
        <f>VLOOKUP(O521,Eco_DEM_Data!$D$1:$AC$643,20,False)</f>
        <v>1614</v>
      </c>
      <c r="BC521" s="33">
        <f>VLOOKUP($O521,Eco_DEM_Data!$D$1:$AC$643,20,False)</f>
        <v>1614</v>
      </c>
      <c r="BD521" s="33">
        <f>VLOOKUP($O521,Eco_DEM_Data!$D$1:$AC$643,25,False)</f>
        <v>641</v>
      </c>
      <c r="BE521" s="33">
        <f>VLOOKUP($O521,Eco_DEM_Data!$D$1:$AC$643,22,False)</f>
        <v>38</v>
      </c>
      <c r="BF521" s="33">
        <f>VLOOKUP($O521,Eco_DEM_Data!$D$1:$AC$643,23,False)</f>
        <v>130</v>
      </c>
      <c r="BG521" s="33">
        <f>VLOOKUP($O521,Eco_DEM_Data!$D$1:$AC$643,21,False)</f>
        <v>5597</v>
      </c>
      <c r="BH521" s="33">
        <f>VLOOKUP($O521,Eco_DEM_Data!$D$1:$AC$643,26,False)</f>
        <v>229</v>
      </c>
      <c r="BI521" s="33" t="str">
        <f>VLOOKUP($O521,Eco_DEM_Data!$D$1:$AC$643,9,False)</f>
        <v>Petén-Veracruz moist forests</v>
      </c>
      <c r="BJ521" s="33" t="str">
        <f>VLOOKUP($O521,Eco_DEM_Data!$D$1:$AC$643,11,False)</f>
        <v>Tropical &amp; Subtropical Moist Broadleaf Forests</v>
      </c>
    </row>
    <row r="522">
      <c r="A522" s="33" t="s">
        <v>390</v>
      </c>
      <c r="B522" s="33" t="s">
        <v>2259</v>
      </c>
      <c r="C522" s="34">
        <v>23.0</v>
      </c>
      <c r="D522" s="33" t="s">
        <v>53</v>
      </c>
      <c r="E522" s="34">
        <v>2017.0</v>
      </c>
      <c r="F522" s="33" t="s">
        <v>391</v>
      </c>
      <c r="G522" s="33" t="s">
        <v>392</v>
      </c>
      <c r="H522" s="33" t="s">
        <v>359</v>
      </c>
      <c r="I522" s="33" t="s">
        <v>393</v>
      </c>
      <c r="J522" s="33" t="s">
        <v>394</v>
      </c>
      <c r="K522" s="34">
        <v>32.0</v>
      </c>
      <c r="L522" s="34">
        <v>1.0</v>
      </c>
      <c r="M522" s="6" t="s">
        <v>395</v>
      </c>
      <c r="N522" s="35" t="s">
        <v>60</v>
      </c>
      <c r="O522" s="33" t="s">
        <v>417</v>
      </c>
      <c r="P522" s="36" t="s">
        <v>62</v>
      </c>
      <c r="Q522" s="36" t="s">
        <v>167</v>
      </c>
      <c r="R522" s="36" t="s">
        <v>406</v>
      </c>
      <c r="S522" s="37">
        <v>17.228088</v>
      </c>
      <c r="T522" s="37">
        <v>-89.761455</v>
      </c>
      <c r="U522" s="36" t="s">
        <v>398</v>
      </c>
      <c r="V522" s="6" t="s">
        <v>80</v>
      </c>
      <c r="W522" s="33" t="s">
        <v>156</v>
      </c>
      <c r="X522" s="3" t="s">
        <v>72</v>
      </c>
      <c r="Y522" s="58" t="s">
        <v>83</v>
      </c>
      <c r="Z522" s="36"/>
      <c r="AA522" s="37">
        <v>3.0</v>
      </c>
      <c r="AB522" s="36"/>
      <c r="AC522" s="36"/>
      <c r="AD522" s="36"/>
      <c r="AE522" s="36"/>
      <c r="AF522" s="36"/>
      <c r="AG522" s="36"/>
      <c r="AH522" s="36" t="s">
        <v>399</v>
      </c>
      <c r="AI522" s="37">
        <v>-1725.0</v>
      </c>
      <c r="AJ522" s="37">
        <v>20.0</v>
      </c>
      <c r="AK522" s="6" t="s">
        <v>73</v>
      </c>
      <c r="AL522" s="6" t="s">
        <v>72</v>
      </c>
      <c r="AM522" s="33" t="s">
        <v>400</v>
      </c>
      <c r="AN522" s="6" t="s">
        <v>72</v>
      </c>
      <c r="AO522" s="33"/>
      <c r="AP522" s="6" t="s">
        <v>75</v>
      </c>
      <c r="AQ522" s="33"/>
      <c r="AR522" s="33"/>
      <c r="AS522" s="33"/>
      <c r="AT522" s="6" t="s">
        <v>76</v>
      </c>
      <c r="AU522" s="33"/>
      <c r="AV522" s="33"/>
      <c r="AW522" s="33"/>
      <c r="AX522" s="33"/>
      <c r="AY522" s="33"/>
      <c r="AZ522" s="6" t="s">
        <v>76</v>
      </c>
      <c r="BA522" s="33"/>
      <c r="BB522" s="33">
        <f>VLOOKUP(O522,Eco_DEM_Data!$D$1:$AC$643,20,False)</f>
        <v>1614</v>
      </c>
      <c r="BC522" s="33">
        <f>VLOOKUP($O522,Eco_DEM_Data!$D$1:$AC$643,20,False)</f>
        <v>1614</v>
      </c>
      <c r="BD522" s="33">
        <f>VLOOKUP($O522,Eco_DEM_Data!$D$1:$AC$643,25,False)</f>
        <v>641</v>
      </c>
      <c r="BE522" s="33">
        <f>VLOOKUP($O522,Eco_DEM_Data!$D$1:$AC$643,22,False)</f>
        <v>38</v>
      </c>
      <c r="BF522" s="33">
        <f>VLOOKUP($O522,Eco_DEM_Data!$D$1:$AC$643,23,False)</f>
        <v>130</v>
      </c>
      <c r="BG522" s="33">
        <f>VLOOKUP($O522,Eco_DEM_Data!$D$1:$AC$643,21,False)</f>
        <v>5597</v>
      </c>
      <c r="BH522" s="33">
        <f>VLOOKUP($O522,Eco_DEM_Data!$D$1:$AC$643,26,False)</f>
        <v>229</v>
      </c>
      <c r="BI522" s="33" t="str">
        <f>VLOOKUP($O522,Eco_DEM_Data!$D$1:$AC$643,9,False)</f>
        <v>Petén-Veracruz moist forests</v>
      </c>
      <c r="BJ522" s="33" t="str">
        <f>VLOOKUP($O522,Eco_DEM_Data!$D$1:$AC$643,11,False)</f>
        <v>Tropical &amp; Subtropical Moist Broadleaf Forests</v>
      </c>
    </row>
    <row r="523">
      <c r="A523" s="33" t="s">
        <v>390</v>
      </c>
      <c r="B523" s="33" t="s">
        <v>2259</v>
      </c>
      <c r="C523" s="34">
        <v>23.0</v>
      </c>
      <c r="D523" s="33" t="s">
        <v>53</v>
      </c>
      <c r="E523" s="34">
        <v>2017.0</v>
      </c>
      <c r="F523" s="33" t="s">
        <v>391</v>
      </c>
      <c r="G523" s="33" t="s">
        <v>392</v>
      </c>
      <c r="H523" s="33" t="s">
        <v>359</v>
      </c>
      <c r="I523" s="33" t="s">
        <v>393</v>
      </c>
      <c r="J523" s="33" t="s">
        <v>394</v>
      </c>
      <c r="K523" s="34">
        <v>32.0</v>
      </c>
      <c r="L523" s="34">
        <v>1.0</v>
      </c>
      <c r="M523" s="6" t="s">
        <v>395</v>
      </c>
      <c r="N523" s="35" t="s">
        <v>60</v>
      </c>
      <c r="O523" s="33" t="s">
        <v>429</v>
      </c>
      <c r="P523" s="36" t="s">
        <v>62</v>
      </c>
      <c r="Q523" s="36" t="s">
        <v>167</v>
      </c>
      <c r="R523" s="36" t="s">
        <v>406</v>
      </c>
      <c r="S523" s="37">
        <v>17.228088</v>
      </c>
      <c r="T523" s="37">
        <v>-89.761455</v>
      </c>
      <c r="U523" s="36" t="s">
        <v>398</v>
      </c>
      <c r="V523" s="38" t="s">
        <v>66</v>
      </c>
      <c r="W523" s="41" t="s">
        <v>823</v>
      </c>
      <c r="X523" s="10" t="s">
        <v>72</v>
      </c>
      <c r="Y523" s="41" t="s">
        <v>70</v>
      </c>
      <c r="Z523" s="43"/>
      <c r="AA523" s="42">
        <v>3.0</v>
      </c>
      <c r="AB523" s="43"/>
      <c r="AC523" s="43"/>
      <c r="AD523" s="43"/>
      <c r="AE523" s="43"/>
      <c r="AF523" s="43"/>
      <c r="AG523" s="43"/>
      <c r="AH523" s="43" t="s">
        <v>399</v>
      </c>
      <c r="AI523" s="42">
        <v>-1725.0</v>
      </c>
      <c r="AJ523" s="42">
        <v>20.0</v>
      </c>
      <c r="AK523" s="5" t="s">
        <v>73</v>
      </c>
      <c r="AL523" s="5" t="s">
        <v>72</v>
      </c>
      <c r="AM523" s="33" t="s">
        <v>400</v>
      </c>
      <c r="AN523" s="5" t="s">
        <v>72</v>
      </c>
      <c r="AO523" s="41"/>
      <c r="AP523" s="5" t="s">
        <v>75</v>
      </c>
      <c r="AQ523" s="41"/>
      <c r="AR523" s="41"/>
      <c r="AS523" s="41"/>
      <c r="AT523" s="5" t="s">
        <v>60</v>
      </c>
      <c r="AU523" s="33"/>
      <c r="AV523" s="33"/>
      <c r="AW523" s="33"/>
      <c r="AX523" s="33"/>
      <c r="AY523" s="33"/>
      <c r="AZ523" s="6" t="s">
        <v>76</v>
      </c>
      <c r="BA523" s="33"/>
      <c r="BB523" s="33">
        <f>VLOOKUP(O523,Eco_DEM_Data!$D$1:$AC$643,20,False)</f>
        <v>1614</v>
      </c>
      <c r="BC523" s="33">
        <f>VLOOKUP($O523,Eco_DEM_Data!$D$1:$AC$643,20,False)</f>
        <v>1614</v>
      </c>
      <c r="BD523" s="33">
        <f>VLOOKUP($O523,Eco_DEM_Data!$D$1:$AC$643,25,False)</f>
        <v>641</v>
      </c>
      <c r="BE523" s="33">
        <f>VLOOKUP($O523,Eco_DEM_Data!$D$1:$AC$643,22,False)</f>
        <v>38</v>
      </c>
      <c r="BF523" s="33">
        <f>VLOOKUP($O523,Eco_DEM_Data!$D$1:$AC$643,23,False)</f>
        <v>130</v>
      </c>
      <c r="BG523" s="33">
        <f>VLOOKUP($O523,Eco_DEM_Data!$D$1:$AC$643,21,False)</f>
        <v>5597</v>
      </c>
      <c r="BH523" s="33">
        <f>VLOOKUP($O523,Eco_DEM_Data!$D$1:$AC$643,26,False)</f>
        <v>229</v>
      </c>
      <c r="BI523" s="33" t="str">
        <f>VLOOKUP($O523,Eco_DEM_Data!$D$1:$AC$643,9,False)</f>
        <v>Petén-Veracruz moist forests</v>
      </c>
      <c r="BJ523" s="33" t="str">
        <f>VLOOKUP($O523,Eco_DEM_Data!$D$1:$AC$643,11,False)</f>
        <v>Tropical &amp; Subtropical Moist Broadleaf Forests</v>
      </c>
    </row>
    <row r="524">
      <c r="A524" s="33" t="s">
        <v>390</v>
      </c>
      <c r="B524" s="33" t="s">
        <v>2259</v>
      </c>
      <c r="C524" s="34">
        <v>23.0</v>
      </c>
      <c r="D524" s="33" t="s">
        <v>53</v>
      </c>
      <c r="E524" s="34">
        <v>2017.0</v>
      </c>
      <c r="F524" s="33" t="s">
        <v>391</v>
      </c>
      <c r="G524" s="33" t="s">
        <v>392</v>
      </c>
      <c r="H524" s="33" t="s">
        <v>359</v>
      </c>
      <c r="I524" s="33" t="s">
        <v>393</v>
      </c>
      <c r="J524" s="33" t="s">
        <v>394</v>
      </c>
      <c r="K524" s="34">
        <v>32.0</v>
      </c>
      <c r="L524" s="34">
        <v>1.0</v>
      </c>
      <c r="M524" s="6" t="s">
        <v>395</v>
      </c>
      <c r="N524" s="35" t="s">
        <v>60</v>
      </c>
      <c r="O524" s="33" t="s">
        <v>430</v>
      </c>
      <c r="P524" s="36" t="s">
        <v>62</v>
      </c>
      <c r="Q524" s="36" t="s">
        <v>167</v>
      </c>
      <c r="R524" s="36" t="s">
        <v>397</v>
      </c>
      <c r="S524" s="37">
        <v>17.239926</v>
      </c>
      <c r="T524" s="37">
        <v>-89.804629</v>
      </c>
      <c r="U524" s="36" t="s">
        <v>398</v>
      </c>
      <c r="V524" s="38" t="s">
        <v>194</v>
      </c>
      <c r="W524" s="33" t="s">
        <v>173</v>
      </c>
      <c r="X524" s="1" t="s">
        <v>191</v>
      </c>
      <c r="Y524" s="33" t="s">
        <v>70</v>
      </c>
      <c r="Z524" s="36"/>
      <c r="AA524" s="37">
        <v>3.0</v>
      </c>
      <c r="AB524" s="36"/>
      <c r="AC524" s="36"/>
      <c r="AD524" s="36"/>
      <c r="AE524" s="36"/>
      <c r="AF524" s="36"/>
      <c r="AG524" s="36"/>
      <c r="AH524" s="36" t="s">
        <v>399</v>
      </c>
      <c r="AI524" s="37">
        <v>220.0</v>
      </c>
      <c r="AJ524" s="37">
        <v>760.0</v>
      </c>
      <c r="AK524" s="6" t="s">
        <v>100</v>
      </c>
      <c r="AL524" s="6" t="s">
        <v>72</v>
      </c>
      <c r="AM524" s="33" t="s">
        <v>400</v>
      </c>
      <c r="AN524" s="6" t="s">
        <v>72</v>
      </c>
      <c r="AO524" s="33"/>
      <c r="AP524" s="6" t="s">
        <v>75</v>
      </c>
      <c r="AQ524" s="33"/>
      <c r="AR524" s="33"/>
      <c r="AS524" s="33"/>
      <c r="AT524" s="6" t="s">
        <v>76</v>
      </c>
      <c r="AU524" s="33"/>
      <c r="AV524" s="33"/>
      <c r="AW524" s="33"/>
      <c r="AX524" s="33"/>
      <c r="AY524" s="33"/>
      <c r="AZ524" s="6" t="s">
        <v>76</v>
      </c>
      <c r="BA524" s="33"/>
      <c r="BB524" s="33">
        <f>VLOOKUP(O524,Eco_DEM_Data!$D$1:$AC$643,20,False)</f>
        <v>1616</v>
      </c>
      <c r="BC524" s="33">
        <f>VLOOKUP($O524,Eco_DEM_Data!$D$1:$AC$643,20,False)</f>
        <v>1616</v>
      </c>
      <c r="BD524" s="33">
        <f>VLOOKUP($O524,Eco_DEM_Data!$D$1:$AC$643,25,False)</f>
        <v>647</v>
      </c>
      <c r="BE524" s="33">
        <f>VLOOKUP($O524,Eco_DEM_Data!$D$1:$AC$643,22,False)</f>
        <v>38</v>
      </c>
      <c r="BF524" s="33">
        <f>VLOOKUP($O524,Eco_DEM_Data!$D$1:$AC$643,23,False)</f>
        <v>128</v>
      </c>
      <c r="BG524" s="33">
        <f>VLOOKUP($O524,Eco_DEM_Data!$D$1:$AC$643,21,False)</f>
        <v>5637</v>
      </c>
      <c r="BH524" s="33">
        <f>VLOOKUP($O524,Eco_DEM_Data!$D$1:$AC$643,26,False)</f>
        <v>226</v>
      </c>
      <c r="BI524" s="33" t="str">
        <f>VLOOKUP($O524,Eco_DEM_Data!$D$1:$AC$643,9,False)</f>
        <v>Petén-Veracruz moist forests</v>
      </c>
      <c r="BJ524" s="33" t="str">
        <f>VLOOKUP($O524,Eco_DEM_Data!$D$1:$AC$643,11,False)</f>
        <v>Tropical &amp; Subtropical Moist Broadleaf Forests</v>
      </c>
    </row>
    <row r="525">
      <c r="A525" s="33" t="s">
        <v>390</v>
      </c>
      <c r="B525" s="33" t="s">
        <v>2259</v>
      </c>
      <c r="C525" s="34">
        <v>23.0</v>
      </c>
      <c r="D525" s="33" t="s">
        <v>53</v>
      </c>
      <c r="E525" s="34">
        <v>2017.0</v>
      </c>
      <c r="F525" s="33" t="s">
        <v>391</v>
      </c>
      <c r="G525" s="33" t="s">
        <v>392</v>
      </c>
      <c r="H525" s="33" t="s">
        <v>359</v>
      </c>
      <c r="I525" s="33" t="s">
        <v>393</v>
      </c>
      <c r="J525" s="33" t="s">
        <v>394</v>
      </c>
      <c r="K525" s="34">
        <v>32.0</v>
      </c>
      <c r="L525" s="34">
        <v>1.0</v>
      </c>
      <c r="M525" s="6" t="s">
        <v>395</v>
      </c>
      <c r="N525" s="35" t="s">
        <v>60</v>
      </c>
      <c r="O525" s="33" t="s">
        <v>431</v>
      </c>
      <c r="P525" s="36" t="s">
        <v>62</v>
      </c>
      <c r="Q525" s="36" t="s">
        <v>167</v>
      </c>
      <c r="R525" s="36" t="s">
        <v>402</v>
      </c>
      <c r="S525" s="37">
        <v>17.239567</v>
      </c>
      <c r="T525" s="37">
        <v>-89.810542</v>
      </c>
      <c r="U525" s="36" t="s">
        <v>398</v>
      </c>
      <c r="V525" s="38" t="s">
        <v>194</v>
      </c>
      <c r="W525" s="33" t="s">
        <v>173</v>
      </c>
      <c r="X525" s="1" t="s">
        <v>191</v>
      </c>
      <c r="Y525" s="33" t="s">
        <v>70</v>
      </c>
      <c r="Z525" s="36"/>
      <c r="AA525" s="37">
        <v>2.0</v>
      </c>
      <c r="AB525" s="36"/>
      <c r="AC525" s="36"/>
      <c r="AD525" s="36"/>
      <c r="AE525" s="36"/>
      <c r="AF525" s="36"/>
      <c r="AG525" s="36"/>
      <c r="AH525" s="36" t="s">
        <v>399</v>
      </c>
      <c r="AI525" s="37">
        <v>255.0</v>
      </c>
      <c r="AJ525" s="37">
        <v>370.0</v>
      </c>
      <c r="AK525" s="6" t="s">
        <v>100</v>
      </c>
      <c r="AL525" s="6" t="s">
        <v>72</v>
      </c>
      <c r="AM525" s="33" t="s">
        <v>400</v>
      </c>
      <c r="AN525" s="6" t="s">
        <v>72</v>
      </c>
      <c r="AO525" s="33"/>
      <c r="AP525" s="6" t="s">
        <v>75</v>
      </c>
      <c r="AQ525" s="33"/>
      <c r="AR525" s="33"/>
      <c r="AS525" s="33"/>
      <c r="AT525" s="6" t="s">
        <v>76</v>
      </c>
      <c r="AU525" s="33"/>
      <c r="AV525" s="33"/>
      <c r="AW525" s="33"/>
      <c r="AX525" s="33"/>
      <c r="AY525" s="33"/>
      <c r="AZ525" s="6" t="s">
        <v>76</v>
      </c>
      <c r="BA525" s="33"/>
      <c r="BB525" s="33">
        <f>VLOOKUP(O525,Eco_DEM_Data!$D$1:$AC$643,20,False)</f>
        <v>1621</v>
      </c>
      <c r="BC525" s="33">
        <f>VLOOKUP($O525,Eco_DEM_Data!$D$1:$AC$643,20,False)</f>
        <v>1621</v>
      </c>
      <c r="BD525" s="33">
        <f>VLOOKUP($O525,Eco_DEM_Data!$D$1:$AC$643,25,False)</f>
        <v>649</v>
      </c>
      <c r="BE525" s="33">
        <f>VLOOKUP($O525,Eco_DEM_Data!$D$1:$AC$643,22,False)</f>
        <v>38</v>
      </c>
      <c r="BF525" s="33">
        <f>VLOOKUP($O525,Eco_DEM_Data!$D$1:$AC$643,23,False)</f>
        <v>130</v>
      </c>
      <c r="BG525" s="33">
        <f>VLOOKUP($O525,Eco_DEM_Data!$D$1:$AC$643,21,False)</f>
        <v>5627</v>
      </c>
      <c r="BH525" s="33">
        <f>VLOOKUP($O525,Eco_DEM_Data!$D$1:$AC$643,26,False)</f>
        <v>249</v>
      </c>
      <c r="BI525" s="33" t="str">
        <f>VLOOKUP($O525,Eco_DEM_Data!$D$1:$AC$643,9,False)</f>
        <v>Petén-Veracruz moist forests</v>
      </c>
      <c r="BJ525" s="33" t="str">
        <f>VLOOKUP($O525,Eco_DEM_Data!$D$1:$AC$643,11,False)</f>
        <v>Tropical &amp; Subtropical Moist Broadleaf Forests</v>
      </c>
    </row>
    <row r="526">
      <c r="A526" s="33" t="s">
        <v>390</v>
      </c>
      <c r="B526" s="33" t="s">
        <v>2259</v>
      </c>
      <c r="C526" s="34">
        <v>23.0</v>
      </c>
      <c r="D526" s="33" t="s">
        <v>53</v>
      </c>
      <c r="E526" s="34">
        <v>2017.0</v>
      </c>
      <c r="F526" s="33" t="s">
        <v>391</v>
      </c>
      <c r="G526" s="33" t="s">
        <v>392</v>
      </c>
      <c r="H526" s="33" t="s">
        <v>359</v>
      </c>
      <c r="I526" s="33" t="s">
        <v>393</v>
      </c>
      <c r="J526" s="33" t="s">
        <v>394</v>
      </c>
      <c r="K526" s="34">
        <v>32.0</v>
      </c>
      <c r="L526" s="34">
        <v>1.0</v>
      </c>
      <c r="M526" s="6" t="s">
        <v>395</v>
      </c>
      <c r="N526" s="35" t="s">
        <v>60</v>
      </c>
      <c r="O526" s="33" t="s">
        <v>432</v>
      </c>
      <c r="P526" s="36" t="s">
        <v>62</v>
      </c>
      <c r="Q526" s="36" t="s">
        <v>167</v>
      </c>
      <c r="R526" s="36" t="s">
        <v>404</v>
      </c>
      <c r="S526" s="37">
        <v>17.228088</v>
      </c>
      <c r="T526" s="37">
        <v>-89.761455</v>
      </c>
      <c r="U526" s="36" t="s">
        <v>398</v>
      </c>
      <c r="V526" s="38" t="s">
        <v>194</v>
      </c>
      <c r="W526" s="33" t="s">
        <v>173</v>
      </c>
      <c r="X526" s="1" t="s">
        <v>191</v>
      </c>
      <c r="Y526" s="33" t="s">
        <v>70</v>
      </c>
      <c r="Z526" s="36"/>
      <c r="AA526" s="37">
        <v>1.0</v>
      </c>
      <c r="AB526" s="36"/>
      <c r="AC526" s="36"/>
      <c r="AD526" s="36"/>
      <c r="AE526" s="36"/>
      <c r="AF526" s="36"/>
      <c r="AG526" s="36"/>
      <c r="AH526" s="36" t="s">
        <v>399</v>
      </c>
      <c r="AI526" s="37">
        <v>-475.0</v>
      </c>
      <c r="AJ526" s="52" t="s">
        <v>72</v>
      </c>
      <c r="AK526" s="6" t="s">
        <v>100</v>
      </c>
      <c r="AL526" s="6" t="s">
        <v>72</v>
      </c>
      <c r="AM526" s="33" t="s">
        <v>400</v>
      </c>
      <c r="AN526" s="6" t="s">
        <v>72</v>
      </c>
      <c r="AO526" s="33"/>
      <c r="AP526" s="6" t="s">
        <v>75</v>
      </c>
      <c r="AQ526" s="33"/>
      <c r="AR526" s="33"/>
      <c r="AS526" s="33"/>
      <c r="AT526" s="6" t="s">
        <v>76</v>
      </c>
      <c r="AU526" s="33"/>
      <c r="AV526" s="33"/>
      <c r="AW526" s="33"/>
      <c r="AX526" s="33"/>
      <c r="AY526" s="33"/>
      <c r="AZ526" s="6" t="s">
        <v>76</v>
      </c>
      <c r="BA526" s="33"/>
      <c r="BB526" s="33">
        <f>VLOOKUP(O526,Eco_DEM_Data!$D$1:$AC$643,20,False)</f>
        <v>1614</v>
      </c>
      <c r="BC526" s="33">
        <f>VLOOKUP($O526,Eco_DEM_Data!$D$1:$AC$643,20,False)</f>
        <v>1614</v>
      </c>
      <c r="BD526" s="33">
        <f>VLOOKUP($O526,Eco_DEM_Data!$D$1:$AC$643,25,False)</f>
        <v>641</v>
      </c>
      <c r="BE526" s="33">
        <f>VLOOKUP($O526,Eco_DEM_Data!$D$1:$AC$643,22,False)</f>
        <v>38</v>
      </c>
      <c r="BF526" s="33">
        <f>VLOOKUP($O526,Eco_DEM_Data!$D$1:$AC$643,23,False)</f>
        <v>130</v>
      </c>
      <c r="BG526" s="33">
        <f>VLOOKUP($O526,Eco_DEM_Data!$D$1:$AC$643,21,False)</f>
        <v>5597</v>
      </c>
      <c r="BH526" s="33">
        <f>VLOOKUP($O526,Eco_DEM_Data!$D$1:$AC$643,26,False)</f>
        <v>229</v>
      </c>
      <c r="BI526" s="33" t="str">
        <f>VLOOKUP($O526,Eco_DEM_Data!$D$1:$AC$643,9,False)</f>
        <v>Petén-Veracruz moist forests</v>
      </c>
      <c r="BJ526" s="33" t="str">
        <f>VLOOKUP($O526,Eco_DEM_Data!$D$1:$AC$643,11,False)</f>
        <v>Tropical &amp; Subtropical Moist Broadleaf Forests</v>
      </c>
    </row>
    <row r="527">
      <c r="A527" s="33" t="s">
        <v>390</v>
      </c>
      <c r="B527" s="33" t="s">
        <v>2259</v>
      </c>
      <c r="C527" s="34">
        <v>23.0</v>
      </c>
      <c r="D527" s="33" t="s">
        <v>53</v>
      </c>
      <c r="E527" s="34">
        <v>2017.0</v>
      </c>
      <c r="F527" s="33" t="s">
        <v>391</v>
      </c>
      <c r="G527" s="33" t="s">
        <v>392</v>
      </c>
      <c r="H527" s="33" t="s">
        <v>359</v>
      </c>
      <c r="I527" s="33" t="s">
        <v>393</v>
      </c>
      <c r="J527" s="33" t="s">
        <v>394</v>
      </c>
      <c r="K527" s="34">
        <v>32.0</v>
      </c>
      <c r="L527" s="34">
        <v>1.0</v>
      </c>
      <c r="M527" s="6" t="s">
        <v>395</v>
      </c>
      <c r="N527" s="35" t="s">
        <v>60</v>
      </c>
      <c r="O527" s="33" t="s">
        <v>433</v>
      </c>
      <c r="P527" s="36" t="s">
        <v>62</v>
      </c>
      <c r="Q527" s="36" t="s">
        <v>167</v>
      </c>
      <c r="R527" s="36" t="s">
        <v>406</v>
      </c>
      <c r="S527" s="37">
        <v>17.228088</v>
      </c>
      <c r="T527" s="37">
        <v>-89.761455</v>
      </c>
      <c r="U527" s="36" t="s">
        <v>398</v>
      </c>
      <c r="V527" s="38" t="s">
        <v>194</v>
      </c>
      <c r="W527" s="33" t="s">
        <v>173</v>
      </c>
      <c r="X527" s="1" t="s">
        <v>191</v>
      </c>
      <c r="Y527" s="33" t="s">
        <v>70</v>
      </c>
      <c r="Z527" s="36"/>
      <c r="AA527" s="37">
        <v>3.0</v>
      </c>
      <c r="AB527" s="36"/>
      <c r="AC527" s="36"/>
      <c r="AD527" s="36"/>
      <c r="AE527" s="36"/>
      <c r="AF527" s="36"/>
      <c r="AG527" s="36"/>
      <c r="AH527" s="36" t="s">
        <v>399</v>
      </c>
      <c r="AI527" s="37">
        <v>-1725.0</v>
      </c>
      <c r="AJ527" s="37">
        <v>20.0</v>
      </c>
      <c r="AK527" s="6" t="s">
        <v>73</v>
      </c>
      <c r="AL527" s="6" t="s">
        <v>72</v>
      </c>
      <c r="AM527" s="33" t="s">
        <v>400</v>
      </c>
      <c r="AN527" s="6" t="s">
        <v>72</v>
      </c>
      <c r="AO527" s="33"/>
      <c r="AP527" s="6" t="s">
        <v>75</v>
      </c>
      <c r="AQ527" s="33"/>
      <c r="AR527" s="33"/>
      <c r="AS527" s="33"/>
      <c r="AT527" s="6" t="s">
        <v>76</v>
      </c>
      <c r="AU527" s="33"/>
      <c r="AV527" s="33"/>
      <c r="AW527" s="33"/>
      <c r="AX527" s="33"/>
      <c r="AY527" s="33"/>
      <c r="AZ527" s="6" t="s">
        <v>76</v>
      </c>
      <c r="BA527" s="33"/>
      <c r="BB527" s="33">
        <f>VLOOKUP(O527,Eco_DEM_Data!$D$1:$AC$643,20,False)</f>
        <v>1614</v>
      </c>
      <c r="BC527" s="33">
        <f>VLOOKUP($O527,Eco_DEM_Data!$D$1:$AC$643,20,False)</f>
        <v>1614</v>
      </c>
      <c r="BD527" s="33">
        <f>VLOOKUP($O527,Eco_DEM_Data!$D$1:$AC$643,25,False)</f>
        <v>641</v>
      </c>
      <c r="BE527" s="33">
        <f>VLOOKUP($O527,Eco_DEM_Data!$D$1:$AC$643,22,False)</f>
        <v>38</v>
      </c>
      <c r="BF527" s="33">
        <f>VLOOKUP($O527,Eco_DEM_Data!$D$1:$AC$643,23,False)</f>
        <v>130</v>
      </c>
      <c r="BG527" s="33">
        <f>VLOOKUP($O527,Eco_DEM_Data!$D$1:$AC$643,21,False)</f>
        <v>5597</v>
      </c>
      <c r="BH527" s="33">
        <f>VLOOKUP($O527,Eco_DEM_Data!$D$1:$AC$643,26,False)</f>
        <v>229</v>
      </c>
      <c r="BI527" s="33" t="str">
        <f>VLOOKUP($O527,Eco_DEM_Data!$D$1:$AC$643,9,False)</f>
        <v>Petén-Veracruz moist forests</v>
      </c>
      <c r="BJ527" s="33" t="str">
        <f>VLOOKUP($O527,Eco_DEM_Data!$D$1:$AC$643,11,False)</f>
        <v>Tropical &amp; Subtropical Moist Broadleaf Forests</v>
      </c>
    </row>
    <row r="528">
      <c r="A528" s="33" t="s">
        <v>390</v>
      </c>
      <c r="B528" s="33" t="s">
        <v>2259</v>
      </c>
      <c r="C528" s="34">
        <v>23.0</v>
      </c>
      <c r="D528" s="33" t="s">
        <v>53</v>
      </c>
      <c r="E528" s="34">
        <v>2017.0</v>
      </c>
      <c r="F528" s="33" t="s">
        <v>391</v>
      </c>
      <c r="G528" s="33" t="s">
        <v>392</v>
      </c>
      <c r="H528" s="33" t="s">
        <v>359</v>
      </c>
      <c r="I528" s="33" t="s">
        <v>393</v>
      </c>
      <c r="J528" s="33" t="s">
        <v>394</v>
      </c>
      <c r="K528" s="34">
        <v>32.0</v>
      </c>
      <c r="L528" s="34">
        <v>1.0</v>
      </c>
      <c r="M528" s="6" t="s">
        <v>395</v>
      </c>
      <c r="N528" s="35" t="s">
        <v>60</v>
      </c>
      <c r="O528" s="33" t="s">
        <v>434</v>
      </c>
      <c r="P528" s="36" t="s">
        <v>62</v>
      </c>
      <c r="Q528" s="36" t="s">
        <v>167</v>
      </c>
      <c r="R528" s="36" t="s">
        <v>406</v>
      </c>
      <c r="S528" s="37">
        <v>17.228088</v>
      </c>
      <c r="T528" s="37">
        <v>-89.761455</v>
      </c>
      <c r="U528" s="36" t="s">
        <v>398</v>
      </c>
      <c r="V528" s="38" t="s">
        <v>194</v>
      </c>
      <c r="W528" s="33" t="s">
        <v>173</v>
      </c>
      <c r="X528" s="1" t="s">
        <v>191</v>
      </c>
      <c r="Y528" s="33" t="s">
        <v>70</v>
      </c>
      <c r="Z528" s="36"/>
      <c r="AA528" s="37">
        <v>2.0</v>
      </c>
      <c r="AB528" s="36"/>
      <c r="AC528" s="36"/>
      <c r="AD528" s="36"/>
      <c r="AE528" s="36"/>
      <c r="AF528" s="36"/>
      <c r="AG528" s="36"/>
      <c r="AH528" s="36" t="s">
        <v>408</v>
      </c>
      <c r="AI528" s="37">
        <v>235.0</v>
      </c>
      <c r="AJ528" s="37">
        <v>660.0</v>
      </c>
      <c r="AK528" s="6" t="s">
        <v>100</v>
      </c>
      <c r="AL528" s="6" t="s">
        <v>72</v>
      </c>
      <c r="AM528" s="33" t="s">
        <v>400</v>
      </c>
      <c r="AN528" s="6" t="s">
        <v>72</v>
      </c>
      <c r="AO528" s="33"/>
      <c r="AP528" s="6" t="s">
        <v>75</v>
      </c>
      <c r="AQ528" s="33"/>
      <c r="AR528" s="33"/>
      <c r="AS528" s="33"/>
      <c r="AT528" s="6" t="s">
        <v>76</v>
      </c>
      <c r="AU528" s="33"/>
      <c r="AV528" s="33"/>
      <c r="AW528" s="33"/>
      <c r="AX528" s="33"/>
      <c r="AY528" s="33"/>
      <c r="AZ528" s="6" t="s">
        <v>76</v>
      </c>
      <c r="BA528" s="33"/>
      <c r="BB528" s="33">
        <f>VLOOKUP(O528,Eco_DEM_Data!$D$1:$AC$643,20,False)</f>
        <v>1614</v>
      </c>
      <c r="BC528" s="33">
        <f>VLOOKUP($O528,Eco_DEM_Data!$D$1:$AC$643,20,False)</f>
        <v>1614</v>
      </c>
      <c r="BD528" s="33">
        <f>VLOOKUP($O528,Eco_DEM_Data!$D$1:$AC$643,25,False)</f>
        <v>641</v>
      </c>
      <c r="BE528" s="33">
        <f>VLOOKUP($O528,Eco_DEM_Data!$D$1:$AC$643,22,False)</f>
        <v>38</v>
      </c>
      <c r="BF528" s="33">
        <f>VLOOKUP($O528,Eco_DEM_Data!$D$1:$AC$643,23,False)</f>
        <v>130</v>
      </c>
      <c r="BG528" s="33">
        <f>VLOOKUP($O528,Eco_DEM_Data!$D$1:$AC$643,21,False)</f>
        <v>5597</v>
      </c>
      <c r="BH528" s="33">
        <f>VLOOKUP($O528,Eco_DEM_Data!$D$1:$AC$643,26,False)</f>
        <v>229</v>
      </c>
      <c r="BI528" s="33" t="str">
        <f>VLOOKUP($O528,Eco_DEM_Data!$D$1:$AC$643,9,False)</f>
        <v>Petén-Veracruz moist forests</v>
      </c>
      <c r="BJ528" s="33" t="str">
        <f>VLOOKUP($O528,Eco_DEM_Data!$D$1:$AC$643,11,False)</f>
        <v>Tropical &amp; Subtropical Moist Broadleaf Forests</v>
      </c>
    </row>
    <row r="529">
      <c r="A529" s="33" t="s">
        <v>1019</v>
      </c>
      <c r="B529" s="33" t="s">
        <v>2259</v>
      </c>
      <c r="C529" s="34">
        <v>5.0</v>
      </c>
      <c r="D529" s="33" t="s">
        <v>53</v>
      </c>
      <c r="E529" s="34">
        <v>2017.0</v>
      </c>
      <c r="F529" s="33" t="s">
        <v>1020</v>
      </c>
      <c r="G529" s="33" t="s">
        <v>1021</v>
      </c>
      <c r="H529" s="33" t="s">
        <v>732</v>
      </c>
      <c r="I529" s="33" t="s">
        <v>1022</v>
      </c>
      <c r="J529" s="33" t="s">
        <v>1023</v>
      </c>
      <c r="K529" s="34">
        <v>57.0</v>
      </c>
      <c r="L529" s="34">
        <v>4.0</v>
      </c>
      <c r="M529" s="6" t="s">
        <v>1024</v>
      </c>
      <c r="N529" s="35" t="s">
        <v>60</v>
      </c>
      <c r="O529" s="33" t="s">
        <v>1025</v>
      </c>
      <c r="P529" s="36" t="s">
        <v>62</v>
      </c>
      <c r="Q529" s="36" t="s">
        <v>167</v>
      </c>
      <c r="R529" s="36" t="s">
        <v>512</v>
      </c>
      <c r="S529" s="37">
        <v>16.916667</v>
      </c>
      <c r="T529" s="37">
        <v>-89.833333</v>
      </c>
      <c r="U529" s="36" t="s">
        <v>148</v>
      </c>
      <c r="V529" s="6" t="s">
        <v>135</v>
      </c>
      <c r="W529" s="41" t="s">
        <v>823</v>
      </c>
      <c r="X529" s="7" t="s">
        <v>1027</v>
      </c>
      <c r="Y529" s="6" t="s">
        <v>99</v>
      </c>
      <c r="Z529" s="43"/>
      <c r="AA529" s="42">
        <v>36.0</v>
      </c>
      <c r="AB529" s="43"/>
      <c r="AC529" s="43"/>
      <c r="AD529" s="43"/>
      <c r="AE529" s="43"/>
      <c r="AF529" s="43"/>
      <c r="AG529" s="42">
        <v>1.0</v>
      </c>
      <c r="AH529" s="54" t="s">
        <v>72</v>
      </c>
      <c r="AI529" s="42">
        <v>-41000.0</v>
      </c>
      <c r="AJ529" s="42">
        <v>2006.0</v>
      </c>
      <c r="AK529" s="5" t="s">
        <v>100</v>
      </c>
      <c r="AL529" s="5" t="s">
        <v>60</v>
      </c>
      <c r="AM529" s="6" t="s">
        <v>132</v>
      </c>
      <c r="AN529" s="5" t="s">
        <v>76</v>
      </c>
      <c r="AO529" s="41"/>
      <c r="AP529" s="5" t="s">
        <v>75</v>
      </c>
      <c r="AQ529" s="41"/>
      <c r="AR529" s="41"/>
      <c r="AS529" s="41"/>
      <c r="AT529" s="5" t="s">
        <v>76</v>
      </c>
      <c r="AU529" s="33"/>
      <c r="AV529" s="33"/>
      <c r="AW529" s="33"/>
      <c r="AX529" s="33"/>
      <c r="AY529" s="33"/>
      <c r="AZ529" s="6" t="s">
        <v>76</v>
      </c>
      <c r="BA529" s="33"/>
      <c r="BB529" s="33">
        <f>VLOOKUP(O529,Eco_DEM_Data!$D$1:$AC$643,20,False)</f>
        <v>1738</v>
      </c>
      <c r="BC529" s="33">
        <f>VLOOKUP($O529,Eco_DEM_Data!$D$1:$AC$643,20,False)</f>
        <v>1738</v>
      </c>
      <c r="BD529" s="33">
        <f>VLOOKUP($O529,Eco_DEM_Data!$D$1:$AC$643,25,False)</f>
        <v>690</v>
      </c>
      <c r="BE529" s="33">
        <f>VLOOKUP($O529,Eco_DEM_Data!$D$1:$AC$643,22,False)</f>
        <v>36</v>
      </c>
      <c r="BF529" s="33">
        <f>VLOOKUP($O529,Eco_DEM_Data!$D$1:$AC$643,23,False)</f>
        <v>144</v>
      </c>
      <c r="BG529" s="33">
        <f>VLOOKUP($O529,Eco_DEM_Data!$D$1:$AC$643,21,False)</f>
        <v>5677</v>
      </c>
      <c r="BH529" s="33">
        <f>VLOOKUP($O529,Eco_DEM_Data!$D$1:$AC$643,26,False)</f>
        <v>131</v>
      </c>
      <c r="BI529" s="33" t="str">
        <f>VLOOKUP($O529,Eco_DEM_Data!$D$1:$AC$643,9,False)</f>
        <v>Petén-Veracruz moist forests</v>
      </c>
      <c r="BJ529" s="33" t="str">
        <f>VLOOKUP($O529,Eco_DEM_Data!$D$1:$AC$643,11,False)</f>
        <v>Tropical &amp; Subtropical Moist Broadleaf Forests</v>
      </c>
    </row>
    <row r="530">
      <c r="A530" s="33" t="s">
        <v>1019</v>
      </c>
      <c r="B530" s="33" t="s">
        <v>2259</v>
      </c>
      <c r="C530" s="34">
        <v>5.0</v>
      </c>
      <c r="D530" s="33" t="s">
        <v>53</v>
      </c>
      <c r="E530" s="34">
        <v>2017.0</v>
      </c>
      <c r="F530" s="33" t="s">
        <v>1020</v>
      </c>
      <c r="G530" s="33" t="s">
        <v>1021</v>
      </c>
      <c r="H530" s="33" t="s">
        <v>732</v>
      </c>
      <c r="I530" s="33" t="s">
        <v>1022</v>
      </c>
      <c r="J530" s="33" t="s">
        <v>1023</v>
      </c>
      <c r="K530" s="34">
        <v>57.0</v>
      </c>
      <c r="L530" s="34">
        <v>4.0</v>
      </c>
      <c r="M530" s="6" t="s">
        <v>1024</v>
      </c>
      <c r="N530" s="35" t="s">
        <v>60</v>
      </c>
      <c r="O530" s="33" t="s">
        <v>1028</v>
      </c>
      <c r="P530" s="36" t="s">
        <v>62</v>
      </c>
      <c r="Q530" s="36" t="s">
        <v>167</v>
      </c>
      <c r="R530" s="36" t="s">
        <v>512</v>
      </c>
      <c r="S530" s="37">
        <v>16.916667</v>
      </c>
      <c r="T530" s="37">
        <v>-89.833333</v>
      </c>
      <c r="U530" s="36" t="s">
        <v>148</v>
      </c>
      <c r="V530" s="38" t="s">
        <v>1029</v>
      </c>
      <c r="W530" s="33" t="s">
        <v>173</v>
      </c>
      <c r="X530" s="1" t="s">
        <v>1030</v>
      </c>
      <c r="Y530" s="6" t="s">
        <v>72</v>
      </c>
      <c r="Z530" s="36"/>
      <c r="AA530" s="37">
        <v>36.0</v>
      </c>
      <c r="AB530" s="36"/>
      <c r="AC530" s="36"/>
      <c r="AD530" s="36"/>
      <c r="AE530" s="36"/>
      <c r="AF530" s="36"/>
      <c r="AG530" s="37">
        <v>1.0</v>
      </c>
      <c r="AH530" s="38" t="s">
        <v>72</v>
      </c>
      <c r="AI530" s="37">
        <v>-41000.0</v>
      </c>
      <c r="AJ530" s="37">
        <v>2006.0</v>
      </c>
      <c r="AK530" s="6" t="s">
        <v>100</v>
      </c>
      <c r="AL530" s="6" t="s">
        <v>60</v>
      </c>
      <c r="AM530" s="6" t="s">
        <v>132</v>
      </c>
      <c r="AN530" s="6" t="s">
        <v>76</v>
      </c>
      <c r="AO530" s="33"/>
      <c r="AP530" s="6" t="s">
        <v>75</v>
      </c>
      <c r="AQ530" s="33"/>
      <c r="AR530" s="33"/>
      <c r="AS530" s="33"/>
      <c r="AT530" s="6" t="s">
        <v>76</v>
      </c>
      <c r="AU530" s="33"/>
      <c r="AV530" s="33"/>
      <c r="AW530" s="33"/>
      <c r="AX530" s="33"/>
      <c r="AY530" s="33"/>
      <c r="AZ530" s="6" t="s">
        <v>76</v>
      </c>
      <c r="BA530" s="33"/>
      <c r="BB530" s="33">
        <f>VLOOKUP(O530,Eco_DEM_Data!$D$1:$AC$643,20,False)</f>
        <v>1738</v>
      </c>
      <c r="BC530" s="33">
        <f>VLOOKUP($O530,Eco_DEM_Data!$D$1:$AC$643,20,False)</f>
        <v>1738</v>
      </c>
      <c r="BD530" s="33">
        <f>VLOOKUP($O530,Eco_DEM_Data!$D$1:$AC$643,25,False)</f>
        <v>690</v>
      </c>
      <c r="BE530" s="33">
        <f>VLOOKUP($O530,Eco_DEM_Data!$D$1:$AC$643,22,False)</f>
        <v>36</v>
      </c>
      <c r="BF530" s="33">
        <f>VLOOKUP($O530,Eco_DEM_Data!$D$1:$AC$643,23,False)</f>
        <v>144</v>
      </c>
      <c r="BG530" s="33">
        <f>VLOOKUP($O530,Eco_DEM_Data!$D$1:$AC$643,21,False)</f>
        <v>5677</v>
      </c>
      <c r="BH530" s="33">
        <f>VLOOKUP($O530,Eco_DEM_Data!$D$1:$AC$643,26,False)</f>
        <v>131</v>
      </c>
      <c r="BI530" s="33" t="str">
        <f>VLOOKUP($O530,Eco_DEM_Data!$D$1:$AC$643,9,False)</f>
        <v>Petén-Veracruz moist forests</v>
      </c>
      <c r="BJ530" s="33" t="str">
        <f>VLOOKUP($O530,Eco_DEM_Data!$D$1:$AC$643,11,False)</f>
        <v>Tropical &amp; Subtropical Moist Broadleaf Forests</v>
      </c>
    </row>
    <row r="531">
      <c r="A531" s="33" t="s">
        <v>1019</v>
      </c>
      <c r="B531" s="33" t="s">
        <v>2259</v>
      </c>
      <c r="C531" s="34">
        <v>5.0</v>
      </c>
      <c r="D531" s="33" t="s">
        <v>53</v>
      </c>
      <c r="E531" s="34">
        <v>2017.0</v>
      </c>
      <c r="F531" s="33" t="s">
        <v>1020</v>
      </c>
      <c r="G531" s="33" t="s">
        <v>1021</v>
      </c>
      <c r="H531" s="33" t="s">
        <v>732</v>
      </c>
      <c r="I531" s="33" t="s">
        <v>1022</v>
      </c>
      <c r="J531" s="33" t="s">
        <v>1023</v>
      </c>
      <c r="K531" s="34">
        <v>57.0</v>
      </c>
      <c r="L531" s="34">
        <v>4.0</v>
      </c>
      <c r="M531" s="6" t="s">
        <v>1024</v>
      </c>
      <c r="N531" s="35" t="s">
        <v>60</v>
      </c>
      <c r="O531" s="33" t="s">
        <v>1031</v>
      </c>
      <c r="P531" s="36" t="s">
        <v>62</v>
      </c>
      <c r="Q531" s="36" t="s">
        <v>167</v>
      </c>
      <c r="R531" s="36" t="s">
        <v>512</v>
      </c>
      <c r="S531" s="37">
        <v>16.916667</v>
      </c>
      <c r="T531" s="37">
        <v>-89.833333</v>
      </c>
      <c r="U531" s="36" t="s">
        <v>148</v>
      </c>
      <c r="V531" s="38" t="s">
        <v>382</v>
      </c>
      <c r="W531" s="33" t="s">
        <v>173</v>
      </c>
      <c r="X531" s="1" t="s">
        <v>1030</v>
      </c>
      <c r="Y531" s="33" t="s">
        <v>968</v>
      </c>
      <c r="Z531" s="36"/>
      <c r="AA531" s="37">
        <v>36.0</v>
      </c>
      <c r="AB531" s="36"/>
      <c r="AC531" s="36"/>
      <c r="AD531" s="36"/>
      <c r="AE531" s="36"/>
      <c r="AF531" s="36"/>
      <c r="AG531" s="37">
        <v>1.0</v>
      </c>
      <c r="AH531" s="38" t="s">
        <v>72</v>
      </c>
      <c r="AI531" s="37">
        <v>-41000.0</v>
      </c>
      <c r="AJ531" s="37">
        <v>2006.0</v>
      </c>
      <c r="AK531" s="6" t="s">
        <v>100</v>
      </c>
      <c r="AL531" s="6" t="s">
        <v>60</v>
      </c>
      <c r="AM531" s="6" t="s">
        <v>132</v>
      </c>
      <c r="AN531" s="6" t="s">
        <v>76</v>
      </c>
      <c r="AO531" s="33"/>
      <c r="AP531" s="6" t="s">
        <v>75</v>
      </c>
      <c r="AQ531" s="33"/>
      <c r="AR531" s="33"/>
      <c r="AS531" s="33"/>
      <c r="AT531" s="6" t="s">
        <v>76</v>
      </c>
      <c r="AU531" s="33"/>
      <c r="AV531" s="33"/>
      <c r="AW531" s="33"/>
      <c r="AX531" s="33"/>
      <c r="AY531" s="33"/>
      <c r="AZ531" s="6" t="s">
        <v>76</v>
      </c>
      <c r="BA531" s="33"/>
      <c r="BB531" s="33">
        <f>VLOOKUP(O531,Eco_DEM_Data!$D$1:$AC$643,20,False)</f>
        <v>1738</v>
      </c>
      <c r="BC531" s="33">
        <f>VLOOKUP($O531,Eco_DEM_Data!$D$1:$AC$643,20,False)</f>
        <v>1738</v>
      </c>
      <c r="BD531" s="33">
        <f>VLOOKUP($O531,Eco_DEM_Data!$D$1:$AC$643,25,False)</f>
        <v>690</v>
      </c>
      <c r="BE531" s="33">
        <f>VLOOKUP($O531,Eco_DEM_Data!$D$1:$AC$643,22,False)</f>
        <v>36</v>
      </c>
      <c r="BF531" s="33">
        <f>VLOOKUP($O531,Eco_DEM_Data!$D$1:$AC$643,23,False)</f>
        <v>144</v>
      </c>
      <c r="BG531" s="33">
        <f>VLOOKUP($O531,Eco_DEM_Data!$D$1:$AC$643,21,False)</f>
        <v>5677</v>
      </c>
      <c r="BH531" s="33">
        <f>VLOOKUP($O531,Eco_DEM_Data!$D$1:$AC$643,26,False)</f>
        <v>131</v>
      </c>
      <c r="BI531" s="33" t="str">
        <f>VLOOKUP($O531,Eco_DEM_Data!$D$1:$AC$643,9,False)</f>
        <v>Petén-Veracruz moist forests</v>
      </c>
      <c r="BJ531" s="33" t="str">
        <f>VLOOKUP($O531,Eco_DEM_Data!$D$1:$AC$643,11,False)</f>
        <v>Tropical &amp; Subtropical Moist Broadleaf Forests</v>
      </c>
    </row>
    <row r="532">
      <c r="A532" s="33" t="s">
        <v>1019</v>
      </c>
      <c r="B532" s="33" t="s">
        <v>2259</v>
      </c>
      <c r="C532" s="34">
        <v>5.0</v>
      </c>
      <c r="D532" s="33" t="s">
        <v>53</v>
      </c>
      <c r="E532" s="34">
        <v>2017.0</v>
      </c>
      <c r="F532" s="33" t="s">
        <v>1020</v>
      </c>
      <c r="G532" s="33" t="s">
        <v>1021</v>
      </c>
      <c r="H532" s="33" t="s">
        <v>732</v>
      </c>
      <c r="I532" s="33" t="s">
        <v>1022</v>
      </c>
      <c r="J532" s="33" t="s">
        <v>1023</v>
      </c>
      <c r="K532" s="34">
        <v>57.0</v>
      </c>
      <c r="L532" s="34">
        <v>4.0</v>
      </c>
      <c r="M532" s="6" t="s">
        <v>1024</v>
      </c>
      <c r="N532" s="35" t="s">
        <v>60</v>
      </c>
      <c r="O532" s="33" t="s">
        <v>1032</v>
      </c>
      <c r="P532" s="36" t="s">
        <v>62</v>
      </c>
      <c r="Q532" s="36" t="s">
        <v>167</v>
      </c>
      <c r="R532" s="36" t="s">
        <v>512</v>
      </c>
      <c r="S532" s="37">
        <v>16.916667</v>
      </c>
      <c r="T532" s="37">
        <v>-89.833333</v>
      </c>
      <c r="U532" s="36" t="s">
        <v>148</v>
      </c>
      <c r="V532" s="6" t="s">
        <v>169</v>
      </c>
      <c r="W532" s="5" t="s">
        <v>1033</v>
      </c>
      <c r="X532" s="7" t="s">
        <v>1034</v>
      </c>
      <c r="Y532" s="41" t="s">
        <v>70</v>
      </c>
      <c r="Z532" s="43"/>
      <c r="AA532" s="42">
        <v>36.0</v>
      </c>
      <c r="AB532" s="43"/>
      <c r="AC532" s="43"/>
      <c r="AD532" s="43"/>
      <c r="AE532" s="43"/>
      <c r="AF532" s="43"/>
      <c r="AG532" s="42">
        <v>1.0</v>
      </c>
      <c r="AH532" s="54" t="s">
        <v>72</v>
      </c>
      <c r="AI532" s="42">
        <v>-41000.0</v>
      </c>
      <c r="AJ532" s="42">
        <v>2006.0</v>
      </c>
      <c r="AK532" s="5" t="s">
        <v>100</v>
      </c>
      <c r="AL532" s="5" t="s">
        <v>60</v>
      </c>
      <c r="AM532" s="6" t="s">
        <v>132</v>
      </c>
      <c r="AN532" s="5" t="s">
        <v>76</v>
      </c>
      <c r="AO532" s="41"/>
      <c r="AP532" s="5" t="s">
        <v>75</v>
      </c>
      <c r="AQ532" s="41"/>
      <c r="AR532" s="41"/>
      <c r="AS532" s="41"/>
      <c r="AT532" s="5" t="s">
        <v>76</v>
      </c>
      <c r="AU532" s="33"/>
      <c r="AV532" s="33"/>
      <c r="AW532" s="33"/>
      <c r="AX532" s="33"/>
      <c r="AY532" s="33"/>
      <c r="AZ532" s="6" t="s">
        <v>76</v>
      </c>
      <c r="BA532" s="33"/>
      <c r="BB532" s="33">
        <f>VLOOKUP(O532,Eco_DEM_Data!$D$1:$AC$643,20,False)</f>
        <v>1738</v>
      </c>
      <c r="BC532" s="33">
        <f>VLOOKUP($O532,Eco_DEM_Data!$D$1:$AC$643,20,False)</f>
        <v>1738</v>
      </c>
      <c r="BD532" s="33">
        <f>VLOOKUP($O532,Eco_DEM_Data!$D$1:$AC$643,25,False)</f>
        <v>690</v>
      </c>
      <c r="BE532" s="33">
        <f>VLOOKUP($O532,Eco_DEM_Data!$D$1:$AC$643,22,False)</f>
        <v>36</v>
      </c>
      <c r="BF532" s="33">
        <f>VLOOKUP($O532,Eco_DEM_Data!$D$1:$AC$643,23,False)</f>
        <v>144</v>
      </c>
      <c r="BG532" s="33">
        <f>VLOOKUP($O532,Eco_DEM_Data!$D$1:$AC$643,21,False)</f>
        <v>5677</v>
      </c>
      <c r="BH532" s="33">
        <f>VLOOKUP($O532,Eco_DEM_Data!$D$1:$AC$643,26,False)</f>
        <v>131</v>
      </c>
      <c r="BI532" s="33" t="str">
        <f>VLOOKUP($O532,Eco_DEM_Data!$D$1:$AC$643,9,False)</f>
        <v>Petén-Veracruz moist forests</v>
      </c>
      <c r="BJ532" s="33" t="str">
        <f>VLOOKUP($O532,Eco_DEM_Data!$D$1:$AC$643,11,False)</f>
        <v>Tropical &amp; Subtropical Moist Broadleaf Forests</v>
      </c>
    </row>
    <row r="533">
      <c r="A533" s="33" t="s">
        <v>1019</v>
      </c>
      <c r="B533" s="33" t="s">
        <v>2259</v>
      </c>
      <c r="C533" s="34">
        <v>5.0</v>
      </c>
      <c r="D533" s="33" t="s">
        <v>53</v>
      </c>
      <c r="E533" s="34">
        <v>2017.0</v>
      </c>
      <c r="F533" s="33" t="s">
        <v>1020</v>
      </c>
      <c r="G533" s="33" t="s">
        <v>1021</v>
      </c>
      <c r="H533" s="33" t="s">
        <v>732</v>
      </c>
      <c r="I533" s="33" t="s">
        <v>1022</v>
      </c>
      <c r="J533" s="33" t="s">
        <v>1023</v>
      </c>
      <c r="K533" s="34">
        <v>57.0</v>
      </c>
      <c r="L533" s="34">
        <v>4.0</v>
      </c>
      <c r="M533" s="6" t="s">
        <v>1024</v>
      </c>
      <c r="N533" s="35" t="s">
        <v>60</v>
      </c>
      <c r="O533" s="33" t="s">
        <v>1967</v>
      </c>
      <c r="P533" s="36" t="s">
        <v>62</v>
      </c>
      <c r="Q533" s="36" t="s">
        <v>167</v>
      </c>
      <c r="R533" s="36" t="s">
        <v>512</v>
      </c>
      <c r="S533" s="37">
        <v>16.916667</v>
      </c>
      <c r="T533" s="37">
        <v>-89.833333</v>
      </c>
      <c r="U533" s="36" t="s">
        <v>148</v>
      </c>
      <c r="V533" s="6" t="s">
        <v>275</v>
      </c>
      <c r="W533" s="33" t="s">
        <v>72</v>
      </c>
      <c r="X533" s="1" t="s">
        <v>278</v>
      </c>
      <c r="Y533" s="33" t="s">
        <v>279</v>
      </c>
      <c r="Z533" s="36"/>
      <c r="AA533" s="37">
        <v>36.0</v>
      </c>
      <c r="AB533" s="36"/>
      <c r="AC533" s="36"/>
      <c r="AD533" s="36"/>
      <c r="AE533" s="36"/>
      <c r="AF533" s="36"/>
      <c r="AG533" s="37">
        <v>1.0</v>
      </c>
      <c r="AH533" s="38" t="s">
        <v>72</v>
      </c>
      <c r="AI533" s="37">
        <v>-41000.0</v>
      </c>
      <c r="AJ533" s="37">
        <v>2006.0</v>
      </c>
      <c r="AK533" s="6" t="s">
        <v>100</v>
      </c>
      <c r="AL533" s="6" t="s">
        <v>60</v>
      </c>
      <c r="AM533" s="6" t="s">
        <v>132</v>
      </c>
      <c r="AN533" s="6" t="s">
        <v>76</v>
      </c>
      <c r="AO533" s="33"/>
      <c r="AP533" s="6" t="s">
        <v>75</v>
      </c>
      <c r="AQ533" s="33"/>
      <c r="AR533" s="33"/>
      <c r="AS533" s="33"/>
      <c r="AT533" s="6" t="s">
        <v>76</v>
      </c>
      <c r="AU533" s="33"/>
      <c r="AV533" s="33"/>
      <c r="AW533" s="33"/>
      <c r="AX533" s="33"/>
      <c r="AY533" s="33"/>
      <c r="AZ533" s="6" t="s">
        <v>76</v>
      </c>
      <c r="BA533" s="33"/>
      <c r="BB533" s="33">
        <f>VLOOKUP(O533,Eco_DEM_Data!$D$1:$AC$643,20,False)</f>
        <v>1738</v>
      </c>
      <c r="BC533" s="33">
        <f>VLOOKUP($O533,Eco_DEM_Data!$D$1:$AC$643,20,False)</f>
        <v>1738</v>
      </c>
      <c r="BD533" s="33">
        <f>VLOOKUP($O533,Eco_DEM_Data!$D$1:$AC$643,25,False)</f>
        <v>690</v>
      </c>
      <c r="BE533" s="33">
        <f>VLOOKUP($O533,Eco_DEM_Data!$D$1:$AC$643,22,False)</f>
        <v>36</v>
      </c>
      <c r="BF533" s="33">
        <f>VLOOKUP($O533,Eco_DEM_Data!$D$1:$AC$643,23,False)</f>
        <v>144</v>
      </c>
      <c r="BG533" s="33">
        <f>VLOOKUP($O533,Eco_DEM_Data!$D$1:$AC$643,21,False)</f>
        <v>5677</v>
      </c>
      <c r="BH533" s="33">
        <f>VLOOKUP($O533,Eco_DEM_Data!$D$1:$AC$643,26,False)</f>
        <v>131</v>
      </c>
      <c r="BI533" s="33" t="str">
        <f>VLOOKUP($O533,Eco_DEM_Data!$D$1:$AC$643,9,False)</f>
        <v>Petén-Veracruz moist forests</v>
      </c>
      <c r="BJ533" s="33" t="str">
        <f>VLOOKUP($O533,Eco_DEM_Data!$D$1:$AC$643,11,False)</f>
        <v>Tropical &amp; Subtropical Moist Broadleaf Forests</v>
      </c>
    </row>
    <row r="534">
      <c r="A534" s="33" t="s">
        <v>1081</v>
      </c>
      <c r="B534" s="33" t="s">
        <v>2259</v>
      </c>
      <c r="C534" s="70" t="e">
        <v>#N/A</v>
      </c>
      <c r="D534" s="33" t="s">
        <v>53</v>
      </c>
      <c r="E534" s="34">
        <v>2017.0</v>
      </c>
      <c r="F534" s="33" t="s">
        <v>1082</v>
      </c>
      <c r="G534" s="33" t="s">
        <v>1083</v>
      </c>
      <c r="H534" s="33" t="s">
        <v>827</v>
      </c>
      <c r="I534" s="33" t="s">
        <v>1084</v>
      </c>
      <c r="J534" s="33" t="s">
        <v>1085</v>
      </c>
      <c r="K534" s="34">
        <v>32.0</v>
      </c>
      <c r="L534" s="34">
        <v>8.0</v>
      </c>
      <c r="M534" s="6" t="s">
        <v>1086</v>
      </c>
      <c r="N534" s="35" t="s">
        <v>60</v>
      </c>
      <c r="O534" s="33" t="s">
        <v>1087</v>
      </c>
      <c r="P534" s="33" t="s">
        <v>62</v>
      </c>
      <c r="Q534" s="33" t="s">
        <v>92</v>
      </c>
      <c r="R534" s="33" t="s">
        <v>1088</v>
      </c>
      <c r="S534" s="34">
        <v>20.38821</v>
      </c>
      <c r="T534" s="55">
        <v>-90.428587</v>
      </c>
      <c r="U534" s="33" t="s">
        <v>2274</v>
      </c>
      <c r="V534" s="38" t="s">
        <v>194</v>
      </c>
      <c r="W534" s="5" t="s">
        <v>96</v>
      </c>
      <c r="X534" s="7" t="s">
        <v>1089</v>
      </c>
      <c r="Y534" s="41" t="s">
        <v>70</v>
      </c>
      <c r="Z534" s="41"/>
      <c r="AA534" s="68">
        <v>3.0</v>
      </c>
      <c r="AB534" s="41"/>
      <c r="AC534" s="41"/>
      <c r="AD534" s="41"/>
      <c r="AE534" s="41"/>
      <c r="AF534" s="41"/>
      <c r="AG534" s="41"/>
      <c r="AH534" s="5" t="s">
        <v>72</v>
      </c>
      <c r="AI534" s="68">
        <v>-2000.0</v>
      </c>
      <c r="AJ534" s="68">
        <v>1950.0</v>
      </c>
      <c r="AK534" s="5" t="s">
        <v>73</v>
      </c>
      <c r="AL534" s="5" t="s">
        <v>72</v>
      </c>
      <c r="AM534" s="6" t="s">
        <v>132</v>
      </c>
      <c r="AN534" s="5" t="s">
        <v>72</v>
      </c>
      <c r="AO534" s="41"/>
      <c r="AP534" s="5" t="s">
        <v>576</v>
      </c>
      <c r="AQ534" s="41"/>
      <c r="AR534" s="41"/>
      <c r="AS534" s="41"/>
      <c r="AT534" s="5" t="s">
        <v>76</v>
      </c>
      <c r="AU534" s="33"/>
      <c r="AV534" s="33"/>
      <c r="AW534" s="33"/>
      <c r="AX534" s="33"/>
      <c r="AY534" s="33"/>
      <c r="AZ534" s="6" t="s">
        <v>76</v>
      </c>
      <c r="BA534" s="33"/>
      <c r="BB534" s="33">
        <f>VLOOKUP(O534,Eco_DEM_Data!$D$1:$AC$643,20,False)</f>
        <v>926</v>
      </c>
      <c r="BC534" s="33">
        <f>VLOOKUP($O534,Eco_DEM_Data!$D$1:$AC$643,20,False)</f>
        <v>926</v>
      </c>
      <c r="BD534" s="33">
        <f>VLOOKUP($O534,Eco_DEM_Data!$D$1:$AC$643,25,False)</f>
        <v>479</v>
      </c>
      <c r="BE534" s="33">
        <f>VLOOKUP($O534,Eco_DEM_Data!$D$1:$AC$643,22,False)</f>
        <v>12</v>
      </c>
      <c r="BF534" s="33">
        <f>VLOOKUP($O534,Eco_DEM_Data!$D$1:$AC$643,23,False)</f>
        <v>42</v>
      </c>
      <c r="BG534" s="33">
        <f>VLOOKUP($O534,Eco_DEM_Data!$D$1:$AC$643,21,False)</f>
        <v>8239</v>
      </c>
      <c r="BH534" s="33">
        <f>VLOOKUP($O534,Eco_DEM_Data!$D$1:$AC$643,26,False)</f>
        <v>4</v>
      </c>
      <c r="BI534" s="33" t="str">
        <f>VLOOKUP($O534,Eco_DEM_Data!$D$1:$AC$643,9,False)</f>
        <v>Mesoamerican Gulf-Caribbean mangroves</v>
      </c>
      <c r="BJ534" s="33" t="str">
        <f>VLOOKUP($O534,Eco_DEM_Data!$D$1:$AC$643,11,False)</f>
        <v>Mangroves</v>
      </c>
    </row>
    <row r="535">
      <c r="A535" s="33" t="s">
        <v>1081</v>
      </c>
      <c r="B535" s="33" t="s">
        <v>2259</v>
      </c>
      <c r="C535" s="70" t="e">
        <v>#N/A</v>
      </c>
      <c r="D535" s="33" t="s">
        <v>53</v>
      </c>
      <c r="E535" s="34">
        <v>2017.0</v>
      </c>
      <c r="F535" s="33" t="s">
        <v>1082</v>
      </c>
      <c r="G535" s="33" t="s">
        <v>1083</v>
      </c>
      <c r="H535" s="33" t="s">
        <v>827</v>
      </c>
      <c r="I535" s="33" t="s">
        <v>1084</v>
      </c>
      <c r="J535" s="33" t="s">
        <v>1085</v>
      </c>
      <c r="K535" s="34">
        <v>32.0</v>
      </c>
      <c r="L535" s="34">
        <v>8.0</v>
      </c>
      <c r="M535" s="6" t="s">
        <v>1086</v>
      </c>
      <c r="N535" s="35" t="s">
        <v>60</v>
      </c>
      <c r="O535" s="33" t="s">
        <v>1090</v>
      </c>
      <c r="P535" s="33" t="s">
        <v>62</v>
      </c>
      <c r="Q535" s="33" t="s">
        <v>92</v>
      </c>
      <c r="R535" s="33" t="s">
        <v>1088</v>
      </c>
      <c r="S535" s="34">
        <v>20.38821</v>
      </c>
      <c r="T535" s="55">
        <v>-90.428587</v>
      </c>
      <c r="U535" s="33" t="s">
        <v>2274</v>
      </c>
      <c r="V535" s="6" t="s">
        <v>189</v>
      </c>
      <c r="W535" s="5" t="s">
        <v>96</v>
      </c>
      <c r="X535" s="7" t="s">
        <v>1089</v>
      </c>
      <c r="Y535" s="41" t="s">
        <v>70</v>
      </c>
      <c r="Z535" s="41"/>
      <c r="AA535" s="68">
        <v>3.0</v>
      </c>
      <c r="AB535" s="41"/>
      <c r="AC535" s="41"/>
      <c r="AD535" s="41"/>
      <c r="AE535" s="41"/>
      <c r="AF535" s="41"/>
      <c r="AG535" s="41"/>
      <c r="AH535" s="5" t="s">
        <v>72</v>
      </c>
      <c r="AI535" s="68">
        <v>-2000.0</v>
      </c>
      <c r="AJ535" s="68">
        <v>1950.0</v>
      </c>
      <c r="AK535" s="5" t="s">
        <v>73</v>
      </c>
      <c r="AL535" s="5" t="s">
        <v>72</v>
      </c>
      <c r="AM535" s="6" t="s">
        <v>132</v>
      </c>
      <c r="AN535" s="5" t="s">
        <v>72</v>
      </c>
      <c r="AO535" s="41"/>
      <c r="AP535" s="5" t="s">
        <v>576</v>
      </c>
      <c r="AQ535" s="41"/>
      <c r="AR535" s="41"/>
      <c r="AS535" s="41"/>
      <c r="AT535" s="5" t="s">
        <v>76</v>
      </c>
      <c r="AU535" s="33"/>
      <c r="AV535" s="33"/>
      <c r="AW535" s="33"/>
      <c r="AX535" s="33"/>
      <c r="AY535" s="33"/>
      <c r="AZ535" s="6" t="s">
        <v>76</v>
      </c>
      <c r="BA535" s="33"/>
      <c r="BB535" s="33">
        <f>VLOOKUP(O535,Eco_DEM_Data!$D$1:$AC$643,20,False)</f>
        <v>926</v>
      </c>
      <c r="BC535" s="33">
        <f>VLOOKUP($O535,Eco_DEM_Data!$D$1:$AC$643,20,False)</f>
        <v>926</v>
      </c>
      <c r="BD535" s="33">
        <f>VLOOKUP($O535,Eco_DEM_Data!$D$1:$AC$643,25,False)</f>
        <v>479</v>
      </c>
      <c r="BE535" s="33">
        <f>VLOOKUP($O535,Eco_DEM_Data!$D$1:$AC$643,22,False)</f>
        <v>12</v>
      </c>
      <c r="BF535" s="33">
        <f>VLOOKUP($O535,Eco_DEM_Data!$D$1:$AC$643,23,False)</f>
        <v>42</v>
      </c>
      <c r="BG535" s="33">
        <f>VLOOKUP($O535,Eco_DEM_Data!$D$1:$AC$643,21,False)</f>
        <v>8239</v>
      </c>
      <c r="BH535" s="33">
        <f>VLOOKUP($O535,Eco_DEM_Data!$D$1:$AC$643,26,False)</f>
        <v>4</v>
      </c>
      <c r="BI535" s="33" t="str">
        <f>VLOOKUP($O535,Eco_DEM_Data!$D$1:$AC$643,9,False)</f>
        <v>Mesoamerican Gulf-Caribbean mangroves</v>
      </c>
      <c r="BJ535" s="33" t="str">
        <f>VLOOKUP($O535,Eco_DEM_Data!$D$1:$AC$643,11,False)</f>
        <v>Mangroves</v>
      </c>
    </row>
    <row r="536">
      <c r="A536" s="33" t="s">
        <v>1081</v>
      </c>
      <c r="B536" s="33" t="s">
        <v>2259</v>
      </c>
      <c r="C536" s="70" t="e">
        <v>#N/A</v>
      </c>
      <c r="D536" s="33" t="s">
        <v>53</v>
      </c>
      <c r="E536" s="34">
        <v>2017.0</v>
      </c>
      <c r="F536" s="33" t="s">
        <v>1082</v>
      </c>
      <c r="G536" s="33" t="s">
        <v>1083</v>
      </c>
      <c r="H536" s="33" t="s">
        <v>827</v>
      </c>
      <c r="I536" s="33" t="s">
        <v>1084</v>
      </c>
      <c r="J536" s="33" t="s">
        <v>1085</v>
      </c>
      <c r="K536" s="34">
        <v>32.0</v>
      </c>
      <c r="L536" s="34">
        <v>8.0</v>
      </c>
      <c r="M536" s="6" t="s">
        <v>1086</v>
      </c>
      <c r="N536" s="35" t="s">
        <v>60</v>
      </c>
      <c r="O536" s="33" t="s">
        <v>1091</v>
      </c>
      <c r="P536" s="33" t="s">
        <v>62</v>
      </c>
      <c r="Q536" s="33" t="s">
        <v>92</v>
      </c>
      <c r="R536" s="33" t="s">
        <v>1088</v>
      </c>
      <c r="S536" s="34">
        <v>20.38821</v>
      </c>
      <c r="T536" s="55">
        <v>-90.428587</v>
      </c>
      <c r="U536" s="33" t="s">
        <v>2274</v>
      </c>
      <c r="V536" s="6" t="s">
        <v>169</v>
      </c>
      <c r="W536" s="5" t="s">
        <v>96</v>
      </c>
      <c r="X536" s="7" t="s">
        <v>1044</v>
      </c>
      <c r="Y536" s="41" t="s">
        <v>70</v>
      </c>
      <c r="Z536" s="41"/>
      <c r="AA536" s="68">
        <v>3.0</v>
      </c>
      <c r="AB536" s="41"/>
      <c r="AC536" s="41"/>
      <c r="AD536" s="41"/>
      <c r="AE536" s="41"/>
      <c r="AF536" s="41"/>
      <c r="AG536" s="41"/>
      <c r="AH536" s="5" t="s">
        <v>72</v>
      </c>
      <c r="AI536" s="68">
        <v>-2000.0</v>
      </c>
      <c r="AJ536" s="68">
        <v>1950.0</v>
      </c>
      <c r="AK536" s="5" t="s">
        <v>73</v>
      </c>
      <c r="AL536" s="5" t="s">
        <v>72</v>
      </c>
      <c r="AM536" s="6" t="s">
        <v>132</v>
      </c>
      <c r="AN536" s="5" t="s">
        <v>72</v>
      </c>
      <c r="AO536" s="41"/>
      <c r="AP536" s="5" t="s">
        <v>576</v>
      </c>
      <c r="AQ536" s="41"/>
      <c r="AR536" s="41"/>
      <c r="AS536" s="41"/>
      <c r="AT536" s="5" t="s">
        <v>76</v>
      </c>
      <c r="AU536" s="33"/>
      <c r="AV536" s="33"/>
      <c r="AW536" s="33"/>
      <c r="AX536" s="33"/>
      <c r="AY536" s="33"/>
      <c r="AZ536" s="6" t="s">
        <v>76</v>
      </c>
      <c r="BA536" s="33"/>
      <c r="BB536" s="33">
        <f>VLOOKUP(O536,Eco_DEM_Data!$D$1:$AC$643,20,False)</f>
        <v>926</v>
      </c>
      <c r="BC536" s="33">
        <f>VLOOKUP($O536,Eco_DEM_Data!$D$1:$AC$643,20,False)</f>
        <v>926</v>
      </c>
      <c r="BD536" s="33">
        <f>VLOOKUP($O536,Eco_DEM_Data!$D$1:$AC$643,25,False)</f>
        <v>479</v>
      </c>
      <c r="BE536" s="33">
        <f>VLOOKUP($O536,Eco_DEM_Data!$D$1:$AC$643,22,False)</f>
        <v>12</v>
      </c>
      <c r="BF536" s="33">
        <f>VLOOKUP($O536,Eco_DEM_Data!$D$1:$AC$643,23,False)</f>
        <v>42</v>
      </c>
      <c r="BG536" s="33">
        <f>VLOOKUP($O536,Eco_DEM_Data!$D$1:$AC$643,21,False)</f>
        <v>8239</v>
      </c>
      <c r="BH536" s="33">
        <f>VLOOKUP($O536,Eco_DEM_Data!$D$1:$AC$643,26,False)</f>
        <v>4</v>
      </c>
      <c r="BI536" s="33" t="str">
        <f>VLOOKUP($O536,Eco_DEM_Data!$D$1:$AC$643,9,False)</f>
        <v>Mesoamerican Gulf-Caribbean mangroves</v>
      </c>
      <c r="BJ536" s="33" t="str">
        <f>VLOOKUP($O536,Eco_DEM_Data!$D$1:$AC$643,11,False)</f>
        <v>Mangroves</v>
      </c>
    </row>
    <row r="537">
      <c r="A537" s="33" t="s">
        <v>85</v>
      </c>
      <c r="B537" s="33" t="s">
        <v>2259</v>
      </c>
      <c r="C537" s="34">
        <v>1.0</v>
      </c>
      <c r="D537" s="33" t="s">
        <v>53</v>
      </c>
      <c r="E537" s="34">
        <v>2017.0</v>
      </c>
      <c r="F537" s="33" t="s">
        <v>86</v>
      </c>
      <c r="G537" s="33" t="s">
        <v>87</v>
      </c>
      <c r="H537" s="33" t="s">
        <v>88</v>
      </c>
      <c r="I537" s="33" t="s">
        <v>89</v>
      </c>
      <c r="J537" s="33" t="s">
        <v>90</v>
      </c>
      <c r="K537" s="34">
        <v>91.0</v>
      </c>
      <c r="L537" s="34">
        <v>356.0</v>
      </c>
      <c r="M537" s="6" t="s">
        <v>91</v>
      </c>
      <c r="N537" s="35" t="s">
        <v>76</v>
      </c>
      <c r="O537" s="33" t="s">
        <v>85</v>
      </c>
      <c r="P537" s="36" t="s">
        <v>62</v>
      </c>
      <c r="Q537" s="36" t="s">
        <v>92</v>
      </c>
      <c r="R537" s="36" t="s">
        <v>93</v>
      </c>
      <c r="S537" s="37">
        <v>20.372967</v>
      </c>
      <c r="T537" s="37">
        <v>-89.569194</v>
      </c>
      <c r="U537" s="36" t="s">
        <v>94</v>
      </c>
      <c r="V537" s="6" t="s">
        <v>95</v>
      </c>
      <c r="W537" s="6" t="s">
        <v>96</v>
      </c>
      <c r="X537" s="1" t="s">
        <v>98</v>
      </c>
      <c r="Y537" s="6" t="s">
        <v>99</v>
      </c>
      <c r="Z537" s="37">
        <v>1.0</v>
      </c>
      <c r="AA537" s="37"/>
      <c r="AB537" s="36"/>
      <c r="AC537" s="36"/>
      <c r="AD537" s="36"/>
      <c r="AE537" s="36"/>
      <c r="AF537" s="36"/>
      <c r="AG537" s="36"/>
      <c r="AH537" s="36"/>
      <c r="AI537" s="37">
        <v>500.0</v>
      </c>
      <c r="AJ537" s="37">
        <v>1500.0</v>
      </c>
      <c r="AK537" s="6" t="s">
        <v>100</v>
      </c>
      <c r="AL537" s="6" t="s">
        <v>72</v>
      </c>
      <c r="AM537" s="5" t="s">
        <v>72</v>
      </c>
      <c r="AN537" s="6" t="s">
        <v>101</v>
      </c>
      <c r="AO537" s="33"/>
      <c r="AP537" s="6" t="s">
        <v>102</v>
      </c>
      <c r="AQ537" s="33"/>
      <c r="AR537" s="33"/>
      <c r="AS537" s="33"/>
      <c r="AT537" s="6" t="s">
        <v>76</v>
      </c>
      <c r="AU537" s="33"/>
      <c r="AV537" s="33"/>
      <c r="AW537" s="33"/>
      <c r="AX537" s="33"/>
      <c r="AY537" s="33"/>
      <c r="AZ537" s="6" t="s">
        <v>76</v>
      </c>
      <c r="BA537" s="33"/>
      <c r="BB537" s="33">
        <f>VLOOKUP(O537,Eco_DEM_Data!$D$1:$AC$643,20,False)</f>
        <v>1104</v>
      </c>
      <c r="BC537" s="33">
        <f>VLOOKUP($O537,Eco_DEM_Data!$D$1:$AC$643,20,False)</f>
        <v>1104</v>
      </c>
      <c r="BD537" s="33">
        <f>VLOOKUP($O537,Eco_DEM_Data!$D$1:$AC$643,25,False)</f>
        <v>530</v>
      </c>
      <c r="BE537" s="33">
        <f>VLOOKUP($O537,Eco_DEM_Data!$D$1:$AC$643,22,False)</f>
        <v>24</v>
      </c>
      <c r="BF537" s="33">
        <f>VLOOKUP($O537,Eco_DEM_Data!$D$1:$AC$643,23,False)</f>
        <v>89</v>
      </c>
      <c r="BG537" s="33">
        <f>VLOOKUP($O537,Eco_DEM_Data!$D$1:$AC$643,21,False)</f>
        <v>7058</v>
      </c>
      <c r="BH537" s="33">
        <f>VLOOKUP($O537,Eco_DEM_Data!$D$1:$AC$643,26,False)</f>
        <v>77</v>
      </c>
      <c r="BI537" s="33" t="str">
        <f>VLOOKUP($O537,Eco_DEM_Data!$D$1:$AC$643,9,False)</f>
        <v>Yucatán dry forests</v>
      </c>
      <c r="BJ537" s="33" t="str">
        <f>VLOOKUP($O537,Eco_DEM_Data!$D$1:$AC$643,11,False)</f>
        <v>Tropical &amp; Subtropical Dry Broadleaf Forests</v>
      </c>
    </row>
    <row r="538">
      <c r="A538" s="33" t="s">
        <v>1973</v>
      </c>
      <c r="B538" s="33" t="s">
        <v>2259</v>
      </c>
      <c r="C538" s="34">
        <v>1.0</v>
      </c>
      <c r="D538" s="33" t="s">
        <v>53</v>
      </c>
      <c r="E538" s="34">
        <v>2017.0</v>
      </c>
      <c r="F538" s="33" t="s">
        <v>1974</v>
      </c>
      <c r="G538" s="33" t="s">
        <v>1975</v>
      </c>
      <c r="H538" s="33" t="s">
        <v>583</v>
      </c>
      <c r="I538" s="33" t="s">
        <v>1976</v>
      </c>
      <c r="J538" s="33" t="s">
        <v>1977</v>
      </c>
      <c r="K538" s="34">
        <v>27.0</v>
      </c>
      <c r="L538" s="34">
        <v>1.0</v>
      </c>
      <c r="M538" s="6" t="s">
        <v>1978</v>
      </c>
      <c r="N538" s="35" t="s">
        <v>76</v>
      </c>
      <c r="O538" s="33" t="s">
        <v>1973</v>
      </c>
      <c r="P538" s="36" t="s">
        <v>62</v>
      </c>
      <c r="Q538" s="36" t="s">
        <v>112</v>
      </c>
      <c r="R538" s="36" t="s">
        <v>597</v>
      </c>
      <c r="S538" s="37">
        <v>8.813</v>
      </c>
      <c r="T538" s="37">
        <v>-82.963</v>
      </c>
      <c r="U538" s="36" t="s">
        <v>148</v>
      </c>
      <c r="V538" s="38" t="s">
        <v>1214</v>
      </c>
      <c r="W538" s="6" t="s">
        <v>1979</v>
      </c>
      <c r="X538" s="1" t="s">
        <v>1216</v>
      </c>
      <c r="Y538" s="33" t="s">
        <v>70</v>
      </c>
      <c r="Z538" s="36"/>
      <c r="AA538" s="37">
        <v>3.0</v>
      </c>
      <c r="AB538" s="36"/>
      <c r="AC538" s="36"/>
      <c r="AD538" s="36"/>
      <c r="AE538" s="36"/>
      <c r="AF538" s="36"/>
      <c r="AG538" s="37">
        <v>1.0</v>
      </c>
      <c r="AH538" s="36" t="s">
        <v>1980</v>
      </c>
      <c r="AI538" s="37">
        <v>-1270.0</v>
      </c>
      <c r="AJ538" s="37">
        <v>1997.0</v>
      </c>
      <c r="AK538" s="6" t="s">
        <v>73</v>
      </c>
      <c r="AL538" s="6" t="s">
        <v>72</v>
      </c>
      <c r="AM538" s="6" t="s">
        <v>132</v>
      </c>
      <c r="AN538" s="6" t="s">
        <v>72</v>
      </c>
      <c r="AO538" s="33"/>
      <c r="AP538" s="6" t="s">
        <v>102</v>
      </c>
      <c r="AQ538" s="33"/>
      <c r="AR538" s="33"/>
      <c r="AS538" s="33"/>
      <c r="AT538" s="6" t="s">
        <v>76</v>
      </c>
      <c r="AU538" s="33"/>
      <c r="AV538" s="33"/>
      <c r="AW538" s="33"/>
      <c r="AX538" s="33"/>
      <c r="AY538" s="33"/>
      <c r="AZ538" s="6" t="s">
        <v>76</v>
      </c>
      <c r="BA538" s="33"/>
      <c r="BB538" s="33">
        <f>VLOOKUP(O538,Eco_DEM_Data!$D$1:$AC$643,20,False)</f>
        <v>2841</v>
      </c>
      <c r="BC538" s="33">
        <f>VLOOKUP($O538,Eco_DEM_Data!$D$1:$AC$643,20,False)</f>
        <v>2841</v>
      </c>
      <c r="BD538" s="33">
        <f>VLOOKUP($O538,Eco_DEM_Data!$D$1:$AC$643,25,False)</f>
        <v>1165</v>
      </c>
      <c r="BE538" s="33">
        <f>VLOOKUP($O538,Eco_DEM_Data!$D$1:$AC$643,22,False)</f>
        <v>40</v>
      </c>
      <c r="BF538" s="33">
        <f>VLOOKUP($O538,Eco_DEM_Data!$D$1:$AC$643,23,False)</f>
        <v>166</v>
      </c>
      <c r="BG538" s="33">
        <f>VLOOKUP($O538,Eco_DEM_Data!$D$1:$AC$643,21,False)</f>
        <v>6482</v>
      </c>
      <c r="BH538" s="33">
        <f>VLOOKUP($O538,Eco_DEM_Data!$D$1:$AC$643,26,False)</f>
        <v>1094</v>
      </c>
      <c r="BI538" s="33" t="str">
        <f>VLOOKUP($O538,Eco_DEM_Data!$D$1:$AC$643,9,False)</f>
        <v>Talamancan montane forests</v>
      </c>
      <c r="BJ538" s="33" t="str">
        <f>VLOOKUP($O538,Eco_DEM_Data!$D$1:$AC$643,11,False)</f>
        <v>Tropical &amp; Subtropical Moist Broadleaf Forests</v>
      </c>
    </row>
    <row r="539">
      <c r="A539" s="33" t="s">
        <v>122</v>
      </c>
      <c r="B539" s="33" t="s">
        <v>2258</v>
      </c>
      <c r="C539" s="70" t="e">
        <v>#N/A</v>
      </c>
      <c r="D539" s="33" t="s">
        <v>53</v>
      </c>
      <c r="E539" s="34">
        <v>2018.0</v>
      </c>
      <c r="F539" s="33" t="s">
        <v>123</v>
      </c>
      <c r="G539" s="33" t="s">
        <v>124</v>
      </c>
      <c r="H539" s="33" t="s">
        <v>125</v>
      </c>
      <c r="I539" s="33" t="s">
        <v>126</v>
      </c>
      <c r="J539" s="33" t="s">
        <v>127</v>
      </c>
      <c r="K539" s="34">
        <v>70.0</v>
      </c>
      <c r="L539" s="34">
        <v>1.0</v>
      </c>
      <c r="M539" s="6" t="s">
        <v>128</v>
      </c>
      <c r="N539" s="35" t="s">
        <v>60</v>
      </c>
      <c r="O539" s="33" t="s">
        <v>1981</v>
      </c>
      <c r="P539" s="33" t="s">
        <v>62</v>
      </c>
      <c r="Q539" s="33" t="s">
        <v>92</v>
      </c>
      <c r="R539" s="33" t="s">
        <v>130</v>
      </c>
      <c r="S539" s="34">
        <v>16.859733</v>
      </c>
      <c r="T539" s="55">
        <v>-93.398911</v>
      </c>
      <c r="U539" s="33" t="s">
        <v>131</v>
      </c>
      <c r="V539" s="6" t="s">
        <v>275</v>
      </c>
      <c r="W539" s="33" t="s">
        <v>72</v>
      </c>
      <c r="X539" s="1" t="s">
        <v>1425</v>
      </c>
      <c r="Y539" s="33" t="s">
        <v>279</v>
      </c>
      <c r="Z539" s="33"/>
      <c r="AA539" s="34">
        <v>13.0</v>
      </c>
      <c r="AB539" s="33"/>
      <c r="AC539" s="33"/>
      <c r="AD539" s="33"/>
      <c r="AE539" s="33"/>
      <c r="AF539" s="33"/>
      <c r="AG539" s="33"/>
      <c r="AH539" s="6" t="s">
        <v>72</v>
      </c>
      <c r="AI539" s="34">
        <v>10440.0</v>
      </c>
      <c r="AJ539" s="34">
        <v>-4590.0</v>
      </c>
      <c r="AK539" s="6" t="s">
        <v>100</v>
      </c>
      <c r="AL539" s="6" t="s">
        <v>76</v>
      </c>
      <c r="AM539" s="6" t="s">
        <v>132</v>
      </c>
      <c r="AN539" s="6" t="s">
        <v>72</v>
      </c>
      <c r="AO539" s="33"/>
      <c r="AP539" s="6" t="s">
        <v>102</v>
      </c>
      <c r="AQ539" s="33"/>
      <c r="AR539" s="33"/>
      <c r="AS539" s="33"/>
      <c r="AT539" s="6" t="s">
        <v>76</v>
      </c>
      <c r="AU539" s="33"/>
      <c r="AV539" s="33"/>
      <c r="AW539" s="33"/>
      <c r="AX539" s="33"/>
      <c r="AY539" s="33"/>
      <c r="AZ539" s="6" t="s">
        <v>76</v>
      </c>
      <c r="BA539" s="33"/>
      <c r="BB539" s="33">
        <f>VLOOKUP(O539,Eco_DEM_Data!$D$1:$AC$643,20,False)</f>
        <v>1183</v>
      </c>
      <c r="BC539" s="33">
        <f>VLOOKUP($O539,Eco_DEM_Data!$D$1:$AC$643,20,False)</f>
        <v>1183</v>
      </c>
      <c r="BD539" s="33">
        <f>VLOOKUP($O539,Eco_DEM_Data!$D$1:$AC$643,25,False)</f>
        <v>569</v>
      </c>
      <c r="BE539" s="33">
        <f>VLOOKUP($O539,Eco_DEM_Data!$D$1:$AC$643,22,False)</f>
        <v>18</v>
      </c>
      <c r="BF539" s="33">
        <f>VLOOKUP($O539,Eco_DEM_Data!$D$1:$AC$643,23,False)</f>
        <v>65</v>
      </c>
      <c r="BG539" s="33">
        <f>VLOOKUP($O539,Eco_DEM_Data!$D$1:$AC$643,21,False)</f>
        <v>7652</v>
      </c>
      <c r="BH539" s="33">
        <f>VLOOKUP($O539,Eco_DEM_Data!$D$1:$AC$643,26,False)</f>
        <v>887</v>
      </c>
      <c r="BI539" s="33" t="str">
        <f>VLOOKUP($O539,Eco_DEM_Data!$D$1:$AC$643,9,False)</f>
        <v>Petén-Veracruz moist forests</v>
      </c>
      <c r="BJ539" s="33" t="str">
        <f>VLOOKUP($O539,Eco_DEM_Data!$D$1:$AC$643,11,False)</f>
        <v>Tropical &amp; Subtropical Moist Broadleaf Forests</v>
      </c>
    </row>
    <row r="540">
      <c r="A540" s="33" t="s">
        <v>122</v>
      </c>
      <c r="B540" s="33" t="s">
        <v>2258</v>
      </c>
      <c r="C540" s="70" t="e">
        <v>#N/A</v>
      </c>
      <c r="D540" s="33" t="s">
        <v>53</v>
      </c>
      <c r="E540" s="34">
        <v>2018.0</v>
      </c>
      <c r="F540" s="33" t="s">
        <v>123</v>
      </c>
      <c r="G540" s="33" t="s">
        <v>124</v>
      </c>
      <c r="H540" s="33" t="s">
        <v>125</v>
      </c>
      <c r="I540" s="33" t="s">
        <v>126</v>
      </c>
      <c r="J540" s="33" t="s">
        <v>127</v>
      </c>
      <c r="K540" s="34">
        <v>70.0</v>
      </c>
      <c r="L540" s="34">
        <v>1.0</v>
      </c>
      <c r="M540" s="6" t="s">
        <v>128</v>
      </c>
      <c r="N540" s="35" t="s">
        <v>60</v>
      </c>
      <c r="O540" s="33" t="s">
        <v>129</v>
      </c>
      <c r="P540" s="33" t="s">
        <v>62</v>
      </c>
      <c r="Q540" s="33" t="s">
        <v>92</v>
      </c>
      <c r="R540" s="33" t="s">
        <v>130</v>
      </c>
      <c r="S540" s="34">
        <v>16.859733</v>
      </c>
      <c r="T540" s="55">
        <v>-93.398911</v>
      </c>
      <c r="U540" s="33" t="s">
        <v>131</v>
      </c>
      <c r="V540" s="6" t="s">
        <v>95</v>
      </c>
      <c r="W540" s="6" t="s">
        <v>96</v>
      </c>
      <c r="X540" s="3" t="s">
        <v>72</v>
      </c>
      <c r="Y540" s="6" t="s">
        <v>99</v>
      </c>
      <c r="Z540" s="33"/>
      <c r="AA540" s="34">
        <v>13.0</v>
      </c>
      <c r="AB540" s="33"/>
      <c r="AC540" s="33"/>
      <c r="AD540" s="33"/>
      <c r="AE540" s="33"/>
      <c r="AF540" s="33"/>
      <c r="AG540" s="33"/>
      <c r="AH540" s="6" t="s">
        <v>72</v>
      </c>
      <c r="AI540" s="34">
        <v>10440.0</v>
      </c>
      <c r="AJ540" s="34">
        <v>-4590.0</v>
      </c>
      <c r="AK540" s="6" t="s">
        <v>100</v>
      </c>
      <c r="AL540" s="6" t="s">
        <v>76</v>
      </c>
      <c r="AM540" s="6" t="s">
        <v>132</v>
      </c>
      <c r="AN540" s="6" t="s">
        <v>72</v>
      </c>
      <c r="AO540" s="33"/>
      <c r="AP540" s="6" t="s">
        <v>102</v>
      </c>
      <c r="AQ540" s="33"/>
      <c r="AR540" s="33"/>
      <c r="AS540" s="33"/>
      <c r="AT540" s="6" t="s">
        <v>76</v>
      </c>
      <c r="AU540" s="33"/>
      <c r="AV540" s="33"/>
      <c r="AW540" s="33"/>
      <c r="AX540" s="33"/>
      <c r="AY540" s="33"/>
      <c r="AZ540" s="6" t="s">
        <v>76</v>
      </c>
      <c r="BA540" s="33"/>
      <c r="BB540" s="33">
        <f>VLOOKUP(O540,Eco_DEM_Data!$D$1:$AC$643,20,False)</f>
        <v>1183</v>
      </c>
      <c r="BC540" s="33">
        <f>VLOOKUP($O540,Eco_DEM_Data!$D$1:$AC$643,20,False)</f>
        <v>1183</v>
      </c>
      <c r="BD540" s="33">
        <f>VLOOKUP($O540,Eco_DEM_Data!$D$1:$AC$643,25,False)</f>
        <v>569</v>
      </c>
      <c r="BE540" s="33">
        <f>VLOOKUP($O540,Eco_DEM_Data!$D$1:$AC$643,22,False)</f>
        <v>18</v>
      </c>
      <c r="BF540" s="33">
        <f>VLOOKUP($O540,Eco_DEM_Data!$D$1:$AC$643,23,False)</f>
        <v>65</v>
      </c>
      <c r="BG540" s="33">
        <f>VLOOKUP($O540,Eco_DEM_Data!$D$1:$AC$643,21,False)</f>
        <v>7652</v>
      </c>
      <c r="BH540" s="33">
        <f>VLOOKUP($O540,Eco_DEM_Data!$D$1:$AC$643,26,False)</f>
        <v>887</v>
      </c>
      <c r="BI540" s="33" t="str">
        <f>VLOOKUP($O540,Eco_DEM_Data!$D$1:$AC$643,9,False)</f>
        <v>Petén-Veracruz moist forests</v>
      </c>
      <c r="BJ540" s="33" t="str">
        <f>VLOOKUP($O540,Eco_DEM_Data!$D$1:$AC$643,11,False)</f>
        <v>Tropical &amp; Subtropical Moist Broadleaf Forests</v>
      </c>
    </row>
    <row r="541">
      <c r="A541" s="33" t="s">
        <v>122</v>
      </c>
      <c r="B541" s="33" t="s">
        <v>2258</v>
      </c>
      <c r="C541" s="70" t="e">
        <v>#N/A</v>
      </c>
      <c r="D541" s="33" t="s">
        <v>53</v>
      </c>
      <c r="E541" s="34">
        <v>2018.0</v>
      </c>
      <c r="F541" s="33" t="s">
        <v>123</v>
      </c>
      <c r="G541" s="33" t="s">
        <v>124</v>
      </c>
      <c r="H541" s="33" t="s">
        <v>125</v>
      </c>
      <c r="I541" s="33" t="s">
        <v>126</v>
      </c>
      <c r="J541" s="33" t="s">
        <v>127</v>
      </c>
      <c r="K541" s="34">
        <v>70.0</v>
      </c>
      <c r="L541" s="34">
        <v>1.0</v>
      </c>
      <c r="M541" s="6" t="s">
        <v>128</v>
      </c>
      <c r="N541" s="35" t="s">
        <v>60</v>
      </c>
      <c r="O541" s="33" t="s">
        <v>134</v>
      </c>
      <c r="P541" s="33" t="s">
        <v>62</v>
      </c>
      <c r="Q541" s="33" t="s">
        <v>92</v>
      </c>
      <c r="R541" s="33" t="s">
        <v>130</v>
      </c>
      <c r="S541" s="34">
        <v>16.859733</v>
      </c>
      <c r="T541" s="55">
        <v>-93.398911</v>
      </c>
      <c r="U541" s="33" t="s">
        <v>131</v>
      </c>
      <c r="V541" s="6" t="s">
        <v>135</v>
      </c>
      <c r="W541" s="6" t="s">
        <v>96</v>
      </c>
      <c r="X541" s="3" t="s">
        <v>72</v>
      </c>
      <c r="Y541" s="6" t="s">
        <v>99</v>
      </c>
      <c r="Z541" s="33"/>
      <c r="AA541" s="34">
        <v>13.0</v>
      </c>
      <c r="AB541" s="33"/>
      <c r="AC541" s="33"/>
      <c r="AD541" s="33"/>
      <c r="AE541" s="33"/>
      <c r="AF541" s="33"/>
      <c r="AG541" s="33"/>
      <c r="AH541" s="6" t="s">
        <v>72</v>
      </c>
      <c r="AI541" s="34">
        <v>10440.0</v>
      </c>
      <c r="AJ541" s="34">
        <v>-4590.0</v>
      </c>
      <c r="AK541" s="6" t="s">
        <v>100</v>
      </c>
      <c r="AL541" s="6" t="s">
        <v>76</v>
      </c>
      <c r="AM541" s="6" t="s">
        <v>132</v>
      </c>
      <c r="AN541" s="6" t="s">
        <v>72</v>
      </c>
      <c r="AO541" s="33"/>
      <c r="AP541" s="6" t="s">
        <v>102</v>
      </c>
      <c r="AQ541" s="33"/>
      <c r="AR541" s="33"/>
      <c r="AS541" s="33"/>
      <c r="AT541" s="6" t="s">
        <v>76</v>
      </c>
      <c r="AU541" s="33"/>
      <c r="AV541" s="33"/>
      <c r="AW541" s="33"/>
      <c r="AX541" s="33"/>
      <c r="AY541" s="33"/>
      <c r="AZ541" s="6" t="s">
        <v>76</v>
      </c>
      <c r="BA541" s="33"/>
      <c r="BB541" s="33">
        <f>VLOOKUP(O541,Eco_DEM_Data!$D$1:$AC$643,20,False)</f>
        <v>1183</v>
      </c>
      <c r="BC541" s="33">
        <f>VLOOKUP($O541,Eco_DEM_Data!$D$1:$AC$643,20,False)</f>
        <v>1183</v>
      </c>
      <c r="BD541" s="33">
        <f>VLOOKUP($O541,Eco_DEM_Data!$D$1:$AC$643,25,False)</f>
        <v>569</v>
      </c>
      <c r="BE541" s="33">
        <f>VLOOKUP($O541,Eco_DEM_Data!$D$1:$AC$643,22,False)</f>
        <v>18</v>
      </c>
      <c r="BF541" s="33">
        <f>VLOOKUP($O541,Eco_DEM_Data!$D$1:$AC$643,23,False)</f>
        <v>65</v>
      </c>
      <c r="BG541" s="33">
        <f>VLOOKUP($O541,Eco_DEM_Data!$D$1:$AC$643,21,False)</f>
        <v>7652</v>
      </c>
      <c r="BH541" s="33">
        <f>VLOOKUP($O541,Eco_DEM_Data!$D$1:$AC$643,26,False)</f>
        <v>887</v>
      </c>
      <c r="BI541" s="33" t="str">
        <f>VLOOKUP($O541,Eco_DEM_Data!$D$1:$AC$643,9,False)</f>
        <v>Petén-Veracruz moist forests</v>
      </c>
      <c r="BJ541" s="33" t="str">
        <f>VLOOKUP($O541,Eco_DEM_Data!$D$1:$AC$643,11,False)</f>
        <v>Tropical &amp; Subtropical Moist Broadleaf Forests</v>
      </c>
    </row>
    <row r="542">
      <c r="A542" s="33" t="s">
        <v>122</v>
      </c>
      <c r="B542" s="33" t="s">
        <v>2258</v>
      </c>
      <c r="C542" s="70" t="e">
        <v>#N/A</v>
      </c>
      <c r="D542" s="33" t="s">
        <v>53</v>
      </c>
      <c r="E542" s="34">
        <v>2018.0</v>
      </c>
      <c r="F542" s="33" t="s">
        <v>123</v>
      </c>
      <c r="G542" s="33" t="s">
        <v>124</v>
      </c>
      <c r="H542" s="33" t="s">
        <v>125</v>
      </c>
      <c r="I542" s="33" t="s">
        <v>126</v>
      </c>
      <c r="J542" s="33" t="s">
        <v>127</v>
      </c>
      <c r="K542" s="34">
        <v>70.0</v>
      </c>
      <c r="L542" s="34">
        <v>1.0</v>
      </c>
      <c r="M542" s="6" t="s">
        <v>128</v>
      </c>
      <c r="N542" s="35" t="s">
        <v>60</v>
      </c>
      <c r="O542" s="33" t="s">
        <v>136</v>
      </c>
      <c r="P542" s="33" t="s">
        <v>62</v>
      </c>
      <c r="Q542" s="33" t="s">
        <v>92</v>
      </c>
      <c r="R542" s="33" t="s">
        <v>130</v>
      </c>
      <c r="S542" s="34">
        <v>16.859733</v>
      </c>
      <c r="T542" s="55">
        <v>-93.398911</v>
      </c>
      <c r="U542" s="33" t="s">
        <v>131</v>
      </c>
      <c r="V542" s="6" t="s">
        <v>66</v>
      </c>
      <c r="W542" s="5" t="s">
        <v>137</v>
      </c>
      <c r="X542" s="10" t="s">
        <v>72</v>
      </c>
      <c r="Y542" s="41" t="s">
        <v>70</v>
      </c>
      <c r="Z542" s="41"/>
      <c r="AA542" s="68">
        <v>13.0</v>
      </c>
      <c r="AB542" s="41"/>
      <c r="AC542" s="41"/>
      <c r="AD542" s="41"/>
      <c r="AE542" s="41"/>
      <c r="AF542" s="41"/>
      <c r="AG542" s="41"/>
      <c r="AH542" s="5" t="s">
        <v>72</v>
      </c>
      <c r="AI542" s="68">
        <v>10440.0</v>
      </c>
      <c r="AJ542" s="68">
        <v>-4590.0</v>
      </c>
      <c r="AK542" s="5" t="s">
        <v>100</v>
      </c>
      <c r="AL542" s="5" t="s">
        <v>76</v>
      </c>
      <c r="AM542" s="6" t="s">
        <v>132</v>
      </c>
      <c r="AN542" s="5" t="s">
        <v>72</v>
      </c>
      <c r="AO542" s="41"/>
      <c r="AP542" s="5" t="s">
        <v>102</v>
      </c>
      <c r="AQ542" s="41"/>
      <c r="AR542" s="41"/>
      <c r="AS542" s="41"/>
      <c r="AT542" s="5" t="s">
        <v>76</v>
      </c>
      <c r="AU542" s="33"/>
      <c r="AV542" s="33"/>
      <c r="AW542" s="33"/>
      <c r="AX542" s="33"/>
      <c r="AY542" s="33"/>
      <c r="AZ542" s="6" t="s">
        <v>76</v>
      </c>
      <c r="BA542" s="33"/>
      <c r="BB542" s="33">
        <f>VLOOKUP(O542,Eco_DEM_Data!$D$1:$AC$643,20,False)</f>
        <v>1183</v>
      </c>
      <c r="BC542" s="33">
        <f>VLOOKUP($O542,Eco_DEM_Data!$D$1:$AC$643,20,False)</f>
        <v>1183</v>
      </c>
      <c r="BD542" s="33">
        <f>VLOOKUP($O542,Eco_DEM_Data!$D$1:$AC$643,25,False)</f>
        <v>569</v>
      </c>
      <c r="BE542" s="33">
        <f>VLOOKUP($O542,Eco_DEM_Data!$D$1:$AC$643,22,False)</f>
        <v>18</v>
      </c>
      <c r="BF542" s="33">
        <f>VLOOKUP($O542,Eco_DEM_Data!$D$1:$AC$643,23,False)</f>
        <v>65</v>
      </c>
      <c r="BG542" s="33">
        <f>VLOOKUP($O542,Eco_DEM_Data!$D$1:$AC$643,21,False)</f>
        <v>7652</v>
      </c>
      <c r="BH542" s="33">
        <f>VLOOKUP($O542,Eco_DEM_Data!$D$1:$AC$643,26,False)</f>
        <v>887</v>
      </c>
      <c r="BI542" s="33" t="str">
        <f>VLOOKUP($O542,Eco_DEM_Data!$D$1:$AC$643,9,False)</f>
        <v>Petén-Veracruz moist forests</v>
      </c>
      <c r="BJ542" s="33" t="str">
        <f>VLOOKUP($O542,Eco_DEM_Data!$D$1:$AC$643,11,False)</f>
        <v>Tropical &amp; Subtropical Moist Broadleaf Forests</v>
      </c>
    </row>
    <row r="543">
      <c r="A543" s="33" t="s">
        <v>122</v>
      </c>
      <c r="B543" s="33" t="s">
        <v>2258</v>
      </c>
      <c r="C543" s="70" t="e">
        <v>#N/A</v>
      </c>
      <c r="D543" s="33" t="s">
        <v>53</v>
      </c>
      <c r="E543" s="34">
        <v>2018.0</v>
      </c>
      <c r="F543" s="33" t="s">
        <v>123</v>
      </c>
      <c r="G543" s="33" t="s">
        <v>124</v>
      </c>
      <c r="H543" s="33" t="s">
        <v>125</v>
      </c>
      <c r="I543" s="33" t="s">
        <v>126</v>
      </c>
      <c r="J543" s="33" t="s">
        <v>127</v>
      </c>
      <c r="K543" s="34">
        <v>70.0</v>
      </c>
      <c r="L543" s="34">
        <v>1.0</v>
      </c>
      <c r="M543" s="6" t="s">
        <v>128</v>
      </c>
      <c r="N543" s="35" t="s">
        <v>60</v>
      </c>
      <c r="O543" s="33" t="s">
        <v>1993</v>
      </c>
      <c r="P543" s="33" t="s">
        <v>62</v>
      </c>
      <c r="Q543" s="33" t="s">
        <v>92</v>
      </c>
      <c r="R543" s="33" t="s">
        <v>130</v>
      </c>
      <c r="S543" s="34">
        <v>16.859733</v>
      </c>
      <c r="T543" s="55">
        <v>-93.398911</v>
      </c>
      <c r="U543" s="33" t="s">
        <v>131</v>
      </c>
      <c r="V543" s="6" t="s">
        <v>1994</v>
      </c>
      <c r="W543" s="33" t="s">
        <v>72</v>
      </c>
      <c r="X543" s="3" t="s">
        <v>72</v>
      </c>
      <c r="Y543" s="58" t="s">
        <v>83</v>
      </c>
      <c r="Z543" s="33"/>
      <c r="AA543" s="34">
        <v>13.0</v>
      </c>
      <c r="AB543" s="33"/>
      <c r="AC543" s="33"/>
      <c r="AD543" s="33"/>
      <c r="AE543" s="33"/>
      <c r="AF543" s="33"/>
      <c r="AG543" s="33"/>
      <c r="AH543" s="6" t="s">
        <v>72</v>
      </c>
      <c r="AI543" s="34">
        <v>10440.0</v>
      </c>
      <c r="AJ543" s="34">
        <v>-4590.0</v>
      </c>
      <c r="AK543" s="6" t="s">
        <v>100</v>
      </c>
      <c r="AL543" s="6" t="s">
        <v>76</v>
      </c>
      <c r="AM543" s="6" t="s">
        <v>132</v>
      </c>
      <c r="AN543" s="6" t="s">
        <v>72</v>
      </c>
      <c r="AO543" s="33"/>
      <c r="AP543" s="6" t="s">
        <v>102</v>
      </c>
      <c r="AQ543" s="33"/>
      <c r="AR543" s="33"/>
      <c r="AS543" s="33"/>
      <c r="AT543" s="6" t="s">
        <v>76</v>
      </c>
      <c r="AU543" s="33"/>
      <c r="AV543" s="33"/>
      <c r="AW543" s="33"/>
      <c r="AX543" s="33"/>
      <c r="AY543" s="33"/>
      <c r="AZ543" s="6" t="s">
        <v>76</v>
      </c>
      <c r="BA543" s="33"/>
      <c r="BB543" s="33">
        <f>VLOOKUP(O543,Eco_DEM_Data!$D$1:$AC$643,20,False)</f>
        <v>1183</v>
      </c>
      <c r="BC543" s="33">
        <f>VLOOKUP($O543,Eco_DEM_Data!$D$1:$AC$643,20,False)</f>
        <v>1183</v>
      </c>
      <c r="BD543" s="33">
        <f>VLOOKUP($O543,Eco_DEM_Data!$D$1:$AC$643,25,False)</f>
        <v>569</v>
      </c>
      <c r="BE543" s="33">
        <f>VLOOKUP($O543,Eco_DEM_Data!$D$1:$AC$643,22,False)</f>
        <v>18</v>
      </c>
      <c r="BF543" s="33">
        <f>VLOOKUP($O543,Eco_DEM_Data!$D$1:$AC$643,23,False)</f>
        <v>65</v>
      </c>
      <c r="BG543" s="33">
        <f>VLOOKUP($O543,Eco_DEM_Data!$D$1:$AC$643,21,False)</f>
        <v>7652</v>
      </c>
      <c r="BH543" s="33">
        <f>VLOOKUP($O543,Eco_DEM_Data!$D$1:$AC$643,26,False)</f>
        <v>887</v>
      </c>
      <c r="BI543" s="33" t="str">
        <f>VLOOKUP($O543,Eco_DEM_Data!$D$1:$AC$643,9,False)</f>
        <v>Petén-Veracruz moist forests</v>
      </c>
      <c r="BJ543" s="33" t="str">
        <f>VLOOKUP($O543,Eco_DEM_Data!$D$1:$AC$643,11,False)</f>
        <v>Tropical &amp; Subtropical Moist Broadleaf Forests</v>
      </c>
    </row>
    <row r="544">
      <c r="A544" s="33" t="s">
        <v>1329</v>
      </c>
      <c r="B544" s="33" t="s">
        <v>2258</v>
      </c>
      <c r="C544" s="70" t="e">
        <v>#N/A</v>
      </c>
      <c r="D544" s="33" t="s">
        <v>53</v>
      </c>
      <c r="E544" s="34">
        <v>2018.0</v>
      </c>
      <c r="F544" s="33" t="s">
        <v>1330</v>
      </c>
      <c r="G544" s="33" t="s">
        <v>1331</v>
      </c>
      <c r="H544" s="33" t="s">
        <v>793</v>
      </c>
      <c r="I544" s="33" t="s">
        <v>1332</v>
      </c>
      <c r="J544" s="33" t="s">
        <v>1333</v>
      </c>
      <c r="K544" s="34">
        <v>495.0</v>
      </c>
      <c r="L544" s="33"/>
      <c r="M544" s="6" t="s">
        <v>1334</v>
      </c>
      <c r="N544" s="35" t="s">
        <v>60</v>
      </c>
      <c r="O544" s="33" t="s">
        <v>1995</v>
      </c>
      <c r="P544" s="33" t="s">
        <v>62</v>
      </c>
      <c r="Q544" s="33" t="s">
        <v>92</v>
      </c>
      <c r="R544" s="33" t="s">
        <v>1336</v>
      </c>
      <c r="S544" s="34">
        <v>18.495674</v>
      </c>
      <c r="T544" s="34">
        <v>-88.400921</v>
      </c>
      <c r="U544" s="33" t="s">
        <v>1337</v>
      </c>
      <c r="V544" s="6" t="s">
        <v>275</v>
      </c>
      <c r="W544" s="33" t="s">
        <v>72</v>
      </c>
      <c r="X544" s="1" t="s">
        <v>275</v>
      </c>
      <c r="Y544" s="33" t="s">
        <v>279</v>
      </c>
      <c r="Z544" s="33"/>
      <c r="AA544" s="34">
        <v>7.0</v>
      </c>
      <c r="AB544" s="33"/>
      <c r="AC544" s="33"/>
      <c r="AD544" s="33"/>
      <c r="AE544" s="33"/>
      <c r="AF544" s="33"/>
      <c r="AG544" s="33"/>
      <c r="AH544" s="33" t="s">
        <v>1340</v>
      </c>
      <c r="AI544" s="34">
        <v>-3650.0</v>
      </c>
      <c r="AJ544" s="34">
        <v>250.0</v>
      </c>
      <c r="AK544" s="6" t="s">
        <v>73</v>
      </c>
      <c r="AL544" s="6" t="s">
        <v>72</v>
      </c>
      <c r="AM544" s="6" t="s">
        <v>132</v>
      </c>
      <c r="AN544" s="6" t="s">
        <v>60</v>
      </c>
      <c r="AO544" s="33"/>
      <c r="AP544" s="6" t="s">
        <v>102</v>
      </c>
      <c r="AQ544" s="33"/>
      <c r="AR544" s="33"/>
      <c r="AS544" s="33"/>
      <c r="AT544" s="6" t="s">
        <v>76</v>
      </c>
      <c r="AU544" s="33"/>
      <c r="AV544" s="33"/>
      <c r="AW544" s="33"/>
      <c r="AX544" s="33"/>
      <c r="AY544" s="33"/>
      <c r="AZ544" s="6" t="s">
        <v>76</v>
      </c>
      <c r="BA544" s="33"/>
      <c r="BB544" s="33">
        <f>VLOOKUP(O544,Eco_DEM_Data!$D$1:$AC$643,20,False)</f>
        <v>1203</v>
      </c>
      <c r="BC544" s="33">
        <f>VLOOKUP($O544,Eco_DEM_Data!$D$1:$AC$643,20,False)</f>
        <v>1203</v>
      </c>
      <c r="BD544" s="33">
        <f>VLOOKUP($O544,Eco_DEM_Data!$D$1:$AC$643,25,False)</f>
        <v>481</v>
      </c>
      <c r="BE544" s="33">
        <f>VLOOKUP($O544,Eco_DEM_Data!$D$1:$AC$643,22,False)</f>
        <v>23</v>
      </c>
      <c r="BF544" s="33">
        <f>VLOOKUP($O544,Eco_DEM_Data!$D$1:$AC$643,23,False)</f>
        <v>92</v>
      </c>
      <c r="BG544" s="33">
        <f>VLOOKUP($O544,Eco_DEM_Data!$D$1:$AC$643,21,False)</f>
        <v>5915</v>
      </c>
      <c r="BH544" s="33">
        <f>VLOOKUP($O544,Eco_DEM_Data!$D$1:$AC$643,26,False)</f>
        <v>5</v>
      </c>
      <c r="BI544" s="33" t="str">
        <f>VLOOKUP($O544,Eco_DEM_Data!$D$1:$AC$643,9,False)</f>
        <v>Mesoamerican Gulf-Caribbean mangroves</v>
      </c>
      <c r="BJ544" s="33" t="str">
        <f>VLOOKUP($O544,Eco_DEM_Data!$D$1:$AC$643,11,False)</f>
        <v>Mangroves</v>
      </c>
    </row>
    <row r="545">
      <c r="A545" s="33" t="s">
        <v>1329</v>
      </c>
      <c r="B545" s="33" t="s">
        <v>2258</v>
      </c>
      <c r="C545" s="70" t="e">
        <v>#N/A</v>
      </c>
      <c r="D545" s="33" t="s">
        <v>53</v>
      </c>
      <c r="E545" s="34">
        <v>2018.0</v>
      </c>
      <c r="F545" s="33" t="s">
        <v>1330</v>
      </c>
      <c r="G545" s="33" t="s">
        <v>1331</v>
      </c>
      <c r="H545" s="33" t="s">
        <v>793</v>
      </c>
      <c r="I545" s="33" t="s">
        <v>1332</v>
      </c>
      <c r="J545" s="33" t="s">
        <v>1333</v>
      </c>
      <c r="K545" s="34">
        <v>495.0</v>
      </c>
      <c r="L545" s="33"/>
      <c r="M545" s="6" t="s">
        <v>1334</v>
      </c>
      <c r="N545" s="35" t="s">
        <v>60</v>
      </c>
      <c r="O545" s="33" t="s">
        <v>1335</v>
      </c>
      <c r="P545" s="33" t="s">
        <v>62</v>
      </c>
      <c r="Q545" s="33" t="s">
        <v>92</v>
      </c>
      <c r="R545" s="33" t="s">
        <v>1336</v>
      </c>
      <c r="S545" s="34">
        <v>18.495674</v>
      </c>
      <c r="T545" s="34">
        <v>-88.400921</v>
      </c>
      <c r="U545" s="33" t="s">
        <v>1337</v>
      </c>
      <c r="V545" s="6" t="s">
        <v>66</v>
      </c>
      <c r="W545" s="41" t="s">
        <v>823</v>
      </c>
      <c r="X545" s="7" t="s">
        <v>1339</v>
      </c>
      <c r="Y545" s="41" t="s">
        <v>70</v>
      </c>
      <c r="Z545" s="41"/>
      <c r="AA545" s="68">
        <v>7.0</v>
      </c>
      <c r="AB545" s="41"/>
      <c r="AC545" s="41"/>
      <c r="AD545" s="41"/>
      <c r="AE545" s="41"/>
      <c r="AF545" s="41"/>
      <c r="AG545" s="41"/>
      <c r="AH545" s="41" t="s">
        <v>1340</v>
      </c>
      <c r="AI545" s="68">
        <v>-3650.0</v>
      </c>
      <c r="AJ545" s="68">
        <v>250.0</v>
      </c>
      <c r="AK545" s="5" t="s">
        <v>73</v>
      </c>
      <c r="AL545" s="5" t="s">
        <v>72</v>
      </c>
      <c r="AM545" s="6" t="s">
        <v>132</v>
      </c>
      <c r="AN545" s="5" t="s">
        <v>60</v>
      </c>
      <c r="AO545" s="41"/>
      <c r="AP545" s="5" t="s">
        <v>102</v>
      </c>
      <c r="AQ545" s="41"/>
      <c r="AR545" s="41"/>
      <c r="AS545" s="41"/>
      <c r="AT545" s="5" t="s">
        <v>60</v>
      </c>
      <c r="AU545" s="33"/>
      <c r="AV545" s="33"/>
      <c r="AW545" s="33"/>
      <c r="AX545" s="33"/>
      <c r="AY545" s="33"/>
      <c r="AZ545" s="6" t="s">
        <v>76</v>
      </c>
      <c r="BA545" s="33"/>
      <c r="BB545" s="33">
        <f>VLOOKUP(O545,Eco_DEM_Data!$D$1:$AC$643,20,False)</f>
        <v>1203</v>
      </c>
      <c r="BC545" s="33">
        <f>VLOOKUP($O545,Eco_DEM_Data!$D$1:$AC$643,20,False)</f>
        <v>1203</v>
      </c>
      <c r="BD545" s="33">
        <f>VLOOKUP($O545,Eco_DEM_Data!$D$1:$AC$643,25,False)</f>
        <v>481</v>
      </c>
      <c r="BE545" s="33">
        <f>VLOOKUP($O545,Eco_DEM_Data!$D$1:$AC$643,22,False)</f>
        <v>23</v>
      </c>
      <c r="BF545" s="33">
        <f>VLOOKUP($O545,Eco_DEM_Data!$D$1:$AC$643,23,False)</f>
        <v>92</v>
      </c>
      <c r="BG545" s="33">
        <f>VLOOKUP($O545,Eco_DEM_Data!$D$1:$AC$643,21,False)</f>
        <v>5915</v>
      </c>
      <c r="BH545" s="33">
        <f>VLOOKUP($O545,Eco_DEM_Data!$D$1:$AC$643,26,False)</f>
        <v>5</v>
      </c>
      <c r="BI545" s="33" t="str">
        <f>VLOOKUP($O545,Eco_DEM_Data!$D$1:$AC$643,9,False)</f>
        <v>Mesoamerican Gulf-Caribbean mangroves</v>
      </c>
      <c r="BJ545" s="33" t="str">
        <f>VLOOKUP($O545,Eco_DEM_Data!$D$1:$AC$643,11,False)</f>
        <v>Mangroves</v>
      </c>
    </row>
    <row r="546">
      <c r="A546" s="33" t="s">
        <v>1329</v>
      </c>
      <c r="B546" s="33" t="s">
        <v>2258</v>
      </c>
      <c r="C546" s="70" t="e">
        <v>#N/A</v>
      </c>
      <c r="D546" s="33" t="s">
        <v>53</v>
      </c>
      <c r="E546" s="34">
        <v>2018.0</v>
      </c>
      <c r="F546" s="33" t="s">
        <v>1330</v>
      </c>
      <c r="G546" s="33" t="s">
        <v>1331</v>
      </c>
      <c r="H546" s="33" t="s">
        <v>793</v>
      </c>
      <c r="I546" s="33" t="s">
        <v>1332</v>
      </c>
      <c r="J546" s="33" t="s">
        <v>1333</v>
      </c>
      <c r="K546" s="34">
        <v>495.0</v>
      </c>
      <c r="L546" s="33"/>
      <c r="M546" s="6" t="s">
        <v>1334</v>
      </c>
      <c r="N546" s="35" t="s">
        <v>60</v>
      </c>
      <c r="O546" s="33" t="s">
        <v>1341</v>
      </c>
      <c r="P546" s="33" t="s">
        <v>62</v>
      </c>
      <c r="Q546" s="33" t="s">
        <v>92</v>
      </c>
      <c r="R546" s="33" t="s">
        <v>1336</v>
      </c>
      <c r="S546" s="34">
        <v>18.495674</v>
      </c>
      <c r="T546" s="34">
        <v>-88.400921</v>
      </c>
      <c r="U546" s="33" t="s">
        <v>1337</v>
      </c>
      <c r="V546" s="38" t="s">
        <v>169</v>
      </c>
      <c r="W546" s="6" t="s">
        <v>96</v>
      </c>
      <c r="X546" s="3" t="s">
        <v>1342</v>
      </c>
      <c r="Y546" s="33" t="s">
        <v>70</v>
      </c>
      <c r="Z546" s="33"/>
      <c r="AA546" s="34">
        <v>7.0</v>
      </c>
      <c r="AB546" s="33"/>
      <c r="AC546" s="33"/>
      <c r="AD546" s="33"/>
      <c r="AE546" s="33"/>
      <c r="AF546" s="33"/>
      <c r="AG546" s="33"/>
      <c r="AH546" s="33" t="s">
        <v>1340</v>
      </c>
      <c r="AI546" s="34">
        <v>-3650.0</v>
      </c>
      <c r="AJ546" s="34">
        <v>250.0</v>
      </c>
      <c r="AK546" s="6" t="s">
        <v>73</v>
      </c>
      <c r="AL546" s="6" t="s">
        <v>72</v>
      </c>
      <c r="AM546" s="6" t="s">
        <v>132</v>
      </c>
      <c r="AN546" s="6" t="s">
        <v>60</v>
      </c>
      <c r="AO546" s="33"/>
      <c r="AP546" s="6" t="s">
        <v>102</v>
      </c>
      <c r="AQ546" s="33"/>
      <c r="AR546" s="33"/>
      <c r="AS546" s="33"/>
      <c r="AT546" s="6" t="s">
        <v>76</v>
      </c>
      <c r="AU546" s="33"/>
      <c r="AV546" s="33"/>
      <c r="AW546" s="33"/>
      <c r="AX546" s="33"/>
      <c r="AY546" s="33"/>
      <c r="AZ546" s="6" t="s">
        <v>76</v>
      </c>
      <c r="BA546" s="33"/>
      <c r="BB546" s="33">
        <f>VLOOKUP(O546,Eco_DEM_Data!$D$1:$AC$643,20,False)</f>
        <v>1203</v>
      </c>
      <c r="BC546" s="33">
        <f>VLOOKUP($O546,Eco_DEM_Data!$D$1:$AC$643,20,False)</f>
        <v>1203</v>
      </c>
      <c r="BD546" s="33">
        <f>VLOOKUP($O546,Eco_DEM_Data!$D$1:$AC$643,25,False)</f>
        <v>481</v>
      </c>
      <c r="BE546" s="33">
        <f>VLOOKUP($O546,Eco_DEM_Data!$D$1:$AC$643,22,False)</f>
        <v>23</v>
      </c>
      <c r="BF546" s="33">
        <f>VLOOKUP($O546,Eco_DEM_Data!$D$1:$AC$643,23,False)</f>
        <v>92</v>
      </c>
      <c r="BG546" s="33">
        <f>VLOOKUP($O546,Eco_DEM_Data!$D$1:$AC$643,21,False)</f>
        <v>5915</v>
      </c>
      <c r="BH546" s="33">
        <f>VLOOKUP($O546,Eco_DEM_Data!$D$1:$AC$643,26,False)</f>
        <v>5</v>
      </c>
      <c r="BI546" s="33" t="str">
        <f>VLOOKUP($O546,Eco_DEM_Data!$D$1:$AC$643,9,False)</f>
        <v>Mesoamerican Gulf-Caribbean mangroves</v>
      </c>
      <c r="BJ546" s="33" t="str">
        <f>VLOOKUP($O546,Eco_DEM_Data!$D$1:$AC$643,11,False)</f>
        <v>Mangroves</v>
      </c>
    </row>
    <row r="547">
      <c r="A547" s="33" t="s">
        <v>1092</v>
      </c>
      <c r="B547" s="33" t="s">
        <v>2258</v>
      </c>
      <c r="C547" s="70" t="e">
        <v>#N/A</v>
      </c>
      <c r="D547" s="33" t="s">
        <v>53</v>
      </c>
      <c r="E547" s="34">
        <v>2018.0</v>
      </c>
      <c r="F547" s="33" t="s">
        <v>1093</v>
      </c>
      <c r="G547" s="33" t="s">
        <v>1094</v>
      </c>
      <c r="H547" s="33" t="s">
        <v>827</v>
      </c>
      <c r="I547" s="33" t="s">
        <v>1095</v>
      </c>
      <c r="J547" s="33" t="s">
        <v>1096</v>
      </c>
      <c r="K547" s="34">
        <v>33.0</v>
      </c>
      <c r="L547" s="34">
        <v>2.0</v>
      </c>
      <c r="M547" s="6" t="s">
        <v>1097</v>
      </c>
      <c r="N547" s="35" t="s">
        <v>60</v>
      </c>
      <c r="O547" s="33" t="s">
        <v>1098</v>
      </c>
      <c r="P547" s="33" t="s">
        <v>62</v>
      </c>
      <c r="Q547" s="36" t="s">
        <v>167</v>
      </c>
      <c r="R547" s="36" t="s">
        <v>512</v>
      </c>
      <c r="S547" s="37">
        <v>16.916667</v>
      </c>
      <c r="T547" s="37">
        <v>-89.833333</v>
      </c>
      <c r="U547" s="36" t="s">
        <v>148</v>
      </c>
      <c r="V547" s="38" t="s">
        <v>169</v>
      </c>
      <c r="W547" s="6" t="s">
        <v>1099</v>
      </c>
      <c r="X547" s="1" t="s">
        <v>1100</v>
      </c>
      <c r="Y547" s="33" t="s">
        <v>575</v>
      </c>
      <c r="Z547" s="33"/>
      <c r="AA547" s="34">
        <v>5.0</v>
      </c>
      <c r="AB547" s="33"/>
      <c r="AC547" s="33"/>
      <c r="AD547" s="33"/>
      <c r="AE547" s="33"/>
      <c r="AF547" s="33"/>
      <c r="AG547" s="33"/>
      <c r="AH547" s="6" t="s">
        <v>72</v>
      </c>
      <c r="AI547" s="34">
        <v>-3550.0</v>
      </c>
      <c r="AJ547" s="34">
        <v>1950.0</v>
      </c>
      <c r="AK547" s="6" t="s">
        <v>100</v>
      </c>
      <c r="AL547" s="6" t="s">
        <v>72</v>
      </c>
      <c r="AM547" s="6" t="s">
        <v>72</v>
      </c>
      <c r="AN547" s="6" t="s">
        <v>72</v>
      </c>
      <c r="AO547" s="33"/>
      <c r="AP547" s="6" t="s">
        <v>102</v>
      </c>
      <c r="AQ547" s="33"/>
      <c r="AR547" s="33"/>
      <c r="AS547" s="33"/>
      <c r="AT547" s="6" t="s">
        <v>76</v>
      </c>
      <c r="AU547" s="33"/>
      <c r="AV547" s="33"/>
      <c r="AW547" s="33"/>
      <c r="AX547" s="33"/>
      <c r="AY547" s="33"/>
      <c r="AZ547" s="6" t="s">
        <v>76</v>
      </c>
      <c r="BA547" s="33"/>
      <c r="BB547" s="33">
        <f>VLOOKUP(O547,Eco_DEM_Data!$D$1:$AC$643,20,False)</f>
        <v>1738</v>
      </c>
      <c r="BC547" s="33">
        <f>VLOOKUP($O547,Eco_DEM_Data!$D$1:$AC$643,20,False)</f>
        <v>1738</v>
      </c>
      <c r="BD547" s="33">
        <f>VLOOKUP($O547,Eco_DEM_Data!$D$1:$AC$643,25,False)</f>
        <v>690</v>
      </c>
      <c r="BE547" s="33">
        <f>VLOOKUP($O547,Eco_DEM_Data!$D$1:$AC$643,22,False)</f>
        <v>36</v>
      </c>
      <c r="BF547" s="33">
        <f>VLOOKUP($O547,Eco_DEM_Data!$D$1:$AC$643,23,False)</f>
        <v>144</v>
      </c>
      <c r="BG547" s="33">
        <f>VLOOKUP($O547,Eco_DEM_Data!$D$1:$AC$643,21,False)</f>
        <v>5677</v>
      </c>
      <c r="BH547" s="33">
        <f>VLOOKUP($O547,Eco_DEM_Data!$D$1:$AC$643,26,False)</f>
        <v>131</v>
      </c>
      <c r="BI547" s="33" t="str">
        <f>VLOOKUP($O547,Eco_DEM_Data!$D$1:$AC$643,9,False)</f>
        <v>Petén-Veracruz moist forests</v>
      </c>
      <c r="BJ547" s="33" t="str">
        <f>VLOOKUP($O547,Eco_DEM_Data!$D$1:$AC$643,11,False)</f>
        <v>Tropical &amp; Subtropical Moist Broadleaf Forests</v>
      </c>
    </row>
    <row r="548">
      <c r="A548" s="33" t="s">
        <v>1092</v>
      </c>
      <c r="B548" s="33" t="s">
        <v>2258</v>
      </c>
      <c r="C548" s="70" t="e">
        <v>#N/A</v>
      </c>
      <c r="D548" s="33" t="s">
        <v>53</v>
      </c>
      <c r="E548" s="34">
        <v>2018.0</v>
      </c>
      <c r="F548" s="33" t="s">
        <v>1093</v>
      </c>
      <c r="G548" s="33" t="s">
        <v>1094</v>
      </c>
      <c r="H548" s="33" t="s">
        <v>827</v>
      </c>
      <c r="I548" s="33" t="s">
        <v>1095</v>
      </c>
      <c r="J548" s="33" t="s">
        <v>1096</v>
      </c>
      <c r="K548" s="34">
        <v>33.0</v>
      </c>
      <c r="L548" s="34">
        <v>2.0</v>
      </c>
      <c r="M548" s="6" t="s">
        <v>1097</v>
      </c>
      <c r="N548" s="35" t="s">
        <v>60</v>
      </c>
      <c r="O548" s="33" t="s">
        <v>1115</v>
      </c>
      <c r="P548" s="33" t="s">
        <v>62</v>
      </c>
      <c r="Q548" s="36" t="s">
        <v>167</v>
      </c>
      <c r="R548" s="36" t="s">
        <v>512</v>
      </c>
      <c r="S548" s="37">
        <v>16.916667</v>
      </c>
      <c r="T548" s="37">
        <v>-89.833333</v>
      </c>
      <c r="U548" s="36" t="s">
        <v>148</v>
      </c>
      <c r="V548" s="6" t="s">
        <v>189</v>
      </c>
      <c r="W548" s="6" t="s">
        <v>1099</v>
      </c>
      <c r="X548" s="1" t="s">
        <v>1116</v>
      </c>
      <c r="Y548" s="33" t="s">
        <v>70</v>
      </c>
      <c r="Z548" s="33"/>
      <c r="AA548" s="34">
        <v>5.0</v>
      </c>
      <c r="AB548" s="33"/>
      <c r="AC548" s="33"/>
      <c r="AD548" s="33"/>
      <c r="AE548" s="33"/>
      <c r="AF548" s="33"/>
      <c r="AG548" s="33"/>
      <c r="AH548" s="6" t="s">
        <v>72</v>
      </c>
      <c r="AI548" s="34">
        <v>-3550.0</v>
      </c>
      <c r="AJ548" s="34">
        <v>1950.0</v>
      </c>
      <c r="AK548" s="6" t="s">
        <v>100</v>
      </c>
      <c r="AL548" s="6" t="s">
        <v>72</v>
      </c>
      <c r="AM548" s="6" t="s">
        <v>72</v>
      </c>
      <c r="AN548" s="6" t="s">
        <v>72</v>
      </c>
      <c r="AO548" s="33"/>
      <c r="AP548" s="6" t="s">
        <v>102</v>
      </c>
      <c r="AQ548" s="33"/>
      <c r="AR548" s="33"/>
      <c r="AS548" s="33"/>
      <c r="AT548" s="6" t="s">
        <v>76</v>
      </c>
      <c r="AU548" s="33"/>
      <c r="AV548" s="33"/>
      <c r="AW548" s="33"/>
      <c r="AX548" s="33"/>
      <c r="AY548" s="33"/>
      <c r="AZ548" s="6" t="s">
        <v>76</v>
      </c>
      <c r="BA548" s="33"/>
      <c r="BB548" s="33">
        <f>VLOOKUP(O548,Eco_DEM_Data!$D$1:$AC$643,20,False)</f>
        <v>1738</v>
      </c>
      <c r="BC548" s="33">
        <f>VLOOKUP($O548,Eco_DEM_Data!$D$1:$AC$643,20,False)</f>
        <v>1738</v>
      </c>
      <c r="BD548" s="33">
        <f>VLOOKUP($O548,Eco_DEM_Data!$D$1:$AC$643,25,False)</f>
        <v>690</v>
      </c>
      <c r="BE548" s="33">
        <f>VLOOKUP($O548,Eco_DEM_Data!$D$1:$AC$643,22,False)</f>
        <v>36</v>
      </c>
      <c r="BF548" s="33">
        <f>VLOOKUP($O548,Eco_DEM_Data!$D$1:$AC$643,23,False)</f>
        <v>144</v>
      </c>
      <c r="BG548" s="33">
        <f>VLOOKUP($O548,Eco_DEM_Data!$D$1:$AC$643,21,False)</f>
        <v>5677</v>
      </c>
      <c r="BH548" s="33">
        <f>VLOOKUP($O548,Eco_DEM_Data!$D$1:$AC$643,26,False)</f>
        <v>131</v>
      </c>
      <c r="BI548" s="33" t="str">
        <f>VLOOKUP($O548,Eco_DEM_Data!$D$1:$AC$643,9,False)</f>
        <v>Petén-Veracruz moist forests</v>
      </c>
      <c r="BJ548" s="33" t="str">
        <f>VLOOKUP($O548,Eco_DEM_Data!$D$1:$AC$643,11,False)</f>
        <v>Tropical &amp; Subtropical Moist Broadleaf Forests</v>
      </c>
    </row>
    <row r="549">
      <c r="A549" s="33" t="s">
        <v>1092</v>
      </c>
      <c r="B549" s="33" t="s">
        <v>2258</v>
      </c>
      <c r="C549" s="70" t="e">
        <v>#N/A</v>
      </c>
      <c r="D549" s="33" t="s">
        <v>53</v>
      </c>
      <c r="E549" s="34">
        <v>2018.0</v>
      </c>
      <c r="F549" s="33" t="s">
        <v>1093</v>
      </c>
      <c r="G549" s="33" t="s">
        <v>1094</v>
      </c>
      <c r="H549" s="33" t="s">
        <v>827</v>
      </c>
      <c r="I549" s="33" t="s">
        <v>1095</v>
      </c>
      <c r="J549" s="33" t="s">
        <v>1096</v>
      </c>
      <c r="K549" s="34">
        <v>33.0</v>
      </c>
      <c r="L549" s="34">
        <v>2.0</v>
      </c>
      <c r="M549" s="6" t="s">
        <v>1097</v>
      </c>
      <c r="N549" s="35" t="s">
        <v>60</v>
      </c>
      <c r="O549" s="33" t="s">
        <v>1117</v>
      </c>
      <c r="P549" s="33" t="s">
        <v>62</v>
      </c>
      <c r="Q549" s="36" t="s">
        <v>167</v>
      </c>
      <c r="R549" s="36" t="s">
        <v>512</v>
      </c>
      <c r="S549" s="37">
        <v>16.916667</v>
      </c>
      <c r="T549" s="37">
        <v>-89.833333</v>
      </c>
      <c r="U549" s="36" t="s">
        <v>148</v>
      </c>
      <c r="V549" s="38" t="s">
        <v>194</v>
      </c>
      <c r="W549" s="6" t="s">
        <v>1099</v>
      </c>
      <c r="X549" s="1" t="s">
        <v>1116</v>
      </c>
      <c r="Y549" s="33" t="s">
        <v>70</v>
      </c>
      <c r="Z549" s="33"/>
      <c r="AA549" s="34">
        <v>5.0</v>
      </c>
      <c r="AB549" s="33"/>
      <c r="AC549" s="33"/>
      <c r="AD549" s="33"/>
      <c r="AE549" s="33"/>
      <c r="AF549" s="33"/>
      <c r="AG549" s="33"/>
      <c r="AH549" s="6" t="s">
        <v>72</v>
      </c>
      <c r="AI549" s="34">
        <v>-3550.0</v>
      </c>
      <c r="AJ549" s="34">
        <v>1950.0</v>
      </c>
      <c r="AK549" s="6" t="s">
        <v>100</v>
      </c>
      <c r="AL549" s="6" t="s">
        <v>72</v>
      </c>
      <c r="AM549" s="6" t="s">
        <v>72</v>
      </c>
      <c r="AN549" s="6" t="s">
        <v>72</v>
      </c>
      <c r="AO549" s="33"/>
      <c r="AP549" s="6" t="s">
        <v>102</v>
      </c>
      <c r="AQ549" s="33"/>
      <c r="AR549" s="33"/>
      <c r="AS549" s="33"/>
      <c r="AT549" s="6" t="s">
        <v>76</v>
      </c>
      <c r="AU549" s="33"/>
      <c r="AV549" s="33"/>
      <c r="AW549" s="33"/>
      <c r="AX549" s="33"/>
      <c r="AY549" s="33"/>
      <c r="AZ549" s="6" t="s">
        <v>76</v>
      </c>
      <c r="BA549" s="33"/>
      <c r="BB549" s="33">
        <f>VLOOKUP(O549,Eco_DEM_Data!$D$1:$AC$643,20,False)</f>
        <v>1738</v>
      </c>
      <c r="BC549" s="33">
        <f>VLOOKUP($O549,Eco_DEM_Data!$D$1:$AC$643,20,False)</f>
        <v>1738</v>
      </c>
      <c r="BD549" s="33">
        <f>VLOOKUP($O549,Eco_DEM_Data!$D$1:$AC$643,25,False)</f>
        <v>690</v>
      </c>
      <c r="BE549" s="33">
        <f>VLOOKUP($O549,Eco_DEM_Data!$D$1:$AC$643,22,False)</f>
        <v>36</v>
      </c>
      <c r="BF549" s="33">
        <f>VLOOKUP($O549,Eco_DEM_Data!$D$1:$AC$643,23,False)</f>
        <v>144</v>
      </c>
      <c r="BG549" s="33">
        <f>VLOOKUP($O549,Eco_DEM_Data!$D$1:$AC$643,21,False)</f>
        <v>5677</v>
      </c>
      <c r="BH549" s="33">
        <f>VLOOKUP($O549,Eco_DEM_Data!$D$1:$AC$643,26,False)</f>
        <v>131</v>
      </c>
      <c r="BI549" s="33" t="str">
        <f>VLOOKUP($O549,Eco_DEM_Data!$D$1:$AC$643,9,False)</f>
        <v>Petén-Veracruz moist forests</v>
      </c>
      <c r="BJ549" s="33" t="str">
        <f>VLOOKUP($O549,Eco_DEM_Data!$D$1:$AC$643,11,False)</f>
        <v>Tropical &amp; Subtropical Moist Broadleaf Forests</v>
      </c>
    </row>
    <row r="550">
      <c r="A550" s="33" t="s">
        <v>1750</v>
      </c>
      <c r="B550" s="33" t="s">
        <v>2258</v>
      </c>
      <c r="C550" s="70" t="e">
        <v>#N/A</v>
      </c>
      <c r="D550" s="33" t="s">
        <v>53</v>
      </c>
      <c r="E550" s="34">
        <v>2018.0</v>
      </c>
      <c r="F550" s="33" t="s">
        <v>1751</v>
      </c>
      <c r="G550" s="33" t="s">
        <v>1752</v>
      </c>
      <c r="H550" s="33" t="s">
        <v>1386</v>
      </c>
      <c r="I550" s="33" t="s">
        <v>1753</v>
      </c>
      <c r="J550" s="33" t="s">
        <v>1754</v>
      </c>
      <c r="K550" s="34">
        <v>189.0</v>
      </c>
      <c r="L550" s="33"/>
      <c r="M550" s="6" t="s">
        <v>1755</v>
      </c>
      <c r="N550" s="35" t="s">
        <v>60</v>
      </c>
      <c r="O550" s="33" t="s">
        <v>1756</v>
      </c>
      <c r="P550" s="33" t="s">
        <v>62</v>
      </c>
      <c r="Q550" s="33" t="s">
        <v>167</v>
      </c>
      <c r="R550" s="33" t="s">
        <v>168</v>
      </c>
      <c r="S550" s="34">
        <v>16.147314</v>
      </c>
      <c r="T550" s="55">
        <v>-91.768701</v>
      </c>
      <c r="U550" s="33" t="s">
        <v>148</v>
      </c>
      <c r="V550" s="6" t="s">
        <v>80</v>
      </c>
      <c r="W550" s="33" t="s">
        <v>156</v>
      </c>
      <c r="X550" s="1" t="s">
        <v>348</v>
      </c>
      <c r="Y550" s="6" t="s">
        <v>158</v>
      </c>
      <c r="Z550" s="33"/>
      <c r="AA550" s="34">
        <v>4.0</v>
      </c>
      <c r="AB550" s="33"/>
      <c r="AC550" s="33"/>
      <c r="AD550" s="33"/>
      <c r="AE550" s="33"/>
      <c r="AF550" s="33"/>
      <c r="AG550" s="33"/>
      <c r="AH550" s="33" t="s">
        <v>174</v>
      </c>
      <c r="AI550" s="34">
        <v>-1450.0</v>
      </c>
      <c r="AJ550" s="34">
        <v>2013.0</v>
      </c>
      <c r="AK550" s="6" t="s">
        <v>100</v>
      </c>
      <c r="AL550" s="6" t="s">
        <v>72</v>
      </c>
      <c r="AM550" s="6" t="s">
        <v>132</v>
      </c>
      <c r="AN550" s="6" t="s">
        <v>72</v>
      </c>
      <c r="AO550" s="33"/>
      <c r="AP550" s="6" t="s">
        <v>102</v>
      </c>
      <c r="AQ550" s="33"/>
      <c r="AR550" s="33"/>
      <c r="AS550" s="33"/>
      <c r="AT550" s="6" t="s">
        <v>76</v>
      </c>
      <c r="AU550" s="33"/>
      <c r="AV550" s="33"/>
      <c r="AW550" s="33"/>
      <c r="AX550" s="33"/>
      <c r="AY550" s="33"/>
      <c r="AZ550" s="6" t="s">
        <v>76</v>
      </c>
      <c r="BA550" s="33"/>
      <c r="BB550" s="33">
        <f>VLOOKUP(O550,Eco_DEM_Data!$D$1:$AC$643,20,False)</f>
        <v>2150</v>
      </c>
      <c r="BC550" s="33">
        <f>VLOOKUP($O550,Eco_DEM_Data!$D$1:$AC$643,20,False)</f>
        <v>2150</v>
      </c>
      <c r="BD550" s="33">
        <f>VLOOKUP($O550,Eco_DEM_Data!$D$1:$AC$643,25,False)</f>
        <v>1038</v>
      </c>
      <c r="BE550" s="33">
        <f>VLOOKUP($O550,Eco_DEM_Data!$D$1:$AC$643,22,False)</f>
        <v>35</v>
      </c>
      <c r="BF550" s="33">
        <f>VLOOKUP($O550,Eco_DEM_Data!$D$1:$AC$643,23,False)</f>
        <v>132</v>
      </c>
      <c r="BG550" s="33">
        <f>VLOOKUP($O550,Eco_DEM_Data!$D$1:$AC$643,21,False)</f>
        <v>7746</v>
      </c>
      <c r="BH550" s="33">
        <f>VLOOKUP($O550,Eco_DEM_Data!$D$1:$AC$643,26,False)</f>
        <v>1497</v>
      </c>
      <c r="BI550" s="33" t="str">
        <f>VLOOKUP($O550,Eco_DEM_Data!$D$1:$AC$643,9,False)</f>
        <v>Central American pine-oak forests</v>
      </c>
      <c r="BJ550" s="33" t="str">
        <f>VLOOKUP($O550,Eco_DEM_Data!$D$1:$AC$643,11,False)</f>
        <v>Tropical &amp; Subtropical Coniferous Forests</v>
      </c>
    </row>
    <row r="551">
      <c r="A551" s="33" t="s">
        <v>1750</v>
      </c>
      <c r="B551" s="33" t="s">
        <v>2258</v>
      </c>
      <c r="C551" s="70" t="e">
        <v>#N/A</v>
      </c>
      <c r="D551" s="33" t="s">
        <v>53</v>
      </c>
      <c r="E551" s="34">
        <v>2018.0</v>
      </c>
      <c r="F551" s="33" t="s">
        <v>1751</v>
      </c>
      <c r="G551" s="33" t="s">
        <v>1752</v>
      </c>
      <c r="H551" s="33" t="s">
        <v>1386</v>
      </c>
      <c r="I551" s="33" t="s">
        <v>1753</v>
      </c>
      <c r="J551" s="33" t="s">
        <v>1754</v>
      </c>
      <c r="K551" s="34">
        <v>189.0</v>
      </c>
      <c r="L551" s="33"/>
      <c r="M551" s="6" t="s">
        <v>1755</v>
      </c>
      <c r="N551" s="35" t="s">
        <v>60</v>
      </c>
      <c r="O551" s="33" t="s">
        <v>1757</v>
      </c>
      <c r="P551" s="33" t="s">
        <v>62</v>
      </c>
      <c r="Q551" s="33" t="s">
        <v>167</v>
      </c>
      <c r="R551" s="33" t="s">
        <v>1758</v>
      </c>
      <c r="S551" s="34">
        <v>16.115819</v>
      </c>
      <c r="T551" s="71">
        <v>-91.726393</v>
      </c>
      <c r="U551" s="33" t="s">
        <v>148</v>
      </c>
      <c r="V551" s="6" t="s">
        <v>66</v>
      </c>
      <c r="W551" s="41" t="s">
        <v>823</v>
      </c>
      <c r="X551" s="7" t="s">
        <v>1759</v>
      </c>
      <c r="Y551" s="41" t="s">
        <v>70</v>
      </c>
      <c r="Z551" s="41"/>
      <c r="AA551" s="68">
        <v>3.0</v>
      </c>
      <c r="AB551" s="41"/>
      <c r="AC551" s="41"/>
      <c r="AD551" s="41"/>
      <c r="AE551" s="41"/>
      <c r="AF551" s="41"/>
      <c r="AG551" s="41"/>
      <c r="AH551" s="41" t="s">
        <v>1760</v>
      </c>
      <c r="AI551" s="68">
        <v>-1450.0</v>
      </c>
      <c r="AJ551" s="68">
        <v>2013.0</v>
      </c>
      <c r="AK551" s="5" t="s">
        <v>100</v>
      </c>
      <c r="AL551" s="5" t="s">
        <v>72</v>
      </c>
      <c r="AM551" s="6" t="s">
        <v>132</v>
      </c>
      <c r="AN551" s="5" t="s">
        <v>72</v>
      </c>
      <c r="AO551" s="41"/>
      <c r="AP551" s="5" t="s">
        <v>102</v>
      </c>
      <c r="AQ551" s="41"/>
      <c r="AR551" s="41"/>
      <c r="AS551" s="41"/>
      <c r="AT551" s="5" t="s">
        <v>76</v>
      </c>
      <c r="AU551" s="33"/>
      <c r="AV551" s="33"/>
      <c r="AW551" s="33"/>
      <c r="AX551" s="33"/>
      <c r="AY551" s="33"/>
      <c r="AZ551" s="6" t="s">
        <v>76</v>
      </c>
      <c r="BA551" s="33"/>
      <c r="BB551" s="33">
        <f>VLOOKUP(O551,Eco_DEM_Data!$D$1:$AC$643,20,False)</f>
        <v>2405</v>
      </c>
      <c r="BC551" s="33">
        <f>VLOOKUP($O551,Eco_DEM_Data!$D$1:$AC$643,20,False)</f>
        <v>2405</v>
      </c>
      <c r="BD551" s="33">
        <f>VLOOKUP($O551,Eco_DEM_Data!$D$1:$AC$643,25,False)</f>
        <v>1144</v>
      </c>
      <c r="BE551" s="33">
        <f>VLOOKUP($O551,Eco_DEM_Data!$D$1:$AC$643,22,False)</f>
        <v>40</v>
      </c>
      <c r="BF551" s="33">
        <f>VLOOKUP($O551,Eco_DEM_Data!$D$1:$AC$643,23,False)</f>
        <v>152</v>
      </c>
      <c r="BG551" s="33">
        <f>VLOOKUP($O551,Eco_DEM_Data!$D$1:$AC$643,21,False)</f>
        <v>7450</v>
      </c>
      <c r="BH551" s="33">
        <f>VLOOKUP($O551,Eco_DEM_Data!$D$1:$AC$643,26,False)</f>
        <v>1500</v>
      </c>
      <c r="BI551" s="33" t="str">
        <f>VLOOKUP($O551,Eco_DEM_Data!$D$1:$AC$643,9,False)</f>
        <v>Chiapas montane forests</v>
      </c>
      <c r="BJ551" s="33" t="str">
        <f>VLOOKUP($O551,Eco_DEM_Data!$D$1:$AC$643,11,False)</f>
        <v>Tropical &amp; Subtropical Moist Broadleaf Forests</v>
      </c>
    </row>
    <row r="552">
      <c r="A552" s="33" t="s">
        <v>1750</v>
      </c>
      <c r="B552" s="33" t="s">
        <v>2258</v>
      </c>
      <c r="C552" s="70" t="e">
        <v>#N/A</v>
      </c>
      <c r="D552" s="33" t="s">
        <v>53</v>
      </c>
      <c r="E552" s="34">
        <v>2018.0</v>
      </c>
      <c r="F552" s="33" t="s">
        <v>1751</v>
      </c>
      <c r="G552" s="33" t="s">
        <v>1752</v>
      </c>
      <c r="H552" s="33" t="s">
        <v>1386</v>
      </c>
      <c r="I552" s="33" t="s">
        <v>1753</v>
      </c>
      <c r="J552" s="33" t="s">
        <v>1754</v>
      </c>
      <c r="K552" s="34">
        <v>189.0</v>
      </c>
      <c r="L552" s="33"/>
      <c r="M552" s="6" t="s">
        <v>1755</v>
      </c>
      <c r="N552" s="35" t="s">
        <v>60</v>
      </c>
      <c r="O552" s="33" t="s">
        <v>1761</v>
      </c>
      <c r="P552" s="33" t="s">
        <v>62</v>
      </c>
      <c r="Q552" s="33" t="s">
        <v>167</v>
      </c>
      <c r="R552" s="33" t="s">
        <v>168</v>
      </c>
      <c r="S552" s="34">
        <v>16.147314</v>
      </c>
      <c r="T552" s="55">
        <v>-91.768701</v>
      </c>
      <c r="U552" s="33" t="s">
        <v>148</v>
      </c>
      <c r="V552" s="6" t="s">
        <v>80</v>
      </c>
      <c r="W552" s="33" t="s">
        <v>156</v>
      </c>
      <c r="X552" s="1" t="s">
        <v>348</v>
      </c>
      <c r="Y552" s="6" t="s">
        <v>158</v>
      </c>
      <c r="Z552" s="33"/>
      <c r="AA552" s="34">
        <v>4.0</v>
      </c>
      <c r="AB552" s="33"/>
      <c r="AC552" s="33"/>
      <c r="AD552" s="33"/>
      <c r="AE552" s="33"/>
      <c r="AF552" s="33"/>
      <c r="AG552" s="33"/>
      <c r="AH552" s="33" t="s">
        <v>174</v>
      </c>
      <c r="AI552" s="34">
        <v>-1450.0</v>
      </c>
      <c r="AJ552" s="34">
        <v>2013.0</v>
      </c>
      <c r="AK552" s="6" t="s">
        <v>100</v>
      </c>
      <c r="AL552" s="6" t="s">
        <v>72</v>
      </c>
      <c r="AM552" s="6" t="s">
        <v>132</v>
      </c>
      <c r="AN552" s="6" t="s">
        <v>72</v>
      </c>
      <c r="AO552" s="33"/>
      <c r="AP552" s="6" t="s">
        <v>102</v>
      </c>
      <c r="AQ552" s="33"/>
      <c r="AR552" s="33"/>
      <c r="AS552" s="33"/>
      <c r="AT552" s="6" t="s">
        <v>76</v>
      </c>
      <c r="AU552" s="33"/>
      <c r="AV552" s="33"/>
      <c r="AW552" s="33"/>
      <c r="AX552" s="33"/>
      <c r="AY552" s="33"/>
      <c r="AZ552" s="6" t="s">
        <v>76</v>
      </c>
      <c r="BA552" s="33"/>
      <c r="BB552" s="33">
        <f>VLOOKUP(O552,Eco_DEM_Data!$D$1:$AC$643,20,False)</f>
        <v>2150</v>
      </c>
      <c r="BC552" s="33">
        <f>VLOOKUP($O552,Eco_DEM_Data!$D$1:$AC$643,20,False)</f>
        <v>2150</v>
      </c>
      <c r="BD552" s="33">
        <f>VLOOKUP($O552,Eco_DEM_Data!$D$1:$AC$643,25,False)</f>
        <v>1038</v>
      </c>
      <c r="BE552" s="33">
        <f>VLOOKUP($O552,Eco_DEM_Data!$D$1:$AC$643,22,False)</f>
        <v>35</v>
      </c>
      <c r="BF552" s="33">
        <f>VLOOKUP($O552,Eco_DEM_Data!$D$1:$AC$643,23,False)</f>
        <v>132</v>
      </c>
      <c r="BG552" s="33">
        <f>VLOOKUP($O552,Eco_DEM_Data!$D$1:$AC$643,21,False)</f>
        <v>7746</v>
      </c>
      <c r="BH552" s="33">
        <f>VLOOKUP($O552,Eco_DEM_Data!$D$1:$AC$643,26,False)</f>
        <v>1497</v>
      </c>
      <c r="BI552" s="33" t="str">
        <f>VLOOKUP($O552,Eco_DEM_Data!$D$1:$AC$643,9,False)</f>
        <v>Central American pine-oak forests</v>
      </c>
      <c r="BJ552" s="33" t="str">
        <f>VLOOKUP($O552,Eco_DEM_Data!$D$1:$AC$643,11,False)</f>
        <v>Tropical &amp; Subtropical Coniferous Forests</v>
      </c>
    </row>
    <row r="553">
      <c r="A553" s="33" t="s">
        <v>1750</v>
      </c>
      <c r="B553" s="33" t="s">
        <v>2258</v>
      </c>
      <c r="C553" s="70" t="e">
        <v>#N/A</v>
      </c>
      <c r="D553" s="33" t="s">
        <v>53</v>
      </c>
      <c r="E553" s="34">
        <v>2018.0</v>
      </c>
      <c r="F553" s="33" t="s">
        <v>1751</v>
      </c>
      <c r="G553" s="33" t="s">
        <v>1752</v>
      </c>
      <c r="H553" s="33" t="s">
        <v>1386</v>
      </c>
      <c r="I553" s="33" t="s">
        <v>1753</v>
      </c>
      <c r="J553" s="33" t="s">
        <v>1754</v>
      </c>
      <c r="K553" s="34">
        <v>189.0</v>
      </c>
      <c r="L553" s="33"/>
      <c r="M553" s="6" t="s">
        <v>1755</v>
      </c>
      <c r="N553" s="35" t="s">
        <v>60</v>
      </c>
      <c r="O553" s="33" t="s">
        <v>1768</v>
      </c>
      <c r="P553" s="33" t="s">
        <v>62</v>
      </c>
      <c r="Q553" s="33" t="s">
        <v>167</v>
      </c>
      <c r="R553" s="33" t="s">
        <v>1758</v>
      </c>
      <c r="S553" s="34">
        <v>16.115819</v>
      </c>
      <c r="T553" s="71">
        <v>-91.726393</v>
      </c>
      <c r="U553" s="33" t="s">
        <v>148</v>
      </c>
      <c r="V553" s="6" t="s">
        <v>66</v>
      </c>
      <c r="W553" s="41" t="s">
        <v>823</v>
      </c>
      <c r="X553" s="7" t="s">
        <v>1759</v>
      </c>
      <c r="Y553" s="41" t="s">
        <v>70</v>
      </c>
      <c r="Z553" s="41"/>
      <c r="AA553" s="68">
        <v>3.0</v>
      </c>
      <c r="AB553" s="41"/>
      <c r="AC553" s="41"/>
      <c r="AD553" s="41"/>
      <c r="AE553" s="41"/>
      <c r="AF553" s="41"/>
      <c r="AG553" s="41"/>
      <c r="AH553" s="41" t="s">
        <v>1760</v>
      </c>
      <c r="AI553" s="68">
        <v>-1450.0</v>
      </c>
      <c r="AJ553" s="68">
        <v>2013.0</v>
      </c>
      <c r="AK553" s="5" t="s">
        <v>100</v>
      </c>
      <c r="AL553" s="5" t="s">
        <v>72</v>
      </c>
      <c r="AM553" s="6" t="s">
        <v>132</v>
      </c>
      <c r="AN553" s="5" t="s">
        <v>72</v>
      </c>
      <c r="AO553" s="41"/>
      <c r="AP553" s="5" t="s">
        <v>102</v>
      </c>
      <c r="AQ553" s="41"/>
      <c r="AR553" s="41"/>
      <c r="AS553" s="41"/>
      <c r="AT553" s="5" t="s">
        <v>76</v>
      </c>
      <c r="AU553" s="33"/>
      <c r="AV553" s="33"/>
      <c r="AW553" s="33"/>
      <c r="AX553" s="33"/>
      <c r="AY553" s="33"/>
      <c r="AZ553" s="6" t="s">
        <v>76</v>
      </c>
      <c r="BA553" s="33"/>
      <c r="BB553" s="33">
        <f>VLOOKUP(O553,Eco_DEM_Data!$D$1:$AC$643,20,False)</f>
        <v>2405</v>
      </c>
      <c r="BC553" s="33">
        <f>VLOOKUP($O553,Eco_DEM_Data!$D$1:$AC$643,20,False)</f>
        <v>2405</v>
      </c>
      <c r="BD553" s="33">
        <f>VLOOKUP($O553,Eco_DEM_Data!$D$1:$AC$643,25,False)</f>
        <v>1144</v>
      </c>
      <c r="BE553" s="33">
        <f>VLOOKUP($O553,Eco_DEM_Data!$D$1:$AC$643,22,False)</f>
        <v>40</v>
      </c>
      <c r="BF553" s="33">
        <f>VLOOKUP($O553,Eco_DEM_Data!$D$1:$AC$643,23,False)</f>
        <v>152</v>
      </c>
      <c r="BG553" s="33">
        <f>VLOOKUP($O553,Eco_DEM_Data!$D$1:$AC$643,21,False)</f>
        <v>7450</v>
      </c>
      <c r="BH553" s="33">
        <f>VLOOKUP($O553,Eco_DEM_Data!$D$1:$AC$643,26,False)</f>
        <v>1500</v>
      </c>
      <c r="BI553" s="33" t="str">
        <f>VLOOKUP($O553,Eco_DEM_Data!$D$1:$AC$643,9,False)</f>
        <v>Chiapas montane forests</v>
      </c>
      <c r="BJ553" s="33" t="str">
        <f>VLOOKUP($O553,Eco_DEM_Data!$D$1:$AC$643,11,False)</f>
        <v>Tropical &amp; Subtropical Moist Broadleaf Forests</v>
      </c>
    </row>
    <row r="554">
      <c r="A554" s="33" t="s">
        <v>1855</v>
      </c>
      <c r="B554" s="33" t="s">
        <v>2259</v>
      </c>
      <c r="C554" s="70" t="e">
        <v>#N/A</v>
      </c>
      <c r="D554" s="33" t="s">
        <v>53</v>
      </c>
      <c r="E554" s="34">
        <v>2018.0</v>
      </c>
      <c r="F554" s="33" t="s">
        <v>1856</v>
      </c>
      <c r="G554" s="33" t="s">
        <v>1857</v>
      </c>
      <c r="H554" s="33" t="s">
        <v>1858</v>
      </c>
      <c r="I554" s="33" t="s">
        <v>1859</v>
      </c>
      <c r="J554" s="33" t="s">
        <v>1860</v>
      </c>
      <c r="K554" s="34">
        <v>630.0</v>
      </c>
      <c r="L554" s="33"/>
      <c r="M554" s="6" t="s">
        <v>1861</v>
      </c>
      <c r="N554" s="35" t="s">
        <v>60</v>
      </c>
      <c r="O554" s="33" t="s">
        <v>1862</v>
      </c>
      <c r="P554" s="33" t="s">
        <v>62</v>
      </c>
      <c r="Q554" s="33" t="s">
        <v>737</v>
      </c>
      <c r="R554" s="33" t="s">
        <v>1863</v>
      </c>
      <c r="S554" s="34">
        <v>13.192232</v>
      </c>
      <c r="T554" s="34">
        <v>-88.398807</v>
      </c>
      <c r="U554" s="33" t="s">
        <v>2274</v>
      </c>
      <c r="V554" s="6" t="s">
        <v>169</v>
      </c>
      <c r="W554" s="33" t="s">
        <v>116</v>
      </c>
      <c r="X554" s="1" t="s">
        <v>1865</v>
      </c>
      <c r="Y554" s="33" t="s">
        <v>70</v>
      </c>
      <c r="Z554" s="33"/>
      <c r="AA554" s="33"/>
      <c r="AB554" s="33"/>
      <c r="AC554" s="6" t="s">
        <v>72</v>
      </c>
      <c r="AD554" s="33"/>
      <c r="AE554" s="33"/>
      <c r="AF554" s="33"/>
      <c r="AG554" s="33"/>
      <c r="AH554" s="6" t="s">
        <v>72</v>
      </c>
      <c r="AI554" s="34">
        <v>1982.0</v>
      </c>
      <c r="AJ554" s="34">
        <v>2012.0</v>
      </c>
      <c r="AK554" s="6" t="s">
        <v>153</v>
      </c>
      <c r="AL554" s="6" t="s">
        <v>72</v>
      </c>
      <c r="AM554" s="5" t="s">
        <v>72</v>
      </c>
      <c r="AN554" s="6" t="s">
        <v>101</v>
      </c>
      <c r="AO554" s="33"/>
      <c r="AP554" s="6" t="s">
        <v>576</v>
      </c>
      <c r="AQ554" s="33"/>
      <c r="AR554" s="33"/>
      <c r="AS554" s="33"/>
      <c r="AT554" s="6" t="s">
        <v>76</v>
      </c>
      <c r="AU554" s="33"/>
      <c r="AV554" s="33"/>
      <c r="AW554" s="33"/>
      <c r="AX554" s="33"/>
      <c r="AY554" s="33"/>
      <c r="AZ554" s="72" t="s">
        <v>76</v>
      </c>
      <c r="BA554" s="33"/>
      <c r="BB554" s="33">
        <f>VLOOKUP(O554,Eco_DEM_Data!$D$1:$AC$643,20,False)</f>
        <v>1897</v>
      </c>
      <c r="BC554" s="33">
        <f>VLOOKUP($O554,Eco_DEM_Data!$D$1:$AC$643,20,False)</f>
        <v>1897</v>
      </c>
      <c r="BD554" s="33">
        <f>VLOOKUP($O554,Eco_DEM_Data!$D$1:$AC$643,25,False)</f>
        <v>1018</v>
      </c>
      <c r="BE554" s="33">
        <f>VLOOKUP($O554,Eco_DEM_Data!$D$1:$AC$643,22,False)</f>
        <v>0</v>
      </c>
      <c r="BF554" s="33">
        <f>VLOOKUP($O554,Eco_DEM_Data!$D$1:$AC$643,23,False)</f>
        <v>7</v>
      </c>
      <c r="BG554" s="33">
        <f>VLOOKUP($O554,Eco_DEM_Data!$D$1:$AC$643,21,False)</f>
        <v>9916</v>
      </c>
      <c r="BH554" s="33">
        <f>VLOOKUP($O554,Eco_DEM_Data!$D$1:$AC$643,26,False)</f>
        <v>3</v>
      </c>
      <c r="BI554" s="33" t="str">
        <f>VLOOKUP($O554,Eco_DEM_Data!$D$1:$AC$643,9,False)</f>
        <v>Southern Mesoamerican Pacific mangroves</v>
      </c>
      <c r="BJ554" s="33" t="str">
        <f>VLOOKUP($O554,Eco_DEM_Data!$D$1:$AC$643,11,False)</f>
        <v>Mangroves</v>
      </c>
    </row>
    <row r="555">
      <c r="A555" s="33" t="s">
        <v>1855</v>
      </c>
      <c r="B555" s="33" t="s">
        <v>2259</v>
      </c>
      <c r="C555" s="70" t="e">
        <v>#N/A</v>
      </c>
      <c r="D555" s="33" t="s">
        <v>53</v>
      </c>
      <c r="E555" s="34">
        <v>2018.0</v>
      </c>
      <c r="F555" s="33" t="s">
        <v>1856</v>
      </c>
      <c r="G555" s="33" t="s">
        <v>1857</v>
      </c>
      <c r="H555" s="33" t="s">
        <v>1858</v>
      </c>
      <c r="I555" s="33" t="s">
        <v>1859</v>
      </c>
      <c r="J555" s="33" t="s">
        <v>1860</v>
      </c>
      <c r="K555" s="34">
        <v>630.0</v>
      </c>
      <c r="L555" s="33"/>
      <c r="M555" s="6" t="s">
        <v>1861</v>
      </c>
      <c r="N555" s="35" t="s">
        <v>60</v>
      </c>
      <c r="O555" s="33" t="s">
        <v>1866</v>
      </c>
      <c r="P555" s="33" t="s">
        <v>62</v>
      </c>
      <c r="Q555" s="33" t="s">
        <v>737</v>
      </c>
      <c r="R555" s="33" t="s">
        <v>1863</v>
      </c>
      <c r="S555" s="34">
        <v>13.256202</v>
      </c>
      <c r="T555" s="34">
        <v>-88.493592</v>
      </c>
      <c r="U555" s="33" t="s">
        <v>2274</v>
      </c>
      <c r="V555" s="6" t="s">
        <v>169</v>
      </c>
      <c r="W555" s="33" t="s">
        <v>116</v>
      </c>
      <c r="X555" s="1" t="s">
        <v>1865</v>
      </c>
      <c r="Y555" s="33" t="s">
        <v>70</v>
      </c>
      <c r="Z555" s="33"/>
      <c r="AA555" s="33"/>
      <c r="AB555" s="33"/>
      <c r="AC555" s="6" t="s">
        <v>72</v>
      </c>
      <c r="AD555" s="33"/>
      <c r="AE555" s="33"/>
      <c r="AF555" s="33"/>
      <c r="AG555" s="33"/>
      <c r="AH555" s="6" t="s">
        <v>72</v>
      </c>
      <c r="AI555" s="34">
        <v>1982.0</v>
      </c>
      <c r="AJ555" s="34">
        <v>2012.0</v>
      </c>
      <c r="AK555" s="6" t="s">
        <v>153</v>
      </c>
      <c r="AL555" s="6" t="s">
        <v>72</v>
      </c>
      <c r="AM555" s="5" t="s">
        <v>72</v>
      </c>
      <c r="AN555" s="6" t="s">
        <v>101</v>
      </c>
      <c r="AO555" s="33"/>
      <c r="AP555" s="6" t="s">
        <v>576</v>
      </c>
      <c r="AQ555" s="33"/>
      <c r="AR555" s="33"/>
      <c r="AS555" s="33"/>
      <c r="AT555" s="6" t="s">
        <v>76</v>
      </c>
      <c r="AU555" s="33"/>
      <c r="AV555" s="33"/>
      <c r="AW555" s="33"/>
      <c r="AX555" s="33"/>
      <c r="AY555" s="33"/>
      <c r="AZ555" s="72" t="s">
        <v>76</v>
      </c>
      <c r="BA555" s="33"/>
      <c r="BB555" s="33">
        <f>VLOOKUP(O555,Eco_DEM_Data!$D$1:$AC$643,20,False)</f>
        <v>1898</v>
      </c>
      <c r="BC555" s="33">
        <f>VLOOKUP($O555,Eco_DEM_Data!$D$1:$AC$643,20,False)</f>
        <v>1898</v>
      </c>
      <c r="BD555" s="33">
        <f>VLOOKUP($O555,Eco_DEM_Data!$D$1:$AC$643,25,False)</f>
        <v>1014</v>
      </c>
      <c r="BE555" s="33">
        <f>VLOOKUP($O555,Eco_DEM_Data!$D$1:$AC$643,22,False)</f>
        <v>1</v>
      </c>
      <c r="BF555" s="33">
        <f>VLOOKUP($O555,Eco_DEM_Data!$D$1:$AC$643,23,False)</f>
        <v>7</v>
      </c>
      <c r="BG555" s="33">
        <f>VLOOKUP($O555,Eco_DEM_Data!$D$1:$AC$643,21,False)</f>
        <v>9893</v>
      </c>
      <c r="BH555" s="33">
        <f>VLOOKUP($O555,Eco_DEM_Data!$D$1:$AC$643,26,False)</f>
        <v>13</v>
      </c>
      <c r="BI555" s="33" t="str">
        <f>VLOOKUP($O555,Eco_DEM_Data!$D$1:$AC$643,9,False)</f>
        <v>Southern Mesoamerican Pacific mangroves</v>
      </c>
      <c r="BJ555" s="33" t="str">
        <f>VLOOKUP($O555,Eco_DEM_Data!$D$1:$AC$643,11,False)</f>
        <v>Mangroves</v>
      </c>
    </row>
    <row r="556">
      <c r="A556" s="33" t="s">
        <v>1855</v>
      </c>
      <c r="B556" s="33" t="s">
        <v>2259</v>
      </c>
      <c r="C556" s="70" t="e">
        <v>#N/A</v>
      </c>
      <c r="D556" s="33" t="s">
        <v>53</v>
      </c>
      <c r="E556" s="34">
        <v>2018.0</v>
      </c>
      <c r="F556" s="33" t="s">
        <v>1856</v>
      </c>
      <c r="G556" s="33" t="s">
        <v>1857</v>
      </c>
      <c r="H556" s="33" t="s">
        <v>1858</v>
      </c>
      <c r="I556" s="33" t="s">
        <v>1859</v>
      </c>
      <c r="J556" s="33" t="s">
        <v>1860</v>
      </c>
      <c r="K556" s="34">
        <v>630.0</v>
      </c>
      <c r="L556" s="33"/>
      <c r="M556" s="6" t="s">
        <v>1861</v>
      </c>
      <c r="N556" s="35" t="s">
        <v>60</v>
      </c>
      <c r="O556" s="33" t="s">
        <v>1867</v>
      </c>
      <c r="P556" s="33" t="s">
        <v>62</v>
      </c>
      <c r="Q556" s="33" t="s">
        <v>92</v>
      </c>
      <c r="R556" s="33" t="s">
        <v>1868</v>
      </c>
      <c r="S556" s="34">
        <v>19.613729</v>
      </c>
      <c r="T556" s="55">
        <v>-87.45764</v>
      </c>
      <c r="U556" s="33" t="s">
        <v>2274</v>
      </c>
      <c r="V556" s="6" t="s">
        <v>169</v>
      </c>
      <c r="W556" s="33" t="s">
        <v>116</v>
      </c>
      <c r="X556" s="1" t="s">
        <v>1865</v>
      </c>
      <c r="Y556" s="33" t="s">
        <v>70</v>
      </c>
      <c r="Z556" s="33"/>
      <c r="AA556" s="33"/>
      <c r="AB556" s="33"/>
      <c r="AC556" s="6" t="s">
        <v>72</v>
      </c>
      <c r="AD556" s="33"/>
      <c r="AE556" s="33"/>
      <c r="AF556" s="33"/>
      <c r="AG556" s="33"/>
      <c r="AH556" s="6" t="s">
        <v>72</v>
      </c>
      <c r="AI556" s="34">
        <v>1983.0</v>
      </c>
      <c r="AJ556" s="34">
        <v>2012.0</v>
      </c>
      <c r="AK556" s="6" t="s">
        <v>153</v>
      </c>
      <c r="AL556" s="6" t="s">
        <v>72</v>
      </c>
      <c r="AM556" s="5" t="s">
        <v>72</v>
      </c>
      <c r="AN556" s="6" t="s">
        <v>101</v>
      </c>
      <c r="AO556" s="33"/>
      <c r="AP556" s="6" t="s">
        <v>576</v>
      </c>
      <c r="AQ556" s="33"/>
      <c r="AR556" s="33"/>
      <c r="AS556" s="33"/>
      <c r="AT556" s="6" t="s">
        <v>76</v>
      </c>
      <c r="AU556" s="33"/>
      <c r="AV556" s="33"/>
      <c r="AW556" s="33"/>
      <c r="AX556" s="33"/>
      <c r="AY556" s="33"/>
      <c r="AZ556" s="72" t="s">
        <v>76</v>
      </c>
      <c r="BA556" s="33"/>
      <c r="BB556" s="33">
        <f>VLOOKUP(O556,Eco_DEM_Data!$D$1:$AC$643,20,False)</f>
        <v>1316</v>
      </c>
      <c r="BC556" s="33">
        <f>VLOOKUP($O556,Eco_DEM_Data!$D$1:$AC$643,20,False)</f>
        <v>1316</v>
      </c>
      <c r="BD556" s="33">
        <f>VLOOKUP($O556,Eco_DEM_Data!$D$1:$AC$643,25,False)</f>
        <v>538</v>
      </c>
      <c r="BE556" s="33">
        <f>VLOOKUP($O556,Eco_DEM_Data!$D$1:$AC$643,22,False)</f>
        <v>35</v>
      </c>
      <c r="BF556" s="33">
        <f>VLOOKUP($O556,Eco_DEM_Data!$D$1:$AC$643,23,False)</f>
        <v>131</v>
      </c>
      <c r="BG556" s="33">
        <f>VLOOKUP($O556,Eco_DEM_Data!$D$1:$AC$643,21,False)</f>
        <v>5276</v>
      </c>
      <c r="BH556" s="33">
        <f>VLOOKUP($O556,Eco_DEM_Data!$D$1:$AC$643,26,False)</f>
        <v>1</v>
      </c>
      <c r="BI556" s="33" t="str">
        <f>VLOOKUP($O556,Eco_DEM_Data!$D$1:$AC$643,9,False)</f>
        <v>Mesoamerican Gulf-Caribbean mangroves</v>
      </c>
      <c r="BJ556" s="33" t="str">
        <f>VLOOKUP($O556,Eco_DEM_Data!$D$1:$AC$643,11,False)</f>
        <v>Mangroves</v>
      </c>
    </row>
    <row r="557">
      <c r="A557" s="33" t="s">
        <v>1855</v>
      </c>
      <c r="B557" s="33" t="s">
        <v>2259</v>
      </c>
      <c r="C557" s="70" t="e">
        <v>#N/A</v>
      </c>
      <c r="D557" s="33" t="s">
        <v>53</v>
      </c>
      <c r="E557" s="34">
        <v>2018.0</v>
      </c>
      <c r="F557" s="33" t="s">
        <v>1856</v>
      </c>
      <c r="G557" s="33" t="s">
        <v>1857</v>
      </c>
      <c r="H557" s="33" t="s">
        <v>1858</v>
      </c>
      <c r="I557" s="33" t="s">
        <v>1859</v>
      </c>
      <c r="J557" s="33" t="s">
        <v>1860</v>
      </c>
      <c r="K557" s="34">
        <v>630.0</v>
      </c>
      <c r="L557" s="33"/>
      <c r="M557" s="6" t="s">
        <v>1861</v>
      </c>
      <c r="N557" s="35" t="s">
        <v>60</v>
      </c>
      <c r="O557" s="33" t="s">
        <v>1869</v>
      </c>
      <c r="P557" s="33" t="s">
        <v>62</v>
      </c>
      <c r="Q557" s="33" t="s">
        <v>92</v>
      </c>
      <c r="R557" s="33" t="s">
        <v>1870</v>
      </c>
      <c r="S557" s="34">
        <v>19.703751</v>
      </c>
      <c r="T557" s="34">
        <v>-87.484473</v>
      </c>
      <c r="U557" s="33" t="s">
        <v>2274</v>
      </c>
      <c r="V557" s="6" t="s">
        <v>169</v>
      </c>
      <c r="W557" s="33" t="s">
        <v>116</v>
      </c>
      <c r="X557" s="1" t="s">
        <v>1865</v>
      </c>
      <c r="Y557" s="33" t="s">
        <v>70</v>
      </c>
      <c r="Z557" s="33"/>
      <c r="AA557" s="33"/>
      <c r="AB557" s="33"/>
      <c r="AC557" s="6" t="s">
        <v>72</v>
      </c>
      <c r="AD557" s="33"/>
      <c r="AE557" s="33"/>
      <c r="AF557" s="33"/>
      <c r="AG557" s="33"/>
      <c r="AH557" s="6" t="s">
        <v>72</v>
      </c>
      <c r="AI557" s="34">
        <v>1983.0</v>
      </c>
      <c r="AJ557" s="34">
        <v>2012.0</v>
      </c>
      <c r="AK557" s="6" t="s">
        <v>153</v>
      </c>
      <c r="AL557" s="6" t="s">
        <v>72</v>
      </c>
      <c r="AM557" s="5" t="s">
        <v>72</v>
      </c>
      <c r="AN557" s="6" t="s">
        <v>101</v>
      </c>
      <c r="AO557" s="33"/>
      <c r="AP557" s="6" t="s">
        <v>576</v>
      </c>
      <c r="AQ557" s="33"/>
      <c r="AR557" s="33"/>
      <c r="AS557" s="33"/>
      <c r="AT557" s="6" t="s">
        <v>76</v>
      </c>
      <c r="AU557" s="33"/>
      <c r="AV557" s="33"/>
      <c r="AW557" s="33"/>
      <c r="AX557" s="33"/>
      <c r="AY557" s="33"/>
      <c r="AZ557" s="72" t="s">
        <v>76</v>
      </c>
      <c r="BA557" s="33"/>
      <c r="BB557" s="33">
        <f>VLOOKUP(O557,Eco_DEM_Data!$D$1:$AC$643,20,False)</f>
        <v>1289</v>
      </c>
      <c r="BC557" s="33">
        <f>VLOOKUP($O557,Eco_DEM_Data!$D$1:$AC$643,20,False)</f>
        <v>1289</v>
      </c>
      <c r="BD557" s="33">
        <f>VLOOKUP($O557,Eco_DEM_Data!$D$1:$AC$643,25,False)</f>
        <v>534</v>
      </c>
      <c r="BE557" s="33">
        <f>VLOOKUP($O557,Eco_DEM_Data!$D$1:$AC$643,22,False)</f>
        <v>35</v>
      </c>
      <c r="BF557" s="33">
        <f>VLOOKUP($O557,Eco_DEM_Data!$D$1:$AC$643,23,False)</f>
        <v>128</v>
      </c>
      <c r="BG557" s="33">
        <f>VLOOKUP($O557,Eco_DEM_Data!$D$1:$AC$643,21,False)</f>
        <v>5381</v>
      </c>
      <c r="BH557" s="33">
        <f>VLOOKUP($O557,Eco_DEM_Data!$D$1:$AC$643,26,False)</f>
        <v>1</v>
      </c>
      <c r="BI557" s="33" t="str">
        <f>VLOOKUP($O557,Eco_DEM_Data!$D$1:$AC$643,9,False)</f>
        <v>Mesoamerican Gulf-Caribbean mangroves</v>
      </c>
      <c r="BJ557" s="33" t="str">
        <f>VLOOKUP($O557,Eco_DEM_Data!$D$1:$AC$643,11,False)</f>
        <v>Mangroves</v>
      </c>
    </row>
    <row r="558">
      <c r="A558" s="33" t="s">
        <v>139</v>
      </c>
      <c r="B558" s="33" t="s">
        <v>2259</v>
      </c>
      <c r="C558" s="70" t="e">
        <v>#N/A</v>
      </c>
      <c r="D558" s="33" t="s">
        <v>53</v>
      </c>
      <c r="E558" s="34">
        <v>2018.0</v>
      </c>
      <c r="F558" s="33" t="s">
        <v>140</v>
      </c>
      <c r="G558" s="33" t="s">
        <v>141</v>
      </c>
      <c r="H558" s="33" t="s">
        <v>125</v>
      </c>
      <c r="I558" s="33" t="s">
        <v>142</v>
      </c>
      <c r="J558" s="33" t="s">
        <v>143</v>
      </c>
      <c r="K558" s="34">
        <v>70.0</v>
      </c>
      <c r="L558" s="34">
        <v>1.0</v>
      </c>
      <c r="M558" s="6" t="s">
        <v>144</v>
      </c>
      <c r="N558" s="35" t="s">
        <v>60</v>
      </c>
      <c r="O558" s="33" t="s">
        <v>145</v>
      </c>
      <c r="P558" s="33" t="s">
        <v>62</v>
      </c>
      <c r="Q558" s="33" t="s">
        <v>146</v>
      </c>
      <c r="R558" s="33" t="s">
        <v>147</v>
      </c>
      <c r="S558" s="34">
        <v>8.88582</v>
      </c>
      <c r="T558" s="55">
        <v>-82.499791</v>
      </c>
      <c r="U558" s="33" t="s">
        <v>148</v>
      </c>
      <c r="V558" s="6" t="s">
        <v>149</v>
      </c>
      <c r="W558" s="6" t="s">
        <v>2275</v>
      </c>
      <c r="X558" s="1" t="s">
        <v>151</v>
      </c>
      <c r="Y558" s="33" t="s">
        <v>70</v>
      </c>
      <c r="Z558" s="33"/>
      <c r="AA558" s="34">
        <v>3.0</v>
      </c>
      <c r="AB558" s="33"/>
      <c r="AC558" s="33"/>
      <c r="AD558" s="33"/>
      <c r="AE558" s="33"/>
      <c r="AF558" s="33"/>
      <c r="AG558" s="33"/>
      <c r="AH558" s="33" t="s">
        <v>152</v>
      </c>
      <c r="AI558" s="34">
        <v>-892.0</v>
      </c>
      <c r="AJ558" s="34">
        <v>1752.0</v>
      </c>
      <c r="AK558" s="6" t="s">
        <v>153</v>
      </c>
      <c r="AL558" s="6" t="s">
        <v>72</v>
      </c>
      <c r="AM558" s="6" t="s">
        <v>132</v>
      </c>
      <c r="AN558" s="6" t="s">
        <v>72</v>
      </c>
      <c r="AO558" s="33"/>
      <c r="AP558" s="6" t="s">
        <v>75</v>
      </c>
      <c r="AQ558" s="33"/>
      <c r="AR558" s="33"/>
      <c r="AS558" s="33"/>
      <c r="AT558" s="6" t="s">
        <v>76</v>
      </c>
      <c r="AU558" s="33"/>
      <c r="AV558" s="33"/>
      <c r="AW558" s="33"/>
      <c r="AX558" s="33"/>
      <c r="AY558" s="33"/>
      <c r="AZ558" s="6" t="s">
        <v>76</v>
      </c>
      <c r="BA558" s="33"/>
      <c r="BB558" s="33">
        <f>VLOOKUP(O558,Eco_DEM_Data!$D$1:$AC$643,20,False)</f>
        <v>3751</v>
      </c>
      <c r="BC558" s="33">
        <f>VLOOKUP($O558,Eco_DEM_Data!$D$1:$AC$643,20,False)</f>
        <v>3751</v>
      </c>
      <c r="BD558" s="33">
        <f>VLOOKUP($O558,Eco_DEM_Data!$D$1:$AC$643,25,False)</f>
        <v>1320</v>
      </c>
      <c r="BE558" s="33">
        <f>VLOOKUP($O558,Eco_DEM_Data!$D$1:$AC$643,22,False)</f>
        <v>102</v>
      </c>
      <c r="BF558" s="33">
        <f>VLOOKUP($O558,Eco_DEM_Data!$D$1:$AC$643,23,False)</f>
        <v>466</v>
      </c>
      <c r="BG558" s="33">
        <f>VLOOKUP($O558,Eco_DEM_Data!$D$1:$AC$643,21,False)</f>
        <v>3973</v>
      </c>
      <c r="BH558" s="33">
        <f>VLOOKUP($O558,Eco_DEM_Data!$D$1:$AC$643,26,False)</f>
        <v>1859</v>
      </c>
      <c r="BI558" s="33" t="str">
        <f>VLOOKUP($O558,Eco_DEM_Data!$D$1:$AC$643,9,False)</f>
        <v>Talamancan montane forests</v>
      </c>
      <c r="BJ558" s="33" t="str">
        <f>VLOOKUP($O558,Eco_DEM_Data!$D$1:$AC$643,11,False)</f>
        <v>Tropical &amp; Subtropical Moist Broadleaf Forests</v>
      </c>
    </row>
    <row r="559">
      <c r="A559" s="33" t="s">
        <v>139</v>
      </c>
      <c r="B559" s="33" t="s">
        <v>2259</v>
      </c>
      <c r="C559" s="70" t="e">
        <v>#N/A</v>
      </c>
      <c r="D559" s="33" t="s">
        <v>53</v>
      </c>
      <c r="E559" s="34">
        <v>2018.0</v>
      </c>
      <c r="F559" s="33" t="s">
        <v>140</v>
      </c>
      <c r="G559" s="33" t="s">
        <v>141</v>
      </c>
      <c r="H559" s="33" t="s">
        <v>125</v>
      </c>
      <c r="I559" s="33" t="s">
        <v>142</v>
      </c>
      <c r="J559" s="33" t="s">
        <v>143</v>
      </c>
      <c r="K559" s="34">
        <v>70.0</v>
      </c>
      <c r="L559" s="34">
        <v>1.0</v>
      </c>
      <c r="M559" s="6" t="s">
        <v>144</v>
      </c>
      <c r="N559" s="35" t="s">
        <v>60</v>
      </c>
      <c r="O559" s="33" t="s">
        <v>155</v>
      </c>
      <c r="P559" s="33" t="s">
        <v>62</v>
      </c>
      <c r="Q559" s="33" t="s">
        <v>146</v>
      </c>
      <c r="R559" s="33" t="s">
        <v>147</v>
      </c>
      <c r="S559" s="34">
        <v>8.88582</v>
      </c>
      <c r="T559" s="55">
        <v>-82.499791</v>
      </c>
      <c r="U559" s="33" t="s">
        <v>148</v>
      </c>
      <c r="V559" s="6" t="s">
        <v>523</v>
      </c>
      <c r="W559" s="33" t="s">
        <v>156</v>
      </c>
      <c r="X559" s="1" t="s">
        <v>157</v>
      </c>
      <c r="Y559" s="6" t="s">
        <v>158</v>
      </c>
      <c r="Z559" s="33"/>
      <c r="AA559" s="34">
        <v>3.0</v>
      </c>
      <c r="AB559" s="33"/>
      <c r="AC559" s="33"/>
      <c r="AD559" s="33"/>
      <c r="AE559" s="33"/>
      <c r="AF559" s="33"/>
      <c r="AG559" s="33"/>
      <c r="AH559" s="33" t="s">
        <v>152</v>
      </c>
      <c r="AI559" s="34">
        <v>-892.0</v>
      </c>
      <c r="AJ559" s="34">
        <v>1752.0</v>
      </c>
      <c r="AK559" s="6" t="s">
        <v>153</v>
      </c>
      <c r="AL559" s="6" t="s">
        <v>72</v>
      </c>
      <c r="AM559" s="6" t="s">
        <v>132</v>
      </c>
      <c r="AN559" s="6" t="s">
        <v>72</v>
      </c>
      <c r="AO559" s="33"/>
      <c r="AP559" s="6" t="s">
        <v>75</v>
      </c>
      <c r="AQ559" s="33"/>
      <c r="AR559" s="33"/>
      <c r="AS559" s="33"/>
      <c r="AT559" s="6" t="s">
        <v>76</v>
      </c>
      <c r="AU559" s="33"/>
      <c r="AV559" s="33"/>
      <c r="AW559" s="33"/>
      <c r="AX559" s="33"/>
      <c r="AY559" s="33"/>
      <c r="AZ559" s="6" t="s">
        <v>76</v>
      </c>
      <c r="BA559" s="33"/>
      <c r="BB559" s="33">
        <f>VLOOKUP(O559,Eco_DEM_Data!$D$1:$AC$643,20,False)</f>
        <v>3751</v>
      </c>
      <c r="BC559" s="33">
        <f>VLOOKUP($O559,Eco_DEM_Data!$D$1:$AC$643,20,False)</f>
        <v>3751</v>
      </c>
      <c r="BD559" s="33">
        <f>VLOOKUP($O559,Eco_DEM_Data!$D$1:$AC$643,25,False)</f>
        <v>1320</v>
      </c>
      <c r="BE559" s="33">
        <f>VLOOKUP($O559,Eco_DEM_Data!$D$1:$AC$643,22,False)</f>
        <v>102</v>
      </c>
      <c r="BF559" s="33">
        <f>VLOOKUP($O559,Eco_DEM_Data!$D$1:$AC$643,23,False)</f>
        <v>466</v>
      </c>
      <c r="BG559" s="33">
        <f>VLOOKUP($O559,Eco_DEM_Data!$D$1:$AC$643,21,False)</f>
        <v>3973</v>
      </c>
      <c r="BH559" s="33">
        <f>VLOOKUP($O559,Eco_DEM_Data!$D$1:$AC$643,26,False)</f>
        <v>1859</v>
      </c>
      <c r="BI559" s="33" t="str">
        <f>VLOOKUP($O559,Eco_DEM_Data!$D$1:$AC$643,9,False)</f>
        <v>Talamancan montane forests</v>
      </c>
      <c r="BJ559" s="33" t="str">
        <f>VLOOKUP($O559,Eco_DEM_Data!$D$1:$AC$643,11,False)</f>
        <v>Tropical &amp; Subtropical Moist Broadleaf Forests</v>
      </c>
    </row>
    <row r="560">
      <c r="A560" s="33" t="s">
        <v>139</v>
      </c>
      <c r="B560" s="33" t="s">
        <v>2259</v>
      </c>
      <c r="C560" s="70" t="e">
        <v>#N/A</v>
      </c>
      <c r="D560" s="33" t="s">
        <v>53</v>
      </c>
      <c r="E560" s="34">
        <v>2018.0</v>
      </c>
      <c r="F560" s="33" t="s">
        <v>140</v>
      </c>
      <c r="G560" s="33" t="s">
        <v>141</v>
      </c>
      <c r="H560" s="33" t="s">
        <v>125</v>
      </c>
      <c r="I560" s="33" t="s">
        <v>142</v>
      </c>
      <c r="J560" s="33" t="s">
        <v>143</v>
      </c>
      <c r="K560" s="34">
        <v>70.0</v>
      </c>
      <c r="L560" s="34">
        <v>1.0</v>
      </c>
      <c r="M560" s="6" t="s">
        <v>144</v>
      </c>
      <c r="N560" s="35" t="s">
        <v>60</v>
      </c>
      <c r="O560" s="33" t="s">
        <v>2027</v>
      </c>
      <c r="P560" s="33" t="s">
        <v>62</v>
      </c>
      <c r="Q560" s="33" t="s">
        <v>146</v>
      </c>
      <c r="R560" s="33" t="s">
        <v>147</v>
      </c>
      <c r="S560" s="34">
        <v>8.88582</v>
      </c>
      <c r="T560" s="55">
        <v>-82.499791</v>
      </c>
      <c r="U560" s="33" t="s">
        <v>148</v>
      </c>
      <c r="V560" s="6" t="s">
        <v>275</v>
      </c>
      <c r="W560" s="33" t="s">
        <v>72</v>
      </c>
      <c r="X560" s="1" t="s">
        <v>275</v>
      </c>
      <c r="Y560" s="33" t="s">
        <v>279</v>
      </c>
      <c r="Z560" s="33"/>
      <c r="AA560" s="34">
        <v>3.0</v>
      </c>
      <c r="AB560" s="33"/>
      <c r="AC560" s="33"/>
      <c r="AD560" s="33"/>
      <c r="AE560" s="33"/>
      <c r="AF560" s="33"/>
      <c r="AG560" s="33"/>
      <c r="AH560" s="33" t="s">
        <v>152</v>
      </c>
      <c r="AI560" s="34">
        <v>-892.0</v>
      </c>
      <c r="AJ560" s="34">
        <v>1752.0</v>
      </c>
      <c r="AK560" s="6" t="s">
        <v>153</v>
      </c>
      <c r="AL560" s="6" t="s">
        <v>72</v>
      </c>
      <c r="AM560" s="6" t="s">
        <v>132</v>
      </c>
      <c r="AN560" s="6" t="s">
        <v>72</v>
      </c>
      <c r="AO560" s="33"/>
      <c r="AP560" s="6" t="s">
        <v>75</v>
      </c>
      <c r="AQ560" s="33"/>
      <c r="AR560" s="33"/>
      <c r="AS560" s="33"/>
      <c r="AT560" s="6" t="s">
        <v>76</v>
      </c>
      <c r="AU560" s="33"/>
      <c r="AV560" s="33"/>
      <c r="AW560" s="33"/>
      <c r="AX560" s="33"/>
      <c r="AY560" s="33"/>
      <c r="AZ560" s="6" t="s">
        <v>76</v>
      </c>
      <c r="BA560" s="33"/>
      <c r="BB560" s="33">
        <f>VLOOKUP(O560,Eco_DEM_Data!$D$1:$AC$643,20,False)</f>
        <v>3751</v>
      </c>
      <c r="BC560" s="33">
        <f>VLOOKUP($O560,Eco_DEM_Data!$D$1:$AC$643,20,False)</f>
        <v>3751</v>
      </c>
      <c r="BD560" s="33">
        <f>VLOOKUP($O560,Eco_DEM_Data!$D$1:$AC$643,25,False)</f>
        <v>1320</v>
      </c>
      <c r="BE560" s="33">
        <f>VLOOKUP($O560,Eco_DEM_Data!$D$1:$AC$643,22,False)</f>
        <v>102</v>
      </c>
      <c r="BF560" s="33">
        <f>VLOOKUP($O560,Eco_DEM_Data!$D$1:$AC$643,23,False)</f>
        <v>466</v>
      </c>
      <c r="BG560" s="33">
        <f>VLOOKUP($O560,Eco_DEM_Data!$D$1:$AC$643,21,False)</f>
        <v>3973</v>
      </c>
      <c r="BH560" s="33">
        <f>VLOOKUP($O560,Eco_DEM_Data!$D$1:$AC$643,26,False)</f>
        <v>1859</v>
      </c>
      <c r="BI560" s="33" t="str">
        <f>VLOOKUP($O560,Eco_DEM_Data!$D$1:$AC$643,9,False)</f>
        <v>Talamancan montane forests</v>
      </c>
      <c r="BJ560" s="33" t="str">
        <f>VLOOKUP($O560,Eco_DEM_Data!$D$1:$AC$643,11,False)</f>
        <v>Tropical &amp; Subtropical Moist Broadleaf Forests</v>
      </c>
    </row>
    <row r="561">
      <c r="A561" s="33" t="s">
        <v>337</v>
      </c>
      <c r="B561" s="33" t="s">
        <v>2258</v>
      </c>
      <c r="C561" s="34">
        <v>4.0</v>
      </c>
      <c r="D561" s="33" t="s">
        <v>53</v>
      </c>
      <c r="E561" s="34">
        <v>2019.0</v>
      </c>
      <c r="F561" s="33" t="s">
        <v>338</v>
      </c>
      <c r="G561" s="33" t="s">
        <v>339</v>
      </c>
      <c r="H561" s="33" t="s">
        <v>340</v>
      </c>
      <c r="I561" s="33" t="s">
        <v>341</v>
      </c>
      <c r="J561" s="33" t="s">
        <v>342</v>
      </c>
      <c r="K561" s="34">
        <v>2.0</v>
      </c>
      <c r="L561" s="33"/>
      <c r="M561" s="33"/>
      <c r="N561" s="35" t="s">
        <v>60</v>
      </c>
      <c r="O561" s="33" t="s">
        <v>343</v>
      </c>
      <c r="P561" s="33" t="s">
        <v>62</v>
      </c>
      <c r="Q561" s="33" t="s">
        <v>167</v>
      </c>
      <c r="R561" s="33" t="s">
        <v>263</v>
      </c>
      <c r="S561" s="34">
        <v>16.000583</v>
      </c>
      <c r="T561" s="34">
        <v>-91.554216</v>
      </c>
      <c r="U561" s="33" t="s">
        <v>148</v>
      </c>
      <c r="V561" s="6" t="s">
        <v>66</v>
      </c>
      <c r="W561" s="41" t="s">
        <v>1287</v>
      </c>
      <c r="X561" s="7" t="s">
        <v>344</v>
      </c>
      <c r="Y561" s="41" t="s">
        <v>70</v>
      </c>
      <c r="Z561" s="41"/>
      <c r="AA561" s="68">
        <v>38.0</v>
      </c>
      <c r="AB561" s="41"/>
      <c r="AC561" s="41"/>
      <c r="AD561" s="41"/>
      <c r="AE561" s="41"/>
      <c r="AF561" s="41"/>
      <c r="AG561" s="41"/>
      <c r="AH561" s="5" t="s">
        <v>72</v>
      </c>
      <c r="AI561" s="68">
        <v>-4000.0</v>
      </c>
      <c r="AJ561" s="68">
        <v>1522.0</v>
      </c>
      <c r="AK561" s="5" t="s">
        <v>153</v>
      </c>
      <c r="AL561" s="5" t="s">
        <v>60</v>
      </c>
      <c r="AM561" s="6" t="s">
        <v>132</v>
      </c>
      <c r="AN561" s="5" t="s">
        <v>72</v>
      </c>
      <c r="AO561" s="41"/>
      <c r="AP561" s="5" t="s">
        <v>102</v>
      </c>
      <c r="AQ561" s="68">
        <v>800.0</v>
      </c>
      <c r="AR561" s="68">
        <v>100.0</v>
      </c>
      <c r="AS561" s="68">
        <v>130.0</v>
      </c>
      <c r="AT561" s="5" t="s">
        <v>60</v>
      </c>
      <c r="AU561" s="33" t="s">
        <v>2276</v>
      </c>
      <c r="AV561" s="34">
        <v>-3850.0</v>
      </c>
      <c r="AW561" s="33"/>
      <c r="AX561" s="33"/>
      <c r="AY561" s="40" t="s">
        <v>60</v>
      </c>
      <c r="AZ561" s="6" t="s">
        <v>60</v>
      </c>
      <c r="BA561" s="33"/>
      <c r="BB561" s="33">
        <f>VLOOKUP(O561,Eco_DEM_Data!$D$1:$AC$643,20,False)</f>
        <v>3417</v>
      </c>
      <c r="BC561" s="33">
        <f>VLOOKUP($O561,Eco_DEM_Data!$D$1:$AC$643,20,False)</f>
        <v>3417</v>
      </c>
      <c r="BD561" s="33">
        <f>VLOOKUP($O561,Eco_DEM_Data!$D$1:$AC$643,25,False)</f>
        <v>1566</v>
      </c>
      <c r="BE561" s="33">
        <f>VLOOKUP($O561,Eco_DEM_Data!$D$1:$AC$643,22,False)</f>
        <v>75</v>
      </c>
      <c r="BF561" s="33">
        <f>VLOOKUP($O561,Eco_DEM_Data!$D$1:$AC$643,23,False)</f>
        <v>258</v>
      </c>
      <c r="BG561" s="33">
        <f>VLOOKUP($O561,Eco_DEM_Data!$D$1:$AC$643,21,False)</f>
        <v>6710</v>
      </c>
      <c r="BH561" s="33">
        <f>VLOOKUP($O561,Eco_DEM_Data!$D$1:$AC$643,26,False)</f>
        <v>1520</v>
      </c>
      <c r="BI561" s="33" t="str">
        <f>VLOOKUP($O561,Eco_DEM_Data!$D$1:$AC$643,9,False)</f>
        <v>Central American pine-oak forests</v>
      </c>
      <c r="BJ561" s="33" t="str">
        <f>VLOOKUP($O561,Eco_DEM_Data!$D$1:$AC$643,11,False)</f>
        <v>Tropical &amp; Subtropical Coniferous Forests</v>
      </c>
    </row>
    <row r="562">
      <c r="A562" s="33" t="s">
        <v>337</v>
      </c>
      <c r="B562" s="33" t="s">
        <v>2258</v>
      </c>
      <c r="C562" s="34">
        <v>4.0</v>
      </c>
      <c r="D562" s="33" t="s">
        <v>53</v>
      </c>
      <c r="E562" s="34">
        <v>2019.0</v>
      </c>
      <c r="F562" s="33" t="s">
        <v>338</v>
      </c>
      <c r="G562" s="33" t="s">
        <v>339</v>
      </c>
      <c r="H562" s="33" t="s">
        <v>340</v>
      </c>
      <c r="I562" s="33" t="s">
        <v>341</v>
      </c>
      <c r="J562" s="33" t="s">
        <v>342</v>
      </c>
      <c r="K562" s="34">
        <v>2.0</v>
      </c>
      <c r="L562" s="33"/>
      <c r="M562" s="33"/>
      <c r="N562" s="35" t="s">
        <v>60</v>
      </c>
      <c r="O562" s="33" t="s">
        <v>347</v>
      </c>
      <c r="P562" s="33" t="s">
        <v>62</v>
      </c>
      <c r="Q562" s="33" t="s">
        <v>167</v>
      </c>
      <c r="R562" s="33" t="s">
        <v>263</v>
      </c>
      <c r="S562" s="34">
        <v>16.000583</v>
      </c>
      <c r="T562" s="34">
        <v>-91.554216</v>
      </c>
      <c r="U562" s="33" t="s">
        <v>148</v>
      </c>
      <c r="V562" s="6" t="s">
        <v>80</v>
      </c>
      <c r="W562" s="33" t="s">
        <v>2277</v>
      </c>
      <c r="X562" s="1" t="s">
        <v>348</v>
      </c>
      <c r="Y562" s="33" t="s">
        <v>349</v>
      </c>
      <c r="Z562" s="33"/>
      <c r="AA562" s="34">
        <v>38.0</v>
      </c>
      <c r="AB562" s="33"/>
      <c r="AC562" s="33"/>
      <c r="AD562" s="33"/>
      <c r="AE562" s="33"/>
      <c r="AF562" s="33"/>
      <c r="AG562" s="33"/>
      <c r="AH562" s="6" t="s">
        <v>72</v>
      </c>
      <c r="AI562" s="34">
        <v>-4000.0</v>
      </c>
      <c r="AJ562" s="34">
        <v>1522.0</v>
      </c>
      <c r="AK562" s="6" t="s">
        <v>153</v>
      </c>
      <c r="AL562" s="6" t="s">
        <v>60</v>
      </c>
      <c r="AM562" s="6" t="s">
        <v>132</v>
      </c>
      <c r="AN562" s="6" t="s">
        <v>72</v>
      </c>
      <c r="AO562" s="33"/>
      <c r="AP562" s="39" t="s">
        <v>102</v>
      </c>
      <c r="AQ562" s="34">
        <v>800.0</v>
      </c>
      <c r="AR562" s="34">
        <v>100.0</v>
      </c>
      <c r="AS562" s="34">
        <v>130.0</v>
      </c>
      <c r="AT562" s="6" t="s">
        <v>76</v>
      </c>
      <c r="AU562" s="33"/>
      <c r="AV562" s="33"/>
      <c r="AW562" s="33"/>
      <c r="AX562" s="33" t="s">
        <v>2278</v>
      </c>
      <c r="AY562" s="40" t="s">
        <v>60</v>
      </c>
      <c r="AZ562" s="6" t="s">
        <v>60</v>
      </c>
      <c r="BA562" s="33"/>
      <c r="BB562" s="33">
        <f>VLOOKUP(O562,Eco_DEM_Data!$D$1:$AC$643,20,False)</f>
        <v>3417</v>
      </c>
      <c r="BC562" s="33">
        <f>VLOOKUP($O562,Eco_DEM_Data!$D$1:$AC$643,20,False)</f>
        <v>3417</v>
      </c>
      <c r="BD562" s="33">
        <f>VLOOKUP($O562,Eco_DEM_Data!$D$1:$AC$643,25,False)</f>
        <v>1566</v>
      </c>
      <c r="BE562" s="33">
        <f>VLOOKUP($O562,Eco_DEM_Data!$D$1:$AC$643,22,False)</f>
        <v>75</v>
      </c>
      <c r="BF562" s="33">
        <f>VLOOKUP($O562,Eco_DEM_Data!$D$1:$AC$643,23,False)</f>
        <v>258</v>
      </c>
      <c r="BG562" s="33">
        <f>VLOOKUP($O562,Eco_DEM_Data!$D$1:$AC$643,21,False)</f>
        <v>6710</v>
      </c>
      <c r="BH562" s="33">
        <f>VLOOKUP($O562,Eco_DEM_Data!$D$1:$AC$643,26,False)</f>
        <v>1520</v>
      </c>
      <c r="BI562" s="33" t="str">
        <f>VLOOKUP($O562,Eco_DEM_Data!$D$1:$AC$643,9,False)</f>
        <v>Central American pine-oak forests</v>
      </c>
      <c r="BJ562" s="33" t="str">
        <f>VLOOKUP($O562,Eco_DEM_Data!$D$1:$AC$643,11,False)</f>
        <v>Tropical &amp; Subtropical Coniferous Forests</v>
      </c>
    </row>
    <row r="563">
      <c r="A563" s="33" t="s">
        <v>337</v>
      </c>
      <c r="B563" s="33" t="s">
        <v>2258</v>
      </c>
      <c r="C563" s="34">
        <v>4.0</v>
      </c>
      <c r="D563" s="33" t="s">
        <v>53</v>
      </c>
      <c r="E563" s="34">
        <v>2019.0</v>
      </c>
      <c r="F563" s="33" t="s">
        <v>338</v>
      </c>
      <c r="G563" s="33" t="s">
        <v>339</v>
      </c>
      <c r="H563" s="33" t="s">
        <v>340</v>
      </c>
      <c r="I563" s="33" t="s">
        <v>341</v>
      </c>
      <c r="J563" s="33" t="s">
        <v>342</v>
      </c>
      <c r="K563" s="34">
        <v>2.0</v>
      </c>
      <c r="L563" s="33"/>
      <c r="M563" s="33"/>
      <c r="N563" s="35" t="s">
        <v>60</v>
      </c>
      <c r="O563" s="33" t="s">
        <v>350</v>
      </c>
      <c r="P563" s="33" t="s">
        <v>62</v>
      </c>
      <c r="Q563" s="33" t="s">
        <v>167</v>
      </c>
      <c r="R563" s="33" t="s">
        <v>263</v>
      </c>
      <c r="S563" s="34">
        <v>16.000583</v>
      </c>
      <c r="T563" s="34">
        <v>-91.554216</v>
      </c>
      <c r="U563" s="33" t="s">
        <v>148</v>
      </c>
      <c r="V563" s="6" t="s">
        <v>321</v>
      </c>
      <c r="W563" s="33" t="s">
        <v>156</v>
      </c>
      <c r="X563" s="1" t="s">
        <v>82</v>
      </c>
      <c r="Y563" s="6" t="s">
        <v>158</v>
      </c>
      <c r="Z563" s="33"/>
      <c r="AA563" s="34">
        <v>38.0</v>
      </c>
      <c r="AB563" s="33"/>
      <c r="AC563" s="33"/>
      <c r="AD563" s="33"/>
      <c r="AE563" s="33"/>
      <c r="AF563" s="33"/>
      <c r="AG563" s="33"/>
      <c r="AH563" s="6" t="s">
        <v>72</v>
      </c>
      <c r="AI563" s="34">
        <v>-4000.0</v>
      </c>
      <c r="AJ563" s="34">
        <v>1522.0</v>
      </c>
      <c r="AK563" s="6" t="s">
        <v>153</v>
      </c>
      <c r="AL563" s="6" t="s">
        <v>60</v>
      </c>
      <c r="AM563" s="6" t="s">
        <v>132</v>
      </c>
      <c r="AN563" s="6" t="s">
        <v>72</v>
      </c>
      <c r="AO563" s="33"/>
      <c r="AP563" s="39" t="s">
        <v>102</v>
      </c>
      <c r="AQ563" s="34">
        <v>800.0</v>
      </c>
      <c r="AR563" s="34">
        <v>100.0</v>
      </c>
      <c r="AS563" s="34">
        <v>130.0</v>
      </c>
      <c r="AT563" s="6" t="s">
        <v>76</v>
      </c>
      <c r="AU563" s="33"/>
      <c r="AV563" s="33"/>
      <c r="AW563" s="6" t="s">
        <v>76</v>
      </c>
      <c r="AX563" s="33" t="s">
        <v>2279</v>
      </c>
      <c r="AY563" s="40" t="s">
        <v>60</v>
      </c>
      <c r="AZ563" s="6" t="s">
        <v>60</v>
      </c>
      <c r="BA563" s="33"/>
      <c r="BB563" s="33">
        <f>VLOOKUP(O563,Eco_DEM_Data!$D$1:$AC$643,20,False)</f>
        <v>3417</v>
      </c>
      <c r="BC563" s="33">
        <f>VLOOKUP($O563,Eco_DEM_Data!$D$1:$AC$643,20,False)</f>
        <v>3417</v>
      </c>
      <c r="BD563" s="33">
        <f>VLOOKUP($O563,Eco_DEM_Data!$D$1:$AC$643,25,False)</f>
        <v>1566</v>
      </c>
      <c r="BE563" s="33">
        <f>VLOOKUP($O563,Eco_DEM_Data!$D$1:$AC$643,22,False)</f>
        <v>75</v>
      </c>
      <c r="BF563" s="33">
        <f>VLOOKUP($O563,Eco_DEM_Data!$D$1:$AC$643,23,False)</f>
        <v>258</v>
      </c>
      <c r="BG563" s="33">
        <f>VLOOKUP($O563,Eco_DEM_Data!$D$1:$AC$643,21,False)</f>
        <v>6710</v>
      </c>
      <c r="BH563" s="33">
        <f>VLOOKUP($O563,Eco_DEM_Data!$D$1:$AC$643,26,False)</f>
        <v>1520</v>
      </c>
      <c r="BI563" s="33" t="str">
        <f>VLOOKUP($O563,Eco_DEM_Data!$D$1:$AC$643,9,False)</f>
        <v>Central American pine-oak forests</v>
      </c>
      <c r="BJ563" s="33" t="str">
        <f>VLOOKUP($O563,Eco_DEM_Data!$D$1:$AC$643,11,False)</f>
        <v>Tropical &amp; Subtropical Coniferous Forests</v>
      </c>
    </row>
    <row r="564">
      <c r="A564" s="33" t="s">
        <v>337</v>
      </c>
      <c r="B564" s="33" t="s">
        <v>2258</v>
      </c>
      <c r="C564" s="34">
        <v>4.0</v>
      </c>
      <c r="D564" s="33" t="s">
        <v>53</v>
      </c>
      <c r="E564" s="34">
        <v>2019.0</v>
      </c>
      <c r="F564" s="33" t="s">
        <v>338</v>
      </c>
      <c r="G564" s="33" t="s">
        <v>339</v>
      </c>
      <c r="H564" s="33" t="s">
        <v>340</v>
      </c>
      <c r="I564" s="33" t="s">
        <v>341</v>
      </c>
      <c r="J564" s="33" t="s">
        <v>342</v>
      </c>
      <c r="K564" s="34">
        <v>2.0</v>
      </c>
      <c r="L564" s="33"/>
      <c r="M564" s="33"/>
      <c r="N564" s="35" t="s">
        <v>60</v>
      </c>
      <c r="O564" s="33" t="s">
        <v>351</v>
      </c>
      <c r="P564" s="33" t="s">
        <v>62</v>
      </c>
      <c r="Q564" s="33" t="s">
        <v>167</v>
      </c>
      <c r="R564" s="33" t="s">
        <v>263</v>
      </c>
      <c r="S564" s="34">
        <v>16.000583</v>
      </c>
      <c r="T564" s="34">
        <v>-91.554216</v>
      </c>
      <c r="U564" s="33" t="s">
        <v>148</v>
      </c>
      <c r="V564" s="6" t="s">
        <v>352</v>
      </c>
      <c r="W564" s="33" t="s">
        <v>353</v>
      </c>
      <c r="X564" s="1" t="s">
        <v>354</v>
      </c>
      <c r="Y564" s="6" t="s">
        <v>355</v>
      </c>
      <c r="Z564" s="33"/>
      <c r="AA564" s="34">
        <v>38.0</v>
      </c>
      <c r="AB564" s="33"/>
      <c r="AC564" s="33"/>
      <c r="AD564" s="33"/>
      <c r="AE564" s="33"/>
      <c r="AF564" s="33"/>
      <c r="AG564" s="33"/>
      <c r="AH564" s="6" t="s">
        <v>72</v>
      </c>
      <c r="AI564" s="34">
        <v>-4000.0</v>
      </c>
      <c r="AJ564" s="34">
        <v>1522.0</v>
      </c>
      <c r="AK564" s="6" t="s">
        <v>153</v>
      </c>
      <c r="AL564" s="6" t="s">
        <v>60</v>
      </c>
      <c r="AM564" s="6" t="s">
        <v>132</v>
      </c>
      <c r="AN564" s="6" t="s">
        <v>72</v>
      </c>
      <c r="AO564" s="33"/>
      <c r="AP564" s="39" t="s">
        <v>102</v>
      </c>
      <c r="AQ564" s="34">
        <v>800.0</v>
      </c>
      <c r="AR564" s="34">
        <v>100.0</v>
      </c>
      <c r="AS564" s="34">
        <v>130.0</v>
      </c>
      <c r="AT564" s="6" t="s">
        <v>76</v>
      </c>
      <c r="AU564" s="33"/>
      <c r="AV564" s="33"/>
      <c r="AW564" s="33"/>
      <c r="AX564" s="33"/>
      <c r="AY564" s="40" t="s">
        <v>60</v>
      </c>
      <c r="AZ564" s="6" t="s">
        <v>60</v>
      </c>
      <c r="BA564" s="33"/>
      <c r="BB564" s="33">
        <f>VLOOKUP(O564,Eco_DEM_Data!$D$1:$AC$643,20,False)</f>
        <v>3417</v>
      </c>
      <c r="BC564" s="33">
        <f>VLOOKUP($O564,Eco_DEM_Data!$D$1:$AC$643,20,False)</f>
        <v>3417</v>
      </c>
      <c r="BD564" s="33">
        <f>VLOOKUP($O564,Eco_DEM_Data!$D$1:$AC$643,25,False)</f>
        <v>1566</v>
      </c>
      <c r="BE564" s="33">
        <f>VLOOKUP($O564,Eco_DEM_Data!$D$1:$AC$643,22,False)</f>
        <v>75</v>
      </c>
      <c r="BF564" s="33">
        <f>VLOOKUP($O564,Eco_DEM_Data!$D$1:$AC$643,23,False)</f>
        <v>258</v>
      </c>
      <c r="BG564" s="33">
        <f>VLOOKUP($O564,Eco_DEM_Data!$D$1:$AC$643,21,False)</f>
        <v>6710</v>
      </c>
      <c r="BH564" s="33">
        <f>VLOOKUP($O564,Eco_DEM_Data!$D$1:$AC$643,26,False)</f>
        <v>1520</v>
      </c>
      <c r="BI564" s="33" t="str">
        <f>VLOOKUP($O564,Eco_DEM_Data!$D$1:$AC$643,9,False)</f>
        <v>Central American pine-oak forests</v>
      </c>
      <c r="BJ564" s="33" t="str">
        <f>VLOOKUP($O564,Eco_DEM_Data!$D$1:$AC$643,11,False)</f>
        <v>Tropical &amp; Subtropical Coniferous Forests</v>
      </c>
    </row>
    <row r="565">
      <c r="A565" s="33" t="s">
        <v>1428</v>
      </c>
      <c r="B565" s="33" t="s">
        <v>2258</v>
      </c>
      <c r="C565" s="47">
        <v>4.0</v>
      </c>
      <c r="D565" s="48" t="s">
        <v>53</v>
      </c>
      <c r="E565" s="47">
        <v>2019.0</v>
      </c>
      <c r="F565" s="48" t="s">
        <v>1429</v>
      </c>
      <c r="G565" s="50" t="s">
        <v>1430</v>
      </c>
      <c r="H565" s="48" t="s">
        <v>1431</v>
      </c>
      <c r="I565" s="47" t="s">
        <v>1432</v>
      </c>
      <c r="J565" s="33" t="s">
        <v>1433</v>
      </c>
      <c r="K565" s="34">
        <v>2.0</v>
      </c>
      <c r="L565" s="34">
        <v>3.0</v>
      </c>
      <c r="M565" s="33"/>
      <c r="N565" s="35" t="s">
        <v>60</v>
      </c>
      <c r="O565" s="33" t="s">
        <v>1434</v>
      </c>
      <c r="P565" s="33" t="s">
        <v>62</v>
      </c>
      <c r="Q565" s="33" t="s">
        <v>521</v>
      </c>
      <c r="R565" s="33" t="s">
        <v>522</v>
      </c>
      <c r="S565" s="34">
        <v>11.906</v>
      </c>
      <c r="T565" s="34">
        <v>-85.918</v>
      </c>
      <c r="U565" s="33" t="s">
        <v>148</v>
      </c>
      <c r="V565" s="6" t="s">
        <v>66</v>
      </c>
      <c r="W565" s="41" t="s">
        <v>823</v>
      </c>
      <c r="X565" s="7" t="s">
        <v>344</v>
      </c>
      <c r="Y565" s="41" t="s">
        <v>70</v>
      </c>
      <c r="Z565" s="41"/>
      <c r="AA565" s="68">
        <v>5.0</v>
      </c>
      <c r="AB565" s="41"/>
      <c r="AC565" s="41"/>
      <c r="AD565" s="41"/>
      <c r="AE565" s="41"/>
      <c r="AF565" s="41"/>
      <c r="AG565" s="41"/>
      <c r="AH565" s="5" t="s">
        <v>72</v>
      </c>
      <c r="AI565" s="68">
        <v>850.0</v>
      </c>
      <c r="AJ565" s="68">
        <v>2004.0</v>
      </c>
      <c r="AK565" s="5" t="s">
        <v>73</v>
      </c>
      <c r="AL565" s="5" t="s">
        <v>60</v>
      </c>
      <c r="AM565" s="6" t="s">
        <v>132</v>
      </c>
      <c r="AN565" s="5" t="s">
        <v>72</v>
      </c>
      <c r="AO565" s="41"/>
      <c r="AP565" s="5" t="s">
        <v>102</v>
      </c>
      <c r="AQ565" s="68">
        <v>37.0</v>
      </c>
      <c r="AR565" s="68">
        <v>20.0</v>
      </c>
      <c r="AS565" s="68">
        <v>30.0</v>
      </c>
      <c r="AT565" s="5" t="s">
        <v>76</v>
      </c>
      <c r="AU565" s="33"/>
      <c r="AV565" s="33"/>
      <c r="AW565" s="33"/>
      <c r="AX565" s="33"/>
      <c r="AY565" s="40" t="s">
        <v>60</v>
      </c>
      <c r="AZ565" s="6" t="s">
        <v>60</v>
      </c>
      <c r="BA565" s="33"/>
      <c r="BB565" s="33">
        <f>VLOOKUP(O565,Eco_DEM_Data!$D$1:$AC$643,20,False)</f>
        <v>1535</v>
      </c>
      <c r="BC565" s="33">
        <f>VLOOKUP($O565,Eco_DEM_Data!$D$1:$AC$643,20,False)</f>
        <v>1535</v>
      </c>
      <c r="BD565" s="33">
        <f>VLOOKUP($O565,Eco_DEM_Data!$D$1:$AC$643,25,False)</f>
        <v>863</v>
      </c>
      <c r="BE565" s="33">
        <f>VLOOKUP($O565,Eco_DEM_Data!$D$1:$AC$643,22,False)</f>
        <v>2</v>
      </c>
      <c r="BF565" s="33">
        <f>VLOOKUP($O565,Eco_DEM_Data!$D$1:$AC$643,23,False)</f>
        <v>16</v>
      </c>
      <c r="BG565" s="33">
        <f>VLOOKUP($O565,Eco_DEM_Data!$D$1:$AC$643,21,False)</f>
        <v>9899</v>
      </c>
      <c r="BH565" s="33">
        <f>VLOOKUP($O565,Eco_DEM_Data!$D$1:$AC$643,26,False)</f>
        <v>43</v>
      </c>
      <c r="BI565" s="33" t="str">
        <f>VLOOKUP($O565,Eco_DEM_Data!$D$1:$AC$643,9,False)</f>
        <v>Central American dry forests</v>
      </c>
      <c r="BJ565" s="33" t="str">
        <f>VLOOKUP($O565,Eco_DEM_Data!$D$1:$AC$643,11,False)</f>
        <v>Tropical &amp; Subtropical Dry Broadleaf Forests</v>
      </c>
    </row>
    <row r="566">
      <c r="A566" s="33" t="s">
        <v>1428</v>
      </c>
      <c r="B566" s="33" t="s">
        <v>2258</v>
      </c>
      <c r="C566" s="47">
        <v>4.0</v>
      </c>
      <c r="D566" s="48" t="s">
        <v>53</v>
      </c>
      <c r="E566" s="47">
        <v>2019.0</v>
      </c>
      <c r="F566" s="48" t="s">
        <v>1429</v>
      </c>
      <c r="G566" s="50" t="s">
        <v>1430</v>
      </c>
      <c r="H566" s="48" t="s">
        <v>1431</v>
      </c>
      <c r="I566" s="47" t="s">
        <v>1432</v>
      </c>
      <c r="J566" s="33" t="s">
        <v>1433</v>
      </c>
      <c r="K566" s="34">
        <v>2.0</v>
      </c>
      <c r="L566" s="34">
        <v>3.0</v>
      </c>
      <c r="M566" s="33"/>
      <c r="N566" s="35" t="s">
        <v>60</v>
      </c>
      <c r="O566" s="33" t="s">
        <v>1435</v>
      </c>
      <c r="P566" s="33" t="s">
        <v>62</v>
      </c>
      <c r="Q566" s="33" t="s">
        <v>521</v>
      </c>
      <c r="R566" s="33" t="s">
        <v>522</v>
      </c>
      <c r="S566" s="34">
        <v>11.906</v>
      </c>
      <c r="T566" s="34">
        <v>-85.918</v>
      </c>
      <c r="U566" s="33" t="s">
        <v>148</v>
      </c>
      <c r="V566" s="6" t="s">
        <v>149</v>
      </c>
      <c r="W566" s="33" t="s">
        <v>150</v>
      </c>
      <c r="X566" s="1" t="s">
        <v>1436</v>
      </c>
      <c r="Y566" s="33" t="s">
        <v>70</v>
      </c>
      <c r="Z566" s="33"/>
      <c r="AA566" s="34">
        <v>5.0</v>
      </c>
      <c r="AB566" s="33"/>
      <c r="AC566" s="33"/>
      <c r="AD566" s="33"/>
      <c r="AE566" s="33"/>
      <c r="AF566" s="33"/>
      <c r="AG566" s="33"/>
      <c r="AH566" s="6" t="s">
        <v>72</v>
      </c>
      <c r="AI566" s="34">
        <v>850.0</v>
      </c>
      <c r="AJ566" s="34">
        <v>2004.0</v>
      </c>
      <c r="AK566" s="6" t="s">
        <v>73</v>
      </c>
      <c r="AL566" s="6" t="s">
        <v>60</v>
      </c>
      <c r="AM566" s="6" t="s">
        <v>132</v>
      </c>
      <c r="AN566" s="6" t="s">
        <v>72</v>
      </c>
      <c r="AO566" s="33"/>
      <c r="AP566" s="39" t="s">
        <v>102</v>
      </c>
      <c r="AQ566" s="34">
        <v>80.0</v>
      </c>
      <c r="AR566" s="34">
        <v>40.0</v>
      </c>
      <c r="AS566" s="34">
        <v>60.0</v>
      </c>
      <c r="AT566" s="6" t="s">
        <v>76</v>
      </c>
      <c r="AU566" s="33"/>
      <c r="AV566" s="33"/>
      <c r="AW566" s="33"/>
      <c r="AX566" s="33"/>
      <c r="AY566" s="40" t="s">
        <v>60</v>
      </c>
      <c r="AZ566" s="6" t="s">
        <v>60</v>
      </c>
      <c r="BA566" s="33"/>
      <c r="BB566" s="33">
        <f>VLOOKUP(O566,Eco_DEM_Data!$D$1:$AC$643,20,False)</f>
        <v>1535</v>
      </c>
      <c r="BC566" s="33">
        <f>VLOOKUP($O566,Eco_DEM_Data!$D$1:$AC$643,20,False)</f>
        <v>1535</v>
      </c>
      <c r="BD566" s="33">
        <f>VLOOKUP($O566,Eco_DEM_Data!$D$1:$AC$643,25,False)</f>
        <v>863</v>
      </c>
      <c r="BE566" s="33">
        <f>VLOOKUP($O566,Eco_DEM_Data!$D$1:$AC$643,22,False)</f>
        <v>2</v>
      </c>
      <c r="BF566" s="33">
        <f>VLOOKUP($O566,Eco_DEM_Data!$D$1:$AC$643,23,False)</f>
        <v>16</v>
      </c>
      <c r="BG566" s="33">
        <f>VLOOKUP($O566,Eco_DEM_Data!$D$1:$AC$643,21,False)</f>
        <v>9899</v>
      </c>
      <c r="BH566" s="33">
        <f>VLOOKUP($O566,Eco_DEM_Data!$D$1:$AC$643,26,False)</f>
        <v>43</v>
      </c>
      <c r="BI566" s="33" t="str">
        <f>VLOOKUP($O566,Eco_DEM_Data!$D$1:$AC$643,9,False)</f>
        <v>Central American dry forests</v>
      </c>
      <c r="BJ566" s="33" t="str">
        <f>VLOOKUP($O566,Eco_DEM_Data!$D$1:$AC$643,11,False)</f>
        <v>Tropical &amp; Subtropical Dry Broadleaf Forests</v>
      </c>
    </row>
    <row r="567">
      <c r="A567" s="33" t="s">
        <v>1428</v>
      </c>
      <c r="B567" s="33" t="s">
        <v>2258</v>
      </c>
      <c r="C567" s="47">
        <v>4.0</v>
      </c>
      <c r="D567" s="48" t="s">
        <v>53</v>
      </c>
      <c r="E567" s="47">
        <v>2019.0</v>
      </c>
      <c r="F567" s="48" t="s">
        <v>1429</v>
      </c>
      <c r="G567" s="50" t="s">
        <v>1430</v>
      </c>
      <c r="H567" s="48" t="s">
        <v>1431</v>
      </c>
      <c r="I567" s="47" t="s">
        <v>1432</v>
      </c>
      <c r="J567" s="33" t="s">
        <v>1433</v>
      </c>
      <c r="K567" s="34">
        <v>2.0</v>
      </c>
      <c r="L567" s="34">
        <v>3.0</v>
      </c>
      <c r="M567" s="33"/>
      <c r="N567" s="35" t="s">
        <v>60</v>
      </c>
      <c r="O567" s="33" t="s">
        <v>1437</v>
      </c>
      <c r="P567" s="33" t="s">
        <v>62</v>
      </c>
      <c r="Q567" s="33" t="s">
        <v>521</v>
      </c>
      <c r="R567" s="33" t="s">
        <v>522</v>
      </c>
      <c r="S567" s="34">
        <v>11.906</v>
      </c>
      <c r="T567" s="34">
        <v>-85.918</v>
      </c>
      <c r="U567" s="33" t="s">
        <v>148</v>
      </c>
      <c r="V567" s="6" t="s">
        <v>321</v>
      </c>
      <c r="W567" s="33" t="s">
        <v>156</v>
      </c>
      <c r="X567" s="1" t="s">
        <v>82</v>
      </c>
      <c r="Y567" s="6" t="s">
        <v>158</v>
      </c>
      <c r="Z567" s="33"/>
      <c r="AA567" s="34">
        <v>5.0</v>
      </c>
      <c r="AB567" s="33"/>
      <c r="AC567" s="33"/>
      <c r="AD567" s="33"/>
      <c r="AE567" s="33"/>
      <c r="AF567" s="33"/>
      <c r="AG567" s="33"/>
      <c r="AH567" s="6" t="s">
        <v>72</v>
      </c>
      <c r="AI567" s="34">
        <v>850.0</v>
      </c>
      <c r="AJ567" s="34">
        <v>2004.0</v>
      </c>
      <c r="AK567" s="6" t="s">
        <v>73</v>
      </c>
      <c r="AL567" s="6" t="s">
        <v>60</v>
      </c>
      <c r="AM567" s="6" t="s">
        <v>132</v>
      </c>
      <c r="AN567" s="6" t="s">
        <v>72</v>
      </c>
      <c r="AO567" s="33"/>
      <c r="AP567" s="39" t="s">
        <v>102</v>
      </c>
      <c r="AQ567" s="34">
        <v>37.0</v>
      </c>
      <c r="AR567" s="34">
        <v>20.0</v>
      </c>
      <c r="AS567" s="34">
        <v>30.0</v>
      </c>
      <c r="AT567" s="6" t="s">
        <v>76</v>
      </c>
      <c r="AU567" s="33"/>
      <c r="AV567" s="33"/>
      <c r="AW567" s="6" t="s">
        <v>76</v>
      </c>
      <c r="AX567" s="33" t="s">
        <v>2279</v>
      </c>
      <c r="AY567" s="40" t="s">
        <v>60</v>
      </c>
      <c r="AZ567" s="6" t="s">
        <v>60</v>
      </c>
      <c r="BA567" s="33"/>
      <c r="BB567" s="33">
        <f>VLOOKUP(O567,Eco_DEM_Data!$D$1:$AC$643,20,False)</f>
        <v>1535</v>
      </c>
      <c r="BC567" s="33">
        <f>VLOOKUP($O567,Eco_DEM_Data!$D$1:$AC$643,20,False)</f>
        <v>1535</v>
      </c>
      <c r="BD567" s="33">
        <f>VLOOKUP($O567,Eco_DEM_Data!$D$1:$AC$643,25,False)</f>
        <v>863</v>
      </c>
      <c r="BE567" s="33">
        <f>VLOOKUP($O567,Eco_DEM_Data!$D$1:$AC$643,22,False)</f>
        <v>2</v>
      </c>
      <c r="BF567" s="33">
        <f>VLOOKUP($O567,Eco_DEM_Data!$D$1:$AC$643,23,False)</f>
        <v>16</v>
      </c>
      <c r="BG567" s="33">
        <f>VLOOKUP($O567,Eco_DEM_Data!$D$1:$AC$643,21,False)</f>
        <v>9899</v>
      </c>
      <c r="BH567" s="33">
        <f>VLOOKUP($O567,Eco_DEM_Data!$D$1:$AC$643,26,False)</f>
        <v>43</v>
      </c>
      <c r="BI567" s="33" t="str">
        <f>VLOOKUP($O567,Eco_DEM_Data!$D$1:$AC$643,9,False)</f>
        <v>Central American dry forests</v>
      </c>
      <c r="BJ567" s="33" t="str">
        <f>VLOOKUP($O567,Eco_DEM_Data!$D$1:$AC$643,11,False)</f>
        <v>Tropical &amp; Subtropical Dry Broadleaf Forests</v>
      </c>
    </row>
    <row r="568">
      <c r="A568" s="33" t="s">
        <v>1428</v>
      </c>
      <c r="B568" s="33" t="s">
        <v>2258</v>
      </c>
      <c r="C568" s="47">
        <v>4.0</v>
      </c>
      <c r="D568" s="48" t="s">
        <v>53</v>
      </c>
      <c r="E568" s="47">
        <v>2019.0</v>
      </c>
      <c r="F568" s="48" t="s">
        <v>1429</v>
      </c>
      <c r="G568" s="50" t="s">
        <v>1430</v>
      </c>
      <c r="H568" s="48" t="s">
        <v>1431</v>
      </c>
      <c r="I568" s="47" t="s">
        <v>1432</v>
      </c>
      <c r="J568" s="33" t="s">
        <v>1433</v>
      </c>
      <c r="K568" s="34">
        <v>2.0</v>
      </c>
      <c r="L568" s="34">
        <v>3.0</v>
      </c>
      <c r="M568" s="33"/>
      <c r="N568" s="35" t="s">
        <v>60</v>
      </c>
      <c r="O568" s="33" t="s">
        <v>1438</v>
      </c>
      <c r="P568" s="33" t="s">
        <v>62</v>
      </c>
      <c r="Q568" s="33" t="s">
        <v>521</v>
      </c>
      <c r="R568" s="33" t="s">
        <v>522</v>
      </c>
      <c r="S568" s="34">
        <v>11.906</v>
      </c>
      <c r="T568" s="34">
        <v>-85.918</v>
      </c>
      <c r="U568" s="33" t="s">
        <v>148</v>
      </c>
      <c r="V568" s="6" t="s">
        <v>352</v>
      </c>
      <c r="W568" s="33" t="s">
        <v>353</v>
      </c>
      <c r="X568" s="1" t="s">
        <v>344</v>
      </c>
      <c r="Y568" s="33" t="s">
        <v>70</v>
      </c>
      <c r="Z568" s="33"/>
      <c r="AA568" s="34">
        <v>5.0</v>
      </c>
      <c r="AB568" s="33"/>
      <c r="AC568" s="33"/>
      <c r="AD568" s="33"/>
      <c r="AE568" s="33"/>
      <c r="AF568" s="33"/>
      <c r="AG568" s="33"/>
      <c r="AH568" s="6" t="s">
        <v>72</v>
      </c>
      <c r="AI568" s="34">
        <v>850.0</v>
      </c>
      <c r="AJ568" s="34">
        <v>2004.0</v>
      </c>
      <c r="AK568" s="6" t="s">
        <v>73</v>
      </c>
      <c r="AL568" s="6" t="s">
        <v>60</v>
      </c>
      <c r="AM568" s="6" t="s">
        <v>132</v>
      </c>
      <c r="AN568" s="6" t="s">
        <v>72</v>
      </c>
      <c r="AO568" s="33"/>
      <c r="AP568" s="39" t="s">
        <v>102</v>
      </c>
      <c r="AQ568" s="34">
        <v>37.0</v>
      </c>
      <c r="AR568" s="34">
        <v>20.0</v>
      </c>
      <c r="AS568" s="34">
        <v>30.0</v>
      </c>
      <c r="AT568" s="6" t="s">
        <v>76</v>
      </c>
      <c r="AU568" s="33"/>
      <c r="AV568" s="33"/>
      <c r="AW568" s="33"/>
      <c r="AX568" s="33"/>
      <c r="AY568" s="40" t="s">
        <v>60</v>
      </c>
      <c r="AZ568" s="6" t="s">
        <v>60</v>
      </c>
      <c r="BA568" s="33"/>
      <c r="BB568" s="33">
        <f>VLOOKUP(O568,Eco_DEM_Data!$D$1:$AC$643,20,False)</f>
        <v>1535</v>
      </c>
      <c r="BC568" s="33">
        <f>VLOOKUP($O568,Eco_DEM_Data!$D$1:$AC$643,20,False)</f>
        <v>1535</v>
      </c>
      <c r="BD568" s="33">
        <f>VLOOKUP($O568,Eco_DEM_Data!$D$1:$AC$643,25,False)</f>
        <v>863</v>
      </c>
      <c r="BE568" s="33">
        <f>VLOOKUP($O568,Eco_DEM_Data!$D$1:$AC$643,22,False)</f>
        <v>2</v>
      </c>
      <c r="BF568" s="33">
        <f>VLOOKUP($O568,Eco_DEM_Data!$D$1:$AC$643,23,False)</f>
        <v>16</v>
      </c>
      <c r="BG568" s="33">
        <f>VLOOKUP($O568,Eco_DEM_Data!$D$1:$AC$643,21,False)</f>
        <v>9899</v>
      </c>
      <c r="BH568" s="33">
        <f>VLOOKUP($O568,Eco_DEM_Data!$D$1:$AC$643,26,False)</f>
        <v>43</v>
      </c>
      <c r="BI568" s="33" t="str">
        <f>VLOOKUP($O568,Eco_DEM_Data!$D$1:$AC$643,9,False)</f>
        <v>Central American dry forests</v>
      </c>
      <c r="BJ568" s="33" t="str">
        <f>VLOOKUP($O568,Eco_DEM_Data!$D$1:$AC$643,11,False)</f>
        <v>Tropical &amp; Subtropical Dry Broadleaf Forests</v>
      </c>
    </row>
    <row r="569">
      <c r="A569" s="33" t="s">
        <v>616</v>
      </c>
      <c r="B569" s="33" t="s">
        <v>2259</v>
      </c>
      <c r="C569" s="70" t="e">
        <v>#N/A</v>
      </c>
      <c r="D569" s="33" t="s">
        <v>53</v>
      </c>
      <c r="E569" s="34">
        <v>2019.0</v>
      </c>
      <c r="F569" s="33" t="s">
        <v>617</v>
      </c>
      <c r="G569" s="50" t="s">
        <v>618</v>
      </c>
      <c r="H569" s="33" t="s">
        <v>583</v>
      </c>
      <c r="I569" s="33" t="s">
        <v>619</v>
      </c>
      <c r="J569" s="69" t="s">
        <v>620</v>
      </c>
      <c r="K569" s="34">
        <v>29.0</v>
      </c>
      <c r="L569" s="34">
        <v>11.0</v>
      </c>
      <c r="M569" s="6" t="s">
        <v>621</v>
      </c>
      <c r="N569" s="35" t="s">
        <v>60</v>
      </c>
      <c r="O569" s="33" t="s">
        <v>2044</v>
      </c>
      <c r="P569" s="33" t="s">
        <v>62</v>
      </c>
      <c r="Q569" s="33" t="s">
        <v>112</v>
      </c>
      <c r="R569" s="33" t="s">
        <v>623</v>
      </c>
      <c r="S569" s="34">
        <v>10.730842</v>
      </c>
      <c r="T569" s="55">
        <v>-85.264185</v>
      </c>
      <c r="U569" s="33" t="s">
        <v>148</v>
      </c>
      <c r="V569" s="38" t="s">
        <v>194</v>
      </c>
      <c r="W569" s="5" t="s">
        <v>116</v>
      </c>
      <c r="X569" s="7" t="s">
        <v>286</v>
      </c>
      <c r="Y569" s="41" t="s">
        <v>70</v>
      </c>
      <c r="Z569" s="41"/>
      <c r="AA569" s="68">
        <v>10.0</v>
      </c>
      <c r="AB569" s="41"/>
      <c r="AC569" s="41"/>
      <c r="AD569" s="41"/>
      <c r="AE569" s="41"/>
      <c r="AF569" s="41"/>
      <c r="AG569" s="41"/>
      <c r="AH569" s="41" t="s">
        <v>626</v>
      </c>
      <c r="AI569" s="68">
        <v>-2250.0</v>
      </c>
      <c r="AJ569" s="68">
        <v>2014.0</v>
      </c>
      <c r="AK569" s="5" t="s">
        <v>73</v>
      </c>
      <c r="AL569" s="5" t="s">
        <v>76</v>
      </c>
      <c r="AM569" s="6" t="s">
        <v>132</v>
      </c>
      <c r="AN569" s="5" t="s">
        <v>72</v>
      </c>
      <c r="AO569" s="41"/>
      <c r="AP569" s="5" t="s">
        <v>102</v>
      </c>
      <c r="AQ569" s="41"/>
      <c r="AR569" s="41"/>
      <c r="AS569" s="41"/>
      <c r="AT569" s="5" t="s">
        <v>76</v>
      </c>
      <c r="AU569" s="33"/>
      <c r="AV569" s="33"/>
      <c r="AW569" s="33"/>
      <c r="AX569" s="33"/>
      <c r="AY569" s="33"/>
      <c r="AZ569" s="6" t="s">
        <v>76</v>
      </c>
      <c r="BA569" s="33"/>
      <c r="BB569" s="33">
        <f>VLOOKUP(O569,Eco_DEM_Data!$D$1:$AC$643,20,False)</f>
        <v>2220</v>
      </c>
      <c r="BC569" s="33">
        <f>VLOOKUP($O569,Eco_DEM_Data!$D$1:$AC$643,20,False)</f>
        <v>2220</v>
      </c>
      <c r="BD569" s="33">
        <f>VLOOKUP($O569,Eco_DEM_Data!$D$1:$AC$643,25,False)</f>
        <v>951</v>
      </c>
      <c r="BE569" s="33">
        <f>VLOOKUP($O569,Eco_DEM_Data!$D$1:$AC$643,22,False)</f>
        <v>22</v>
      </c>
      <c r="BF569" s="33">
        <f>VLOOKUP($O569,Eco_DEM_Data!$D$1:$AC$643,23,False)</f>
        <v>105</v>
      </c>
      <c r="BG569" s="33">
        <f>VLOOKUP($O569,Eco_DEM_Data!$D$1:$AC$643,21,False)</f>
        <v>6837</v>
      </c>
      <c r="BH569" s="33">
        <f>VLOOKUP($O569,Eco_DEM_Data!$D$1:$AC$643,26,False)</f>
        <v>690</v>
      </c>
      <c r="BI569" s="33" t="str">
        <f>VLOOKUP($O569,Eco_DEM_Data!$D$1:$AC$643,9,False)</f>
        <v>Costa Rican seasonal moist forests</v>
      </c>
      <c r="BJ569" s="33" t="str">
        <f>VLOOKUP($O569,Eco_DEM_Data!$D$1:$AC$643,11,False)</f>
        <v>Tropical &amp; Subtropical Moist Broadleaf Forests</v>
      </c>
    </row>
    <row r="570">
      <c r="A570" s="33" t="s">
        <v>616</v>
      </c>
      <c r="B570" s="33" t="s">
        <v>2259</v>
      </c>
      <c r="C570" s="70" t="e">
        <v>#N/A</v>
      </c>
      <c r="D570" s="33" t="s">
        <v>53</v>
      </c>
      <c r="E570" s="34">
        <v>2019.0</v>
      </c>
      <c r="F570" s="33" t="s">
        <v>617</v>
      </c>
      <c r="G570" s="50" t="s">
        <v>618</v>
      </c>
      <c r="H570" s="33" t="s">
        <v>583</v>
      </c>
      <c r="I570" s="33" t="s">
        <v>619</v>
      </c>
      <c r="J570" s="69" t="s">
        <v>620</v>
      </c>
      <c r="K570" s="34">
        <v>29.0</v>
      </c>
      <c r="L570" s="34">
        <v>11.0</v>
      </c>
      <c r="M570" s="6" t="s">
        <v>621</v>
      </c>
      <c r="N570" s="35" t="s">
        <v>60</v>
      </c>
      <c r="O570" s="33" t="s">
        <v>2045</v>
      </c>
      <c r="P570" s="33" t="s">
        <v>62</v>
      </c>
      <c r="Q570" s="33" t="s">
        <v>112</v>
      </c>
      <c r="R570" s="33" t="s">
        <v>623</v>
      </c>
      <c r="S570" s="34">
        <v>10.730842</v>
      </c>
      <c r="T570" s="55">
        <v>-85.264185</v>
      </c>
      <c r="U570" s="33" t="s">
        <v>148</v>
      </c>
      <c r="V570" s="6" t="s">
        <v>189</v>
      </c>
      <c r="W570" s="5" t="s">
        <v>72</v>
      </c>
      <c r="X570" s="7" t="s">
        <v>284</v>
      </c>
      <c r="Y570" s="41" t="s">
        <v>70</v>
      </c>
      <c r="Z570" s="41"/>
      <c r="AA570" s="68">
        <v>10.0</v>
      </c>
      <c r="AB570" s="41"/>
      <c r="AC570" s="41"/>
      <c r="AD570" s="41"/>
      <c r="AE570" s="41"/>
      <c r="AF570" s="41"/>
      <c r="AG570" s="41"/>
      <c r="AH570" s="41" t="s">
        <v>626</v>
      </c>
      <c r="AI570" s="68">
        <v>-2250.0</v>
      </c>
      <c r="AJ570" s="68">
        <v>2014.0</v>
      </c>
      <c r="AK570" s="5" t="s">
        <v>73</v>
      </c>
      <c r="AL570" s="5" t="s">
        <v>76</v>
      </c>
      <c r="AM570" s="6" t="s">
        <v>132</v>
      </c>
      <c r="AN570" s="5" t="s">
        <v>72</v>
      </c>
      <c r="AO570" s="41"/>
      <c r="AP570" s="5" t="s">
        <v>102</v>
      </c>
      <c r="AQ570" s="41"/>
      <c r="AR570" s="41"/>
      <c r="AS570" s="41"/>
      <c r="AT570" s="5" t="s">
        <v>76</v>
      </c>
      <c r="AU570" s="33"/>
      <c r="AV570" s="33"/>
      <c r="AW570" s="33"/>
      <c r="AX570" s="33"/>
      <c r="AY570" s="33"/>
      <c r="AZ570" s="6" t="s">
        <v>76</v>
      </c>
      <c r="BA570" s="33"/>
      <c r="BB570" s="33">
        <f>VLOOKUP(O570,Eco_DEM_Data!$D$1:$AC$643,20,False)</f>
        <v>2220</v>
      </c>
      <c r="BC570" s="33">
        <f>VLOOKUP($O570,Eco_DEM_Data!$D$1:$AC$643,20,False)</f>
        <v>2220</v>
      </c>
      <c r="BD570" s="33">
        <f>VLOOKUP($O570,Eco_DEM_Data!$D$1:$AC$643,25,False)</f>
        <v>951</v>
      </c>
      <c r="BE570" s="33">
        <f>VLOOKUP($O570,Eco_DEM_Data!$D$1:$AC$643,22,False)</f>
        <v>22</v>
      </c>
      <c r="BF570" s="33">
        <f>VLOOKUP($O570,Eco_DEM_Data!$D$1:$AC$643,23,False)</f>
        <v>105</v>
      </c>
      <c r="BG570" s="33">
        <f>VLOOKUP($O570,Eco_DEM_Data!$D$1:$AC$643,21,False)</f>
        <v>6837</v>
      </c>
      <c r="BH570" s="33">
        <f>VLOOKUP($O570,Eco_DEM_Data!$D$1:$AC$643,26,False)</f>
        <v>690</v>
      </c>
      <c r="BI570" s="33" t="str">
        <f>VLOOKUP($O570,Eco_DEM_Data!$D$1:$AC$643,9,False)</f>
        <v>Costa Rican seasonal moist forests</v>
      </c>
      <c r="BJ570" s="33" t="str">
        <f>VLOOKUP($O570,Eco_DEM_Data!$D$1:$AC$643,11,False)</f>
        <v>Tropical &amp; Subtropical Moist Broadleaf Forests</v>
      </c>
    </row>
    <row r="571">
      <c r="A571" s="33" t="s">
        <v>616</v>
      </c>
      <c r="B571" s="33" t="s">
        <v>2259</v>
      </c>
      <c r="C571" s="70" t="e">
        <v>#N/A</v>
      </c>
      <c r="D571" s="33" t="s">
        <v>53</v>
      </c>
      <c r="E571" s="34">
        <v>2019.0</v>
      </c>
      <c r="F571" s="33" t="s">
        <v>617</v>
      </c>
      <c r="G571" s="50" t="s">
        <v>618</v>
      </c>
      <c r="H571" s="33" t="s">
        <v>583</v>
      </c>
      <c r="I571" s="33" t="s">
        <v>619</v>
      </c>
      <c r="J571" s="69" t="s">
        <v>620</v>
      </c>
      <c r="K571" s="34">
        <v>29.0</v>
      </c>
      <c r="L571" s="34">
        <v>11.0</v>
      </c>
      <c r="M571" s="6" t="s">
        <v>621</v>
      </c>
      <c r="N571" s="35" t="s">
        <v>60</v>
      </c>
      <c r="O571" s="33" t="s">
        <v>622</v>
      </c>
      <c r="P571" s="33" t="s">
        <v>62</v>
      </c>
      <c r="Q571" s="33" t="s">
        <v>112</v>
      </c>
      <c r="R571" s="33" t="s">
        <v>623</v>
      </c>
      <c r="S571" s="34">
        <v>10.730842</v>
      </c>
      <c r="T571" s="55">
        <v>-85.264185</v>
      </c>
      <c r="U571" s="33" t="s">
        <v>148</v>
      </c>
      <c r="V571" s="6" t="s">
        <v>66</v>
      </c>
      <c r="W571" s="41" t="s">
        <v>823</v>
      </c>
      <c r="X571" s="7" t="s">
        <v>624</v>
      </c>
      <c r="Y571" s="41" t="s">
        <v>70</v>
      </c>
      <c r="Z571" s="41"/>
      <c r="AA571" s="68">
        <v>10.0</v>
      </c>
      <c r="AB571" s="41"/>
      <c r="AC571" s="41"/>
      <c r="AD571" s="41"/>
      <c r="AE571" s="41"/>
      <c r="AF571" s="41"/>
      <c r="AG571" s="41"/>
      <c r="AH571" s="41" t="s">
        <v>626</v>
      </c>
      <c r="AI571" s="68">
        <v>-2250.0</v>
      </c>
      <c r="AJ571" s="68">
        <v>2014.0</v>
      </c>
      <c r="AK571" s="5" t="s">
        <v>73</v>
      </c>
      <c r="AL571" s="5" t="s">
        <v>76</v>
      </c>
      <c r="AM571" s="6" t="s">
        <v>132</v>
      </c>
      <c r="AN571" s="5" t="s">
        <v>72</v>
      </c>
      <c r="AO571" s="41"/>
      <c r="AP571" s="5" t="s">
        <v>102</v>
      </c>
      <c r="AQ571" s="41"/>
      <c r="AR571" s="41"/>
      <c r="AS571" s="41"/>
      <c r="AT571" s="5" t="s">
        <v>60</v>
      </c>
      <c r="AU571" s="33"/>
      <c r="AV571" s="33"/>
      <c r="AW571" s="33"/>
      <c r="AX571" s="33"/>
      <c r="AY571" s="33"/>
      <c r="AZ571" s="6" t="s">
        <v>76</v>
      </c>
      <c r="BA571" s="33"/>
      <c r="BB571" s="33">
        <f>VLOOKUP(O571,Eco_DEM_Data!$D$1:$AC$643,20,False)</f>
        <v>2220</v>
      </c>
      <c r="BC571" s="33">
        <f>VLOOKUP($O571,Eco_DEM_Data!$D$1:$AC$643,20,False)</f>
        <v>2220</v>
      </c>
      <c r="BD571" s="33">
        <f>VLOOKUP($O571,Eco_DEM_Data!$D$1:$AC$643,25,False)</f>
        <v>951</v>
      </c>
      <c r="BE571" s="33">
        <f>VLOOKUP($O571,Eco_DEM_Data!$D$1:$AC$643,22,False)</f>
        <v>22</v>
      </c>
      <c r="BF571" s="33">
        <f>VLOOKUP($O571,Eco_DEM_Data!$D$1:$AC$643,23,False)</f>
        <v>105</v>
      </c>
      <c r="BG571" s="33">
        <f>VLOOKUP($O571,Eco_DEM_Data!$D$1:$AC$643,21,False)</f>
        <v>6837</v>
      </c>
      <c r="BH571" s="33">
        <f>VLOOKUP($O571,Eco_DEM_Data!$D$1:$AC$643,26,False)</f>
        <v>690</v>
      </c>
      <c r="BI571" s="33" t="str">
        <f>VLOOKUP($O571,Eco_DEM_Data!$D$1:$AC$643,9,False)</f>
        <v>Costa Rican seasonal moist forests</v>
      </c>
      <c r="BJ571" s="33" t="str">
        <f>VLOOKUP($O571,Eco_DEM_Data!$D$1:$AC$643,11,False)</f>
        <v>Tropical &amp; Subtropical Moist Broadleaf Forests</v>
      </c>
    </row>
    <row r="572">
      <c r="A572" s="33" t="s">
        <v>616</v>
      </c>
      <c r="B572" s="33" t="s">
        <v>2259</v>
      </c>
      <c r="C572" s="70" t="e">
        <v>#N/A</v>
      </c>
      <c r="D572" s="33" t="s">
        <v>53</v>
      </c>
      <c r="E572" s="34">
        <v>2019.0</v>
      </c>
      <c r="F572" s="33" t="s">
        <v>617</v>
      </c>
      <c r="G572" s="50" t="s">
        <v>618</v>
      </c>
      <c r="H572" s="33" t="s">
        <v>583</v>
      </c>
      <c r="I572" s="33" t="s">
        <v>619</v>
      </c>
      <c r="J572" s="69" t="s">
        <v>620</v>
      </c>
      <c r="K572" s="34">
        <v>29.0</v>
      </c>
      <c r="L572" s="34">
        <v>11.0</v>
      </c>
      <c r="M572" s="6" t="s">
        <v>621</v>
      </c>
      <c r="N572" s="35" t="s">
        <v>60</v>
      </c>
      <c r="O572" s="33" t="s">
        <v>639</v>
      </c>
      <c r="P572" s="33" t="s">
        <v>62</v>
      </c>
      <c r="Q572" s="33" t="s">
        <v>112</v>
      </c>
      <c r="R572" s="33" t="s">
        <v>623</v>
      </c>
      <c r="S572" s="34">
        <v>10.730842</v>
      </c>
      <c r="T572" s="55">
        <v>-85.264185</v>
      </c>
      <c r="U572" s="33" t="s">
        <v>148</v>
      </c>
      <c r="V572" s="6" t="s">
        <v>80</v>
      </c>
      <c r="W572" s="33" t="s">
        <v>156</v>
      </c>
      <c r="X572" s="1" t="s">
        <v>640</v>
      </c>
      <c r="Y572" s="6" t="s">
        <v>641</v>
      </c>
      <c r="Z572" s="33"/>
      <c r="AA572" s="34">
        <v>10.0</v>
      </c>
      <c r="AB572" s="33"/>
      <c r="AC572" s="33"/>
      <c r="AD572" s="33"/>
      <c r="AE572" s="33"/>
      <c r="AF572" s="33"/>
      <c r="AG572" s="33"/>
      <c r="AH572" s="33" t="s">
        <v>626</v>
      </c>
      <c r="AI572" s="34">
        <v>-2250.0</v>
      </c>
      <c r="AJ572" s="34">
        <v>2014.0</v>
      </c>
      <c r="AK572" s="6" t="s">
        <v>73</v>
      </c>
      <c r="AL572" s="6" t="s">
        <v>76</v>
      </c>
      <c r="AM572" s="6" t="s">
        <v>132</v>
      </c>
      <c r="AN572" s="6" t="s">
        <v>72</v>
      </c>
      <c r="AO572" s="33"/>
      <c r="AP572" s="6" t="s">
        <v>102</v>
      </c>
      <c r="AQ572" s="33"/>
      <c r="AR572" s="33"/>
      <c r="AS572" s="33"/>
      <c r="AT572" s="6" t="s">
        <v>76</v>
      </c>
      <c r="AU572" s="33"/>
      <c r="AV572" s="33"/>
      <c r="AW572" s="33"/>
      <c r="AX572" s="33"/>
      <c r="AY572" s="33"/>
      <c r="AZ572" s="6" t="s">
        <v>76</v>
      </c>
      <c r="BA572" s="33"/>
      <c r="BB572" s="33">
        <f>VLOOKUP(O572,Eco_DEM_Data!$D$1:$AC$643,20,False)</f>
        <v>2220</v>
      </c>
      <c r="BC572" s="33">
        <f>VLOOKUP($O572,Eco_DEM_Data!$D$1:$AC$643,20,False)</f>
        <v>2220</v>
      </c>
      <c r="BD572" s="33">
        <f>VLOOKUP($O572,Eco_DEM_Data!$D$1:$AC$643,25,False)</f>
        <v>951</v>
      </c>
      <c r="BE572" s="33">
        <f>VLOOKUP($O572,Eco_DEM_Data!$D$1:$AC$643,22,False)</f>
        <v>22</v>
      </c>
      <c r="BF572" s="33">
        <f>VLOOKUP($O572,Eco_DEM_Data!$D$1:$AC$643,23,False)</f>
        <v>105</v>
      </c>
      <c r="BG572" s="33">
        <f>VLOOKUP($O572,Eco_DEM_Data!$D$1:$AC$643,21,False)</f>
        <v>6837</v>
      </c>
      <c r="BH572" s="33">
        <f>VLOOKUP($O572,Eco_DEM_Data!$D$1:$AC$643,26,False)</f>
        <v>690</v>
      </c>
      <c r="BI572" s="33" t="str">
        <f>VLOOKUP($O572,Eco_DEM_Data!$D$1:$AC$643,9,False)</f>
        <v>Costa Rican seasonal moist forests</v>
      </c>
      <c r="BJ572" s="33" t="str">
        <f>VLOOKUP($O572,Eco_DEM_Data!$D$1:$AC$643,11,False)</f>
        <v>Tropical &amp; Subtropical Moist Broadleaf Forests</v>
      </c>
    </row>
    <row r="573">
      <c r="A573" s="33" t="s">
        <v>616</v>
      </c>
      <c r="B573" s="33" t="s">
        <v>2259</v>
      </c>
      <c r="C573" s="70" t="e">
        <v>#N/A</v>
      </c>
      <c r="D573" s="33" t="s">
        <v>53</v>
      </c>
      <c r="E573" s="34">
        <v>2019.0</v>
      </c>
      <c r="F573" s="33" t="s">
        <v>617</v>
      </c>
      <c r="G573" s="50" t="s">
        <v>618</v>
      </c>
      <c r="H573" s="33" t="s">
        <v>583</v>
      </c>
      <c r="I573" s="33" t="s">
        <v>619</v>
      </c>
      <c r="J573" s="69" t="s">
        <v>620</v>
      </c>
      <c r="K573" s="34">
        <v>29.0</v>
      </c>
      <c r="L573" s="34">
        <v>11.0</v>
      </c>
      <c r="M573" s="6" t="s">
        <v>621</v>
      </c>
      <c r="N573" s="35" t="s">
        <v>60</v>
      </c>
      <c r="O573" s="33" t="s">
        <v>2048</v>
      </c>
      <c r="P573" s="33" t="s">
        <v>62</v>
      </c>
      <c r="Q573" s="33" t="s">
        <v>112</v>
      </c>
      <c r="R573" s="33" t="s">
        <v>623</v>
      </c>
      <c r="S573" s="34">
        <v>10.730842</v>
      </c>
      <c r="T573" s="55">
        <v>-85.264185</v>
      </c>
      <c r="U573" s="33" t="s">
        <v>148</v>
      </c>
      <c r="V573" s="6" t="s">
        <v>388</v>
      </c>
      <c r="W573" s="5" t="s">
        <v>823</v>
      </c>
      <c r="X573" s="7" t="s">
        <v>643</v>
      </c>
      <c r="Y573" s="6" t="s">
        <v>99</v>
      </c>
      <c r="Z573" s="41"/>
      <c r="AA573" s="68">
        <v>10.0</v>
      </c>
      <c r="AB573" s="41"/>
      <c r="AC573" s="41"/>
      <c r="AD573" s="41"/>
      <c r="AE573" s="41"/>
      <c r="AF573" s="41"/>
      <c r="AG573" s="41"/>
      <c r="AH573" s="41" t="s">
        <v>626</v>
      </c>
      <c r="AI573" s="68">
        <v>-2250.0</v>
      </c>
      <c r="AJ573" s="68">
        <v>2014.0</v>
      </c>
      <c r="AK573" s="5" t="s">
        <v>73</v>
      </c>
      <c r="AL573" s="5" t="s">
        <v>76</v>
      </c>
      <c r="AM573" s="6" t="s">
        <v>132</v>
      </c>
      <c r="AN573" s="5" t="s">
        <v>72</v>
      </c>
      <c r="AO573" s="41"/>
      <c r="AP573" s="5" t="s">
        <v>102</v>
      </c>
      <c r="AQ573" s="41"/>
      <c r="AR573" s="41"/>
      <c r="AS573" s="41"/>
      <c r="AT573" s="6" t="s">
        <v>76</v>
      </c>
      <c r="AU573" s="33"/>
      <c r="AV573" s="33"/>
      <c r="AW573" s="33"/>
      <c r="AX573" s="33"/>
      <c r="AY573" s="33"/>
      <c r="AZ573" s="6" t="s">
        <v>76</v>
      </c>
      <c r="BA573" s="33"/>
      <c r="BB573" s="33">
        <f>VLOOKUP(O573,Eco_DEM_Data!$D$1:$AC$643,20,False)</f>
        <v>2220</v>
      </c>
      <c r="BC573" s="33">
        <f>VLOOKUP($O573,Eco_DEM_Data!$D$1:$AC$643,20,False)</f>
        <v>2220</v>
      </c>
      <c r="BD573" s="33">
        <f>VLOOKUP($O573,Eco_DEM_Data!$D$1:$AC$643,25,False)</f>
        <v>951</v>
      </c>
      <c r="BE573" s="33">
        <f>VLOOKUP($O573,Eco_DEM_Data!$D$1:$AC$643,22,False)</f>
        <v>22</v>
      </c>
      <c r="BF573" s="33">
        <f>VLOOKUP($O573,Eco_DEM_Data!$D$1:$AC$643,23,False)</f>
        <v>105</v>
      </c>
      <c r="BG573" s="33">
        <f>VLOOKUP($O573,Eco_DEM_Data!$D$1:$AC$643,21,False)</f>
        <v>6837</v>
      </c>
      <c r="BH573" s="33">
        <f>VLOOKUP($O573,Eco_DEM_Data!$D$1:$AC$643,26,False)</f>
        <v>690</v>
      </c>
      <c r="BI573" s="33" t="str">
        <f>VLOOKUP($O573,Eco_DEM_Data!$D$1:$AC$643,9,False)</f>
        <v>Costa Rican seasonal moist forests</v>
      </c>
      <c r="BJ573" s="33" t="str">
        <f>VLOOKUP($O573,Eco_DEM_Data!$D$1:$AC$643,11,False)</f>
        <v>Tropical &amp; Subtropical Moist Broadleaf Forests</v>
      </c>
    </row>
    <row r="574">
      <c r="A574" s="33" t="s">
        <v>616</v>
      </c>
      <c r="B574" s="33" t="s">
        <v>2259</v>
      </c>
      <c r="C574" s="70" t="e">
        <v>#N/A</v>
      </c>
      <c r="D574" s="33" t="s">
        <v>53</v>
      </c>
      <c r="E574" s="34">
        <v>2019.0</v>
      </c>
      <c r="F574" s="33" t="s">
        <v>617</v>
      </c>
      <c r="G574" s="50" t="s">
        <v>618</v>
      </c>
      <c r="H574" s="33" t="s">
        <v>583</v>
      </c>
      <c r="I574" s="33" t="s">
        <v>619</v>
      </c>
      <c r="J574" s="69" t="s">
        <v>620</v>
      </c>
      <c r="K574" s="34">
        <v>29.0</v>
      </c>
      <c r="L574" s="34">
        <v>11.0</v>
      </c>
      <c r="M574" s="6" t="s">
        <v>621</v>
      </c>
      <c r="N574" s="35" t="s">
        <v>60</v>
      </c>
      <c r="O574" s="33" t="s">
        <v>642</v>
      </c>
      <c r="P574" s="33" t="s">
        <v>62</v>
      </c>
      <c r="Q574" s="33" t="s">
        <v>112</v>
      </c>
      <c r="R574" s="33" t="s">
        <v>623</v>
      </c>
      <c r="S574" s="34">
        <v>10.730842</v>
      </c>
      <c r="T574" s="55">
        <v>-85.264185</v>
      </c>
      <c r="U574" s="33" t="s">
        <v>148</v>
      </c>
      <c r="V574" s="6" t="s">
        <v>135</v>
      </c>
      <c r="W574" s="5" t="s">
        <v>823</v>
      </c>
      <c r="X574" s="7" t="s">
        <v>643</v>
      </c>
      <c r="Y574" s="6" t="s">
        <v>99</v>
      </c>
      <c r="Z574" s="41"/>
      <c r="AA574" s="68">
        <v>10.0</v>
      </c>
      <c r="AB574" s="41"/>
      <c r="AC574" s="41"/>
      <c r="AD574" s="41"/>
      <c r="AE574" s="41"/>
      <c r="AF574" s="41"/>
      <c r="AG574" s="41"/>
      <c r="AH574" s="41" t="s">
        <v>626</v>
      </c>
      <c r="AI574" s="68">
        <v>-2250.0</v>
      </c>
      <c r="AJ574" s="68">
        <v>2014.0</v>
      </c>
      <c r="AK574" s="5" t="s">
        <v>73</v>
      </c>
      <c r="AL574" s="5" t="s">
        <v>76</v>
      </c>
      <c r="AM574" s="6" t="s">
        <v>132</v>
      </c>
      <c r="AN574" s="5" t="s">
        <v>72</v>
      </c>
      <c r="AO574" s="41"/>
      <c r="AP574" s="5" t="s">
        <v>102</v>
      </c>
      <c r="AQ574" s="41"/>
      <c r="AR574" s="41"/>
      <c r="AS574" s="41"/>
      <c r="AT574" s="6" t="s">
        <v>76</v>
      </c>
      <c r="AU574" s="33"/>
      <c r="AV574" s="33"/>
      <c r="AW574" s="33"/>
      <c r="AX574" s="33"/>
      <c r="AY574" s="33"/>
      <c r="AZ574" s="6" t="s">
        <v>76</v>
      </c>
      <c r="BA574" s="33"/>
      <c r="BB574" s="33">
        <f>VLOOKUP(O574,Eco_DEM_Data!$D$1:$AC$643,20,False)</f>
        <v>2220</v>
      </c>
      <c r="BC574" s="33">
        <f>VLOOKUP($O574,Eco_DEM_Data!$D$1:$AC$643,20,False)</f>
        <v>2220</v>
      </c>
      <c r="BD574" s="33">
        <f>VLOOKUP($O574,Eco_DEM_Data!$D$1:$AC$643,25,False)</f>
        <v>951</v>
      </c>
      <c r="BE574" s="33">
        <f>VLOOKUP($O574,Eco_DEM_Data!$D$1:$AC$643,22,False)</f>
        <v>22</v>
      </c>
      <c r="BF574" s="33">
        <f>VLOOKUP($O574,Eco_DEM_Data!$D$1:$AC$643,23,False)</f>
        <v>105</v>
      </c>
      <c r="BG574" s="33">
        <f>VLOOKUP($O574,Eco_DEM_Data!$D$1:$AC$643,21,False)</f>
        <v>6837</v>
      </c>
      <c r="BH574" s="33">
        <f>VLOOKUP($O574,Eco_DEM_Data!$D$1:$AC$643,26,False)</f>
        <v>690</v>
      </c>
      <c r="BI574" s="33" t="str">
        <f>VLOOKUP($O574,Eco_DEM_Data!$D$1:$AC$643,9,False)</f>
        <v>Costa Rican seasonal moist forests</v>
      </c>
      <c r="BJ574" s="33" t="str">
        <f>VLOOKUP($O574,Eco_DEM_Data!$D$1:$AC$643,11,False)</f>
        <v>Tropical &amp; Subtropical Moist Broadleaf Forests</v>
      </c>
    </row>
    <row r="575">
      <c r="A575" s="33" t="s">
        <v>616</v>
      </c>
      <c r="B575" s="33" t="s">
        <v>2259</v>
      </c>
      <c r="C575" s="70" t="e">
        <v>#N/A</v>
      </c>
      <c r="D575" s="33" t="s">
        <v>53</v>
      </c>
      <c r="E575" s="34">
        <v>2019.0</v>
      </c>
      <c r="F575" s="33" t="s">
        <v>617</v>
      </c>
      <c r="G575" s="50" t="s">
        <v>618</v>
      </c>
      <c r="H575" s="33" t="s">
        <v>583</v>
      </c>
      <c r="I575" s="33" t="s">
        <v>619</v>
      </c>
      <c r="J575" s="69" t="s">
        <v>620</v>
      </c>
      <c r="K575" s="34">
        <v>29.0</v>
      </c>
      <c r="L575" s="34">
        <v>11.0</v>
      </c>
      <c r="M575" s="6" t="s">
        <v>621</v>
      </c>
      <c r="N575" s="35" t="s">
        <v>60</v>
      </c>
      <c r="O575" s="33" t="s">
        <v>644</v>
      </c>
      <c r="P575" s="33" t="s">
        <v>62</v>
      </c>
      <c r="Q575" s="33" t="s">
        <v>112</v>
      </c>
      <c r="R575" s="33" t="s">
        <v>623</v>
      </c>
      <c r="S575" s="34">
        <v>10.730842</v>
      </c>
      <c r="T575" s="55">
        <v>-85.264185</v>
      </c>
      <c r="U575" s="33" t="s">
        <v>148</v>
      </c>
      <c r="V575" s="6" t="s">
        <v>169</v>
      </c>
      <c r="W575" s="5" t="s">
        <v>173</v>
      </c>
      <c r="X575" s="10" t="s">
        <v>645</v>
      </c>
      <c r="Y575" s="5" t="s">
        <v>72</v>
      </c>
      <c r="Z575" s="41"/>
      <c r="AA575" s="68">
        <v>10.0</v>
      </c>
      <c r="AB575" s="41"/>
      <c r="AC575" s="41"/>
      <c r="AD575" s="41"/>
      <c r="AE575" s="41"/>
      <c r="AF575" s="41"/>
      <c r="AG575" s="41"/>
      <c r="AH575" s="41" t="s">
        <v>626</v>
      </c>
      <c r="AI575" s="68">
        <v>-2250.0</v>
      </c>
      <c r="AJ575" s="68">
        <v>2014.0</v>
      </c>
      <c r="AK575" s="5" t="s">
        <v>73</v>
      </c>
      <c r="AL575" s="5" t="s">
        <v>76</v>
      </c>
      <c r="AM575" s="6" t="s">
        <v>132</v>
      </c>
      <c r="AN575" s="5" t="s">
        <v>72</v>
      </c>
      <c r="AO575" s="41"/>
      <c r="AP575" s="5" t="s">
        <v>102</v>
      </c>
      <c r="AQ575" s="41"/>
      <c r="AR575" s="41"/>
      <c r="AS575" s="41"/>
      <c r="AT575" s="5" t="s">
        <v>76</v>
      </c>
      <c r="AU575" s="33"/>
      <c r="AV575" s="33"/>
      <c r="AW575" s="33"/>
      <c r="AX575" s="33"/>
      <c r="AY575" s="33"/>
      <c r="AZ575" s="6" t="s">
        <v>76</v>
      </c>
      <c r="BA575" s="33"/>
      <c r="BB575" s="33">
        <f>VLOOKUP(O575,Eco_DEM_Data!$D$1:$AC$643,20,False)</f>
        <v>2220</v>
      </c>
      <c r="BC575" s="33">
        <f>VLOOKUP($O575,Eco_DEM_Data!$D$1:$AC$643,20,False)</f>
        <v>2220</v>
      </c>
      <c r="BD575" s="33">
        <f>VLOOKUP($O575,Eco_DEM_Data!$D$1:$AC$643,25,False)</f>
        <v>951</v>
      </c>
      <c r="BE575" s="33">
        <f>VLOOKUP($O575,Eco_DEM_Data!$D$1:$AC$643,22,False)</f>
        <v>22</v>
      </c>
      <c r="BF575" s="33">
        <f>VLOOKUP($O575,Eco_DEM_Data!$D$1:$AC$643,23,False)</f>
        <v>105</v>
      </c>
      <c r="BG575" s="33">
        <f>VLOOKUP($O575,Eco_DEM_Data!$D$1:$AC$643,21,False)</f>
        <v>6837</v>
      </c>
      <c r="BH575" s="33">
        <f>VLOOKUP($O575,Eco_DEM_Data!$D$1:$AC$643,26,False)</f>
        <v>690</v>
      </c>
      <c r="BI575" s="33" t="str">
        <f>VLOOKUP($O575,Eco_DEM_Data!$D$1:$AC$643,9,False)</f>
        <v>Costa Rican seasonal moist forests</v>
      </c>
      <c r="BJ575" s="33" t="str">
        <f>VLOOKUP($O575,Eco_DEM_Data!$D$1:$AC$643,11,False)</f>
        <v>Tropical &amp; Subtropical Moist Broadleaf Forests</v>
      </c>
    </row>
    <row r="576">
      <c r="A576" s="33" t="s">
        <v>526</v>
      </c>
      <c r="B576" s="33" t="s">
        <v>2259</v>
      </c>
      <c r="C576" s="70" t="e">
        <v>#N/A</v>
      </c>
      <c r="D576" s="33" t="s">
        <v>53</v>
      </c>
      <c r="E576" s="34">
        <v>2019.0</v>
      </c>
      <c r="F576" s="33" t="s">
        <v>527</v>
      </c>
      <c r="G576" s="33" t="s">
        <v>528</v>
      </c>
      <c r="H576" s="33" t="s">
        <v>529</v>
      </c>
      <c r="I576" s="33" t="s">
        <v>530</v>
      </c>
      <c r="J576" s="33" t="s">
        <v>531</v>
      </c>
      <c r="K576" s="34">
        <v>331.0</v>
      </c>
      <c r="L576" s="33"/>
      <c r="M576" s="6" t="s">
        <v>532</v>
      </c>
      <c r="N576" s="35" t="s">
        <v>60</v>
      </c>
      <c r="O576" s="33" t="s">
        <v>533</v>
      </c>
      <c r="P576" s="33" t="s">
        <v>62</v>
      </c>
      <c r="Q576" s="33" t="s">
        <v>187</v>
      </c>
      <c r="R576" s="33" t="s">
        <v>534</v>
      </c>
      <c r="S576" s="34">
        <v>17.824612</v>
      </c>
      <c r="T576" s="55">
        <v>-88.889705</v>
      </c>
      <c r="U576" s="33" t="s">
        <v>535</v>
      </c>
      <c r="V576" s="6" t="s">
        <v>66</v>
      </c>
      <c r="W576" s="41" t="s">
        <v>823</v>
      </c>
      <c r="X576" s="10" t="s">
        <v>72</v>
      </c>
      <c r="Y576" s="5" t="s">
        <v>72</v>
      </c>
      <c r="Z576" s="41"/>
      <c r="AA576" s="68">
        <v>4.0</v>
      </c>
      <c r="AB576" s="41"/>
      <c r="AC576" s="41"/>
      <c r="AD576" s="41"/>
      <c r="AE576" s="41"/>
      <c r="AF576" s="41"/>
      <c r="AG576" s="41"/>
      <c r="AH576" s="5" t="s">
        <v>72</v>
      </c>
      <c r="AI576" s="68">
        <v>225.0</v>
      </c>
      <c r="AJ576" s="68">
        <v>2014.0</v>
      </c>
      <c r="AK576" s="5" t="s">
        <v>153</v>
      </c>
      <c r="AL576" s="5" t="s">
        <v>72</v>
      </c>
      <c r="AM576" s="5" t="s">
        <v>72</v>
      </c>
      <c r="AN576" s="5" t="s">
        <v>72</v>
      </c>
      <c r="AO576" s="41"/>
      <c r="AP576" s="5" t="s">
        <v>75</v>
      </c>
      <c r="AQ576" s="41"/>
      <c r="AR576" s="41"/>
      <c r="AS576" s="41"/>
      <c r="AT576" s="5" t="s">
        <v>60</v>
      </c>
      <c r="AU576" s="33"/>
      <c r="AV576" s="33"/>
      <c r="AW576" s="33"/>
      <c r="AX576" s="33"/>
      <c r="AY576" s="33"/>
      <c r="AZ576" s="6" t="s">
        <v>76</v>
      </c>
      <c r="BA576" s="33"/>
      <c r="BB576" s="33">
        <f>VLOOKUP(O576,Eco_DEM_Data!$D$1:$AC$643,20,False)</f>
        <v>1512</v>
      </c>
      <c r="BC576" s="33">
        <f>VLOOKUP($O576,Eco_DEM_Data!$D$1:$AC$643,20,False)</f>
        <v>1512</v>
      </c>
      <c r="BD576" s="33">
        <f>VLOOKUP($O576,Eco_DEM_Data!$D$1:$AC$643,25,False)</f>
        <v>605</v>
      </c>
      <c r="BE576" s="33">
        <f>VLOOKUP($O576,Eco_DEM_Data!$D$1:$AC$643,22,False)</f>
        <v>38</v>
      </c>
      <c r="BF576" s="33">
        <f>VLOOKUP($O576,Eco_DEM_Data!$D$1:$AC$643,23,False)</f>
        <v>124</v>
      </c>
      <c r="BG576" s="33">
        <f>VLOOKUP($O576,Eco_DEM_Data!$D$1:$AC$643,21,False)</f>
        <v>5497</v>
      </c>
      <c r="BH576" s="33">
        <f>VLOOKUP($O576,Eco_DEM_Data!$D$1:$AC$643,26,False)</f>
        <v>46</v>
      </c>
      <c r="BI576" s="33" t="str">
        <f>VLOOKUP($O576,Eco_DEM_Data!$D$1:$AC$643,9,False)</f>
        <v>Petén-Veracruz moist forests</v>
      </c>
      <c r="BJ576" s="33" t="str">
        <f>VLOOKUP($O576,Eco_DEM_Data!$D$1:$AC$643,11,False)</f>
        <v>Tropical &amp; Subtropical Moist Broadleaf Forests</v>
      </c>
    </row>
    <row r="577">
      <c r="A577" s="33" t="s">
        <v>526</v>
      </c>
      <c r="B577" s="33" t="s">
        <v>2259</v>
      </c>
      <c r="C577" s="70" t="e">
        <v>#N/A</v>
      </c>
      <c r="D577" s="33" t="s">
        <v>53</v>
      </c>
      <c r="E577" s="34">
        <v>2019.0</v>
      </c>
      <c r="F577" s="33" t="s">
        <v>527</v>
      </c>
      <c r="G577" s="33" t="s">
        <v>528</v>
      </c>
      <c r="H577" s="33" t="s">
        <v>529</v>
      </c>
      <c r="I577" s="33" t="s">
        <v>530</v>
      </c>
      <c r="J577" s="33" t="s">
        <v>531</v>
      </c>
      <c r="K577" s="34">
        <v>331.0</v>
      </c>
      <c r="L577" s="33"/>
      <c r="M577" s="6" t="s">
        <v>532</v>
      </c>
      <c r="N577" s="35" t="s">
        <v>60</v>
      </c>
      <c r="O577" s="33" t="s">
        <v>536</v>
      </c>
      <c r="P577" s="33" t="s">
        <v>62</v>
      </c>
      <c r="Q577" s="33" t="s">
        <v>187</v>
      </c>
      <c r="R577" s="33" t="s">
        <v>534</v>
      </c>
      <c r="S577" s="34">
        <v>17.824612</v>
      </c>
      <c r="T577" s="55">
        <v>-88.889705</v>
      </c>
      <c r="U577" s="33" t="s">
        <v>535</v>
      </c>
      <c r="V577" s="6" t="s">
        <v>523</v>
      </c>
      <c r="W577" s="33" t="s">
        <v>156</v>
      </c>
      <c r="X577" s="3" t="s">
        <v>72</v>
      </c>
      <c r="Y577" s="6" t="s">
        <v>72</v>
      </c>
      <c r="Z577" s="33"/>
      <c r="AA577" s="34">
        <v>4.0</v>
      </c>
      <c r="AB577" s="33"/>
      <c r="AC577" s="33"/>
      <c r="AD577" s="33"/>
      <c r="AE577" s="33"/>
      <c r="AF577" s="33"/>
      <c r="AG577" s="33"/>
      <c r="AH577" s="6" t="s">
        <v>72</v>
      </c>
      <c r="AI577" s="34">
        <v>225.0</v>
      </c>
      <c r="AJ577" s="34">
        <v>2014.0</v>
      </c>
      <c r="AK577" s="6" t="s">
        <v>153</v>
      </c>
      <c r="AL577" s="6" t="s">
        <v>72</v>
      </c>
      <c r="AM577" s="6" t="s">
        <v>72</v>
      </c>
      <c r="AN577" s="6" t="s">
        <v>72</v>
      </c>
      <c r="AO577" s="33"/>
      <c r="AP577" s="6" t="s">
        <v>75</v>
      </c>
      <c r="AQ577" s="33"/>
      <c r="AR577" s="33"/>
      <c r="AS577" s="33"/>
      <c r="AT577" s="6" t="s">
        <v>76</v>
      </c>
      <c r="AU577" s="33"/>
      <c r="AV577" s="33"/>
      <c r="AW577" s="33"/>
      <c r="AX577" s="33"/>
      <c r="AY577" s="33"/>
      <c r="AZ577" s="6" t="s">
        <v>76</v>
      </c>
      <c r="BA577" s="33"/>
      <c r="BB577" s="33">
        <f>VLOOKUP(O577,Eco_DEM_Data!$D$1:$AC$643,20,False)</f>
        <v>1512</v>
      </c>
      <c r="BC577" s="33">
        <f>VLOOKUP($O577,Eco_DEM_Data!$D$1:$AC$643,20,False)</f>
        <v>1512</v>
      </c>
      <c r="BD577" s="33">
        <f>VLOOKUP($O577,Eco_DEM_Data!$D$1:$AC$643,25,False)</f>
        <v>605</v>
      </c>
      <c r="BE577" s="33">
        <f>VLOOKUP($O577,Eco_DEM_Data!$D$1:$AC$643,22,False)</f>
        <v>38</v>
      </c>
      <c r="BF577" s="33">
        <f>VLOOKUP($O577,Eco_DEM_Data!$D$1:$AC$643,23,False)</f>
        <v>124</v>
      </c>
      <c r="BG577" s="33">
        <f>VLOOKUP($O577,Eco_DEM_Data!$D$1:$AC$643,21,False)</f>
        <v>5497</v>
      </c>
      <c r="BH577" s="33">
        <f>VLOOKUP($O577,Eco_DEM_Data!$D$1:$AC$643,26,False)</f>
        <v>46</v>
      </c>
      <c r="BI577" s="33" t="str">
        <f>VLOOKUP($O577,Eco_DEM_Data!$D$1:$AC$643,9,False)</f>
        <v>Petén-Veracruz moist forests</v>
      </c>
      <c r="BJ577" s="33" t="str">
        <f>VLOOKUP($O577,Eco_DEM_Data!$D$1:$AC$643,11,False)</f>
        <v>Tropical &amp; Subtropical Moist Broadleaf Forests</v>
      </c>
    </row>
    <row r="578">
      <c r="A578" s="33" t="s">
        <v>526</v>
      </c>
      <c r="B578" s="33" t="s">
        <v>2259</v>
      </c>
      <c r="C578" s="70" t="e">
        <v>#N/A</v>
      </c>
      <c r="D578" s="33" t="s">
        <v>53</v>
      </c>
      <c r="E578" s="34">
        <v>2019.0</v>
      </c>
      <c r="F578" s="33" t="s">
        <v>527</v>
      </c>
      <c r="G578" s="33" t="s">
        <v>528</v>
      </c>
      <c r="H578" s="33" t="s">
        <v>529</v>
      </c>
      <c r="I578" s="33" t="s">
        <v>530</v>
      </c>
      <c r="J578" s="33" t="s">
        <v>531</v>
      </c>
      <c r="K578" s="34">
        <v>331.0</v>
      </c>
      <c r="L578" s="33"/>
      <c r="M578" s="6" t="s">
        <v>532</v>
      </c>
      <c r="N578" s="35" t="s">
        <v>60</v>
      </c>
      <c r="O578" s="33" t="s">
        <v>537</v>
      </c>
      <c r="P578" s="33" t="s">
        <v>62</v>
      </c>
      <c r="Q578" s="33" t="s">
        <v>187</v>
      </c>
      <c r="R578" s="33" t="s">
        <v>534</v>
      </c>
      <c r="S578" s="34">
        <v>17.824612</v>
      </c>
      <c r="T578" s="55">
        <v>-88.889705</v>
      </c>
      <c r="U578" s="33" t="s">
        <v>535</v>
      </c>
      <c r="V578" s="38" t="s">
        <v>194</v>
      </c>
      <c r="W578" s="33" t="s">
        <v>173</v>
      </c>
      <c r="X578" s="1" t="s">
        <v>286</v>
      </c>
      <c r="Y578" s="33" t="s">
        <v>70</v>
      </c>
      <c r="Z578" s="33"/>
      <c r="AA578" s="34">
        <v>4.0</v>
      </c>
      <c r="AB578" s="33"/>
      <c r="AC578" s="33"/>
      <c r="AD578" s="33"/>
      <c r="AE578" s="33"/>
      <c r="AF578" s="33"/>
      <c r="AG578" s="33"/>
      <c r="AH578" s="6" t="s">
        <v>72</v>
      </c>
      <c r="AI578" s="34">
        <v>225.0</v>
      </c>
      <c r="AJ578" s="34">
        <v>2014.0</v>
      </c>
      <c r="AK578" s="6" t="s">
        <v>153</v>
      </c>
      <c r="AL578" s="6" t="s">
        <v>72</v>
      </c>
      <c r="AM578" s="6" t="s">
        <v>72</v>
      </c>
      <c r="AN578" s="6" t="s">
        <v>72</v>
      </c>
      <c r="AO578" s="33"/>
      <c r="AP578" s="6" t="s">
        <v>75</v>
      </c>
      <c r="AQ578" s="33"/>
      <c r="AR578" s="33"/>
      <c r="AS578" s="33"/>
      <c r="AT578" s="6" t="s">
        <v>76</v>
      </c>
      <c r="AU578" s="33"/>
      <c r="AV578" s="33"/>
      <c r="AW578" s="33"/>
      <c r="AX578" s="33"/>
      <c r="AY578" s="33"/>
      <c r="AZ578" s="6" t="s">
        <v>76</v>
      </c>
      <c r="BA578" s="33"/>
      <c r="BB578" s="33">
        <f>VLOOKUP(O578,Eco_DEM_Data!$D$1:$AC$643,20,False)</f>
        <v>1512</v>
      </c>
      <c r="BC578" s="33">
        <f>VLOOKUP($O578,Eco_DEM_Data!$D$1:$AC$643,20,False)</f>
        <v>1512</v>
      </c>
      <c r="BD578" s="33">
        <f>VLOOKUP($O578,Eco_DEM_Data!$D$1:$AC$643,25,False)</f>
        <v>605</v>
      </c>
      <c r="BE578" s="33">
        <f>VLOOKUP($O578,Eco_DEM_Data!$D$1:$AC$643,22,False)</f>
        <v>38</v>
      </c>
      <c r="BF578" s="33">
        <f>VLOOKUP($O578,Eco_DEM_Data!$D$1:$AC$643,23,False)</f>
        <v>124</v>
      </c>
      <c r="BG578" s="33">
        <f>VLOOKUP($O578,Eco_DEM_Data!$D$1:$AC$643,21,False)</f>
        <v>5497</v>
      </c>
      <c r="BH578" s="33">
        <f>VLOOKUP($O578,Eco_DEM_Data!$D$1:$AC$643,26,False)</f>
        <v>46</v>
      </c>
      <c r="BI578" s="33" t="str">
        <f>VLOOKUP($O578,Eco_DEM_Data!$D$1:$AC$643,9,False)</f>
        <v>Petén-Veracruz moist forests</v>
      </c>
      <c r="BJ578" s="33" t="str">
        <f>VLOOKUP($O578,Eco_DEM_Data!$D$1:$AC$643,11,False)</f>
        <v>Tropical &amp; Subtropical Moist Broadleaf Forests</v>
      </c>
    </row>
    <row r="579">
      <c r="A579" s="33" t="s">
        <v>526</v>
      </c>
      <c r="B579" s="33" t="s">
        <v>2259</v>
      </c>
      <c r="C579" s="70" t="e">
        <v>#N/A</v>
      </c>
      <c r="D579" s="33" t="s">
        <v>53</v>
      </c>
      <c r="E579" s="34">
        <v>2019.0</v>
      </c>
      <c r="F579" s="33" t="s">
        <v>527</v>
      </c>
      <c r="G579" s="33" t="s">
        <v>528</v>
      </c>
      <c r="H579" s="33" t="s">
        <v>529</v>
      </c>
      <c r="I579" s="33" t="s">
        <v>530</v>
      </c>
      <c r="J579" s="33" t="s">
        <v>531</v>
      </c>
      <c r="K579" s="34">
        <v>331.0</v>
      </c>
      <c r="L579" s="33"/>
      <c r="M579" s="6" t="s">
        <v>532</v>
      </c>
      <c r="N579" s="35" t="s">
        <v>60</v>
      </c>
      <c r="O579" s="33" t="s">
        <v>538</v>
      </c>
      <c r="P579" s="33" t="s">
        <v>62</v>
      </c>
      <c r="Q579" s="33" t="s">
        <v>187</v>
      </c>
      <c r="R579" s="33" t="s">
        <v>534</v>
      </c>
      <c r="S579" s="34">
        <v>17.824612</v>
      </c>
      <c r="T579" s="55">
        <v>-88.889705</v>
      </c>
      <c r="U579" s="33" t="s">
        <v>535</v>
      </c>
      <c r="V579" s="6" t="s">
        <v>189</v>
      </c>
      <c r="W579" s="15" t="s">
        <v>173</v>
      </c>
      <c r="X579" s="1" t="s">
        <v>284</v>
      </c>
      <c r="Y579" s="33" t="s">
        <v>70</v>
      </c>
      <c r="Z579" s="33"/>
      <c r="AA579" s="34">
        <v>4.0</v>
      </c>
      <c r="AB579" s="33"/>
      <c r="AC579" s="33"/>
      <c r="AD579" s="33"/>
      <c r="AE579" s="33"/>
      <c r="AF579" s="33"/>
      <c r="AG579" s="33"/>
      <c r="AH579" s="6" t="s">
        <v>72</v>
      </c>
      <c r="AI579" s="34">
        <v>225.0</v>
      </c>
      <c r="AJ579" s="34">
        <v>2014.0</v>
      </c>
      <c r="AK579" s="6" t="s">
        <v>153</v>
      </c>
      <c r="AL579" s="6" t="s">
        <v>72</v>
      </c>
      <c r="AM579" s="6" t="s">
        <v>72</v>
      </c>
      <c r="AN579" s="6" t="s">
        <v>72</v>
      </c>
      <c r="AO579" s="33"/>
      <c r="AP579" s="6" t="s">
        <v>75</v>
      </c>
      <c r="AQ579" s="33"/>
      <c r="AR579" s="33"/>
      <c r="AS579" s="33"/>
      <c r="AT579" s="6" t="s">
        <v>76</v>
      </c>
      <c r="AU579" s="33"/>
      <c r="AV579" s="33"/>
      <c r="AW579" s="33"/>
      <c r="AX579" s="33"/>
      <c r="AY579" s="33"/>
      <c r="AZ579" s="6" t="s">
        <v>76</v>
      </c>
      <c r="BA579" s="33"/>
      <c r="BB579" s="33">
        <f>VLOOKUP(O579,Eco_DEM_Data!$D$1:$AC$643,20,False)</f>
        <v>1512</v>
      </c>
      <c r="BC579" s="33">
        <f>VLOOKUP($O579,Eco_DEM_Data!$D$1:$AC$643,20,False)</f>
        <v>1512</v>
      </c>
      <c r="BD579" s="33">
        <f>VLOOKUP($O579,Eco_DEM_Data!$D$1:$AC$643,25,False)</f>
        <v>605</v>
      </c>
      <c r="BE579" s="33">
        <f>VLOOKUP($O579,Eco_DEM_Data!$D$1:$AC$643,22,False)</f>
        <v>38</v>
      </c>
      <c r="BF579" s="33">
        <f>VLOOKUP($O579,Eco_DEM_Data!$D$1:$AC$643,23,False)</f>
        <v>124</v>
      </c>
      <c r="BG579" s="33">
        <f>VLOOKUP($O579,Eco_DEM_Data!$D$1:$AC$643,21,False)</f>
        <v>5497</v>
      </c>
      <c r="BH579" s="33">
        <f>VLOOKUP($O579,Eco_DEM_Data!$D$1:$AC$643,26,False)</f>
        <v>46</v>
      </c>
      <c r="BI579" s="33" t="str">
        <f>VLOOKUP($O579,Eco_DEM_Data!$D$1:$AC$643,9,False)</f>
        <v>Petén-Veracruz moist forests</v>
      </c>
      <c r="BJ579" s="33" t="str">
        <f>VLOOKUP($O579,Eco_DEM_Data!$D$1:$AC$643,11,False)</f>
        <v>Tropical &amp; Subtropical Moist Broadleaf Forests</v>
      </c>
    </row>
    <row r="580">
      <c r="A580" s="33" t="s">
        <v>526</v>
      </c>
      <c r="B580" s="33" t="s">
        <v>2259</v>
      </c>
      <c r="C580" s="70" t="e">
        <v>#N/A</v>
      </c>
      <c r="D580" s="33" t="s">
        <v>53</v>
      </c>
      <c r="E580" s="34">
        <v>2019.0</v>
      </c>
      <c r="F580" s="33" t="s">
        <v>527</v>
      </c>
      <c r="G580" s="33" t="s">
        <v>528</v>
      </c>
      <c r="H580" s="33" t="s">
        <v>529</v>
      </c>
      <c r="I580" s="33" t="s">
        <v>530</v>
      </c>
      <c r="J580" s="33" t="s">
        <v>531</v>
      </c>
      <c r="K580" s="34">
        <v>331.0</v>
      </c>
      <c r="L580" s="33"/>
      <c r="M580" s="6" t="s">
        <v>532</v>
      </c>
      <c r="N580" s="35" t="s">
        <v>60</v>
      </c>
      <c r="O580" s="33" t="s">
        <v>539</v>
      </c>
      <c r="P580" s="33" t="s">
        <v>62</v>
      </c>
      <c r="Q580" s="33" t="s">
        <v>187</v>
      </c>
      <c r="R580" s="33" t="s">
        <v>534</v>
      </c>
      <c r="S580" s="34">
        <v>17.824612</v>
      </c>
      <c r="T580" s="55">
        <v>-88.889705</v>
      </c>
      <c r="U580" s="33" t="s">
        <v>535</v>
      </c>
      <c r="V580" s="6" t="s">
        <v>169</v>
      </c>
      <c r="W580" s="6" t="s">
        <v>540</v>
      </c>
      <c r="X580" s="1" t="s">
        <v>541</v>
      </c>
      <c r="Y580" s="33" t="s">
        <v>70</v>
      </c>
      <c r="Z580" s="33"/>
      <c r="AA580" s="34">
        <v>4.0</v>
      </c>
      <c r="AB580" s="33"/>
      <c r="AC580" s="33"/>
      <c r="AD580" s="33"/>
      <c r="AE580" s="33"/>
      <c r="AF580" s="33"/>
      <c r="AG580" s="33"/>
      <c r="AH580" s="6" t="s">
        <v>72</v>
      </c>
      <c r="AI580" s="34">
        <v>225.0</v>
      </c>
      <c r="AJ580" s="34">
        <v>2014.0</v>
      </c>
      <c r="AK580" s="6" t="s">
        <v>153</v>
      </c>
      <c r="AL580" s="6" t="s">
        <v>72</v>
      </c>
      <c r="AM580" s="6" t="s">
        <v>72</v>
      </c>
      <c r="AN580" s="6" t="s">
        <v>72</v>
      </c>
      <c r="AO580" s="33"/>
      <c r="AP580" s="6" t="s">
        <v>75</v>
      </c>
      <c r="AQ580" s="33"/>
      <c r="AR580" s="33"/>
      <c r="AS580" s="33"/>
      <c r="AT580" s="6" t="s">
        <v>76</v>
      </c>
      <c r="AU580" s="33"/>
      <c r="AV580" s="33"/>
      <c r="AW580" s="33"/>
      <c r="AX580" s="33"/>
      <c r="AY580" s="33"/>
      <c r="AZ580" s="6" t="s">
        <v>76</v>
      </c>
      <c r="BA580" s="33"/>
      <c r="BB580" s="33">
        <f>VLOOKUP(O580,Eco_DEM_Data!$D$1:$AC$643,20,False)</f>
        <v>1512</v>
      </c>
      <c r="BC580" s="33">
        <f>VLOOKUP($O580,Eco_DEM_Data!$D$1:$AC$643,20,False)</f>
        <v>1512</v>
      </c>
      <c r="BD580" s="33">
        <f>VLOOKUP($O580,Eco_DEM_Data!$D$1:$AC$643,25,False)</f>
        <v>605</v>
      </c>
      <c r="BE580" s="33">
        <f>VLOOKUP($O580,Eco_DEM_Data!$D$1:$AC$643,22,False)</f>
        <v>38</v>
      </c>
      <c r="BF580" s="33">
        <f>VLOOKUP($O580,Eco_DEM_Data!$D$1:$AC$643,23,False)</f>
        <v>124</v>
      </c>
      <c r="BG580" s="33">
        <f>VLOOKUP($O580,Eco_DEM_Data!$D$1:$AC$643,21,False)</f>
        <v>5497</v>
      </c>
      <c r="BH580" s="33">
        <f>VLOOKUP($O580,Eco_DEM_Data!$D$1:$AC$643,26,False)</f>
        <v>46</v>
      </c>
      <c r="BI580" s="33" t="str">
        <f>VLOOKUP($O580,Eco_DEM_Data!$D$1:$AC$643,9,False)</f>
        <v>Petén-Veracruz moist forests</v>
      </c>
      <c r="BJ580" s="33" t="str">
        <f>VLOOKUP($O580,Eco_DEM_Data!$D$1:$AC$643,11,False)</f>
        <v>Tropical &amp; Subtropical Moist Broadleaf Forests</v>
      </c>
    </row>
    <row r="581">
      <c r="A581" s="33" t="s">
        <v>526</v>
      </c>
      <c r="B581" s="33" t="s">
        <v>2259</v>
      </c>
      <c r="C581" s="70" t="e">
        <v>#N/A</v>
      </c>
      <c r="D581" s="33" t="s">
        <v>53</v>
      </c>
      <c r="E581" s="34">
        <v>2019.0</v>
      </c>
      <c r="F581" s="33" t="s">
        <v>527</v>
      </c>
      <c r="G581" s="33" t="s">
        <v>528</v>
      </c>
      <c r="H581" s="33" t="s">
        <v>529</v>
      </c>
      <c r="I581" s="33" t="s">
        <v>530</v>
      </c>
      <c r="J581" s="33" t="s">
        <v>531</v>
      </c>
      <c r="K581" s="34">
        <v>331.0</v>
      </c>
      <c r="L581" s="33"/>
      <c r="M581" s="6" t="s">
        <v>532</v>
      </c>
      <c r="N581" s="35" t="s">
        <v>60</v>
      </c>
      <c r="O581" s="33" t="s">
        <v>542</v>
      </c>
      <c r="P581" s="33" t="s">
        <v>62</v>
      </c>
      <c r="Q581" s="33" t="s">
        <v>187</v>
      </c>
      <c r="R581" s="33" t="s">
        <v>534</v>
      </c>
      <c r="S581" s="34">
        <v>17.824612</v>
      </c>
      <c r="T581" s="55">
        <v>-88.889705</v>
      </c>
      <c r="U581" s="33" t="s">
        <v>535</v>
      </c>
      <c r="V581" s="38" t="s">
        <v>382</v>
      </c>
      <c r="W581" s="33" t="s">
        <v>173</v>
      </c>
      <c r="X581" s="1" t="s">
        <v>543</v>
      </c>
      <c r="Y581" s="33" t="s">
        <v>544</v>
      </c>
      <c r="Z581" s="33"/>
      <c r="AA581" s="34">
        <v>4.0</v>
      </c>
      <c r="AB581" s="33"/>
      <c r="AC581" s="33"/>
      <c r="AD581" s="33"/>
      <c r="AE581" s="33"/>
      <c r="AF581" s="33"/>
      <c r="AG581" s="33"/>
      <c r="AH581" s="6" t="s">
        <v>72</v>
      </c>
      <c r="AI581" s="34">
        <v>225.0</v>
      </c>
      <c r="AJ581" s="34">
        <v>2014.0</v>
      </c>
      <c r="AK581" s="6" t="s">
        <v>153</v>
      </c>
      <c r="AL581" s="6" t="s">
        <v>72</v>
      </c>
      <c r="AM581" s="6" t="s">
        <v>72</v>
      </c>
      <c r="AN581" s="6" t="s">
        <v>72</v>
      </c>
      <c r="AO581" s="33"/>
      <c r="AP581" s="6" t="s">
        <v>75</v>
      </c>
      <c r="AQ581" s="33"/>
      <c r="AR581" s="33"/>
      <c r="AS581" s="33"/>
      <c r="AT581" s="6" t="s">
        <v>76</v>
      </c>
      <c r="AU581" s="33"/>
      <c r="AV581" s="33"/>
      <c r="AW581" s="33"/>
      <c r="AX581" s="33"/>
      <c r="AY581" s="33"/>
      <c r="AZ581" s="6" t="s">
        <v>76</v>
      </c>
      <c r="BA581" s="33"/>
      <c r="BB581" s="33">
        <f>VLOOKUP(O581,Eco_DEM_Data!$D$1:$AC$643,20,False)</f>
        <v>1512</v>
      </c>
      <c r="BC581" s="33">
        <f>VLOOKUP($O581,Eco_DEM_Data!$D$1:$AC$643,20,False)</f>
        <v>1512</v>
      </c>
      <c r="BD581" s="33">
        <f>VLOOKUP($O581,Eco_DEM_Data!$D$1:$AC$643,25,False)</f>
        <v>605</v>
      </c>
      <c r="BE581" s="33">
        <f>VLOOKUP($O581,Eco_DEM_Data!$D$1:$AC$643,22,False)</f>
        <v>38</v>
      </c>
      <c r="BF581" s="33">
        <f>VLOOKUP($O581,Eco_DEM_Data!$D$1:$AC$643,23,False)</f>
        <v>124</v>
      </c>
      <c r="BG581" s="33">
        <f>VLOOKUP($O581,Eco_DEM_Data!$D$1:$AC$643,21,False)</f>
        <v>5497</v>
      </c>
      <c r="BH581" s="33">
        <f>VLOOKUP($O581,Eco_DEM_Data!$D$1:$AC$643,26,False)</f>
        <v>46</v>
      </c>
      <c r="BI581" s="33" t="str">
        <f>VLOOKUP($O581,Eco_DEM_Data!$D$1:$AC$643,9,False)</f>
        <v>Petén-Veracruz moist forests</v>
      </c>
      <c r="BJ581" s="33" t="str">
        <f>VLOOKUP($O581,Eco_DEM_Data!$D$1:$AC$643,11,False)</f>
        <v>Tropical &amp; Subtropical Moist Broadleaf Forests</v>
      </c>
    </row>
    <row r="582">
      <c r="A582" s="33" t="s">
        <v>526</v>
      </c>
      <c r="B582" s="33" t="s">
        <v>2259</v>
      </c>
      <c r="C582" s="70" t="e">
        <v>#N/A</v>
      </c>
      <c r="D582" s="33" t="s">
        <v>53</v>
      </c>
      <c r="E582" s="34">
        <v>2019.0</v>
      </c>
      <c r="F582" s="33" t="s">
        <v>527</v>
      </c>
      <c r="G582" s="33" t="s">
        <v>528</v>
      </c>
      <c r="H582" s="33" t="s">
        <v>529</v>
      </c>
      <c r="I582" s="33" t="s">
        <v>530</v>
      </c>
      <c r="J582" s="33" t="s">
        <v>531</v>
      </c>
      <c r="K582" s="34">
        <v>331.0</v>
      </c>
      <c r="L582" s="33"/>
      <c r="M582" s="6" t="s">
        <v>532</v>
      </c>
      <c r="N582" s="35" t="s">
        <v>60</v>
      </c>
      <c r="O582" s="33" t="s">
        <v>545</v>
      </c>
      <c r="P582" s="33" t="s">
        <v>62</v>
      </c>
      <c r="Q582" s="33" t="s">
        <v>187</v>
      </c>
      <c r="R582" s="33" t="s">
        <v>534</v>
      </c>
      <c r="S582" s="34">
        <v>17.824612</v>
      </c>
      <c r="T582" s="55">
        <v>-88.889705</v>
      </c>
      <c r="U582" s="33" t="s">
        <v>535</v>
      </c>
      <c r="V582" s="6" t="s">
        <v>135</v>
      </c>
      <c r="W582" s="41" t="s">
        <v>823</v>
      </c>
      <c r="X582" s="7" t="s">
        <v>547</v>
      </c>
      <c r="Y582" s="6" t="s">
        <v>99</v>
      </c>
      <c r="Z582" s="41"/>
      <c r="AA582" s="68">
        <v>4.0</v>
      </c>
      <c r="AB582" s="41"/>
      <c r="AC582" s="41"/>
      <c r="AD582" s="41"/>
      <c r="AE582" s="41"/>
      <c r="AF582" s="41"/>
      <c r="AG582" s="41"/>
      <c r="AH582" s="5" t="s">
        <v>72</v>
      </c>
      <c r="AI582" s="68">
        <v>225.0</v>
      </c>
      <c r="AJ582" s="68">
        <v>2014.0</v>
      </c>
      <c r="AK582" s="5" t="s">
        <v>153</v>
      </c>
      <c r="AL582" s="5" t="s">
        <v>72</v>
      </c>
      <c r="AM582" s="5" t="s">
        <v>72</v>
      </c>
      <c r="AN582" s="5" t="s">
        <v>72</v>
      </c>
      <c r="AO582" s="41"/>
      <c r="AP582" s="5" t="s">
        <v>75</v>
      </c>
      <c r="AQ582" s="41"/>
      <c r="AR582" s="41"/>
      <c r="AS582" s="41"/>
      <c r="AT582" s="6" t="s">
        <v>76</v>
      </c>
      <c r="AU582" s="33"/>
      <c r="AV582" s="33"/>
      <c r="AW582" s="33"/>
      <c r="AX582" s="33"/>
      <c r="AY582" s="33"/>
      <c r="AZ582" s="6" t="s">
        <v>76</v>
      </c>
      <c r="BA582" s="33"/>
      <c r="BB582" s="33">
        <f>VLOOKUP(O582,Eco_DEM_Data!$D$1:$AC$643,20,False)</f>
        <v>1512</v>
      </c>
      <c r="BC582" s="33">
        <f>VLOOKUP($O582,Eco_DEM_Data!$D$1:$AC$643,20,False)</f>
        <v>1512</v>
      </c>
      <c r="BD582" s="33">
        <f>VLOOKUP($O582,Eco_DEM_Data!$D$1:$AC$643,25,False)</f>
        <v>605</v>
      </c>
      <c r="BE582" s="33">
        <f>VLOOKUP($O582,Eco_DEM_Data!$D$1:$AC$643,22,False)</f>
        <v>38</v>
      </c>
      <c r="BF582" s="33">
        <f>VLOOKUP($O582,Eco_DEM_Data!$D$1:$AC$643,23,False)</f>
        <v>124</v>
      </c>
      <c r="BG582" s="33">
        <f>VLOOKUP($O582,Eco_DEM_Data!$D$1:$AC$643,21,False)</f>
        <v>5497</v>
      </c>
      <c r="BH582" s="33">
        <f>VLOOKUP($O582,Eco_DEM_Data!$D$1:$AC$643,26,False)</f>
        <v>46</v>
      </c>
      <c r="BI582" s="33" t="str">
        <f>VLOOKUP($O582,Eco_DEM_Data!$D$1:$AC$643,9,False)</f>
        <v>Petén-Veracruz moist forests</v>
      </c>
      <c r="BJ582" s="33" t="str">
        <f>VLOOKUP($O582,Eco_DEM_Data!$D$1:$AC$643,11,False)</f>
        <v>Tropical &amp; Subtropical Moist Broadleaf Forests</v>
      </c>
    </row>
    <row r="583">
      <c r="A583" s="33" t="s">
        <v>1474</v>
      </c>
      <c r="B583" s="33" t="s">
        <v>2259</v>
      </c>
      <c r="C583" s="70" t="e">
        <v>#N/A</v>
      </c>
      <c r="D583" s="33" t="s">
        <v>53</v>
      </c>
      <c r="E583" s="34">
        <v>2019.0</v>
      </c>
      <c r="F583" s="33" t="s">
        <v>1475</v>
      </c>
      <c r="G583" s="33" t="s">
        <v>1476</v>
      </c>
      <c r="H583" s="33" t="s">
        <v>1477</v>
      </c>
      <c r="I583" s="33" t="s">
        <v>1478</v>
      </c>
      <c r="J583" s="33" t="s">
        <v>1479</v>
      </c>
      <c r="K583" s="34">
        <v>502.0</v>
      </c>
      <c r="L583" s="33" t="s">
        <v>1480</v>
      </c>
      <c r="M583" s="6" t="s">
        <v>1481</v>
      </c>
      <c r="N583" s="35" t="s">
        <v>60</v>
      </c>
      <c r="O583" s="33" t="s">
        <v>1482</v>
      </c>
      <c r="P583" s="33" t="s">
        <v>62</v>
      </c>
      <c r="Q583" s="33" t="s">
        <v>187</v>
      </c>
      <c r="R583" s="33" t="s">
        <v>1483</v>
      </c>
      <c r="S583" s="34">
        <v>17.841587</v>
      </c>
      <c r="T583" s="55">
        <v>-89.018687</v>
      </c>
      <c r="U583" s="33" t="s">
        <v>1484</v>
      </c>
      <c r="V583" s="6" t="s">
        <v>80</v>
      </c>
      <c r="W583" s="33" t="s">
        <v>156</v>
      </c>
      <c r="X583" s="3" t="s">
        <v>72</v>
      </c>
      <c r="Y583" s="6" t="s">
        <v>72</v>
      </c>
      <c r="Z583" s="33"/>
      <c r="AA583" s="34">
        <v>5.0</v>
      </c>
      <c r="AB583" s="33"/>
      <c r="AC583" s="33"/>
      <c r="AD583" s="33"/>
      <c r="AE583" s="33"/>
      <c r="AF583" s="33"/>
      <c r="AG583" s="33"/>
      <c r="AH583" s="33" t="s">
        <v>399</v>
      </c>
      <c r="AI583" s="34">
        <v>-1700.0</v>
      </c>
      <c r="AJ583" s="34">
        <v>1950.0</v>
      </c>
      <c r="AK583" s="6" t="s">
        <v>100</v>
      </c>
      <c r="AL583" s="6" t="s">
        <v>76</v>
      </c>
      <c r="AM583" s="6" t="s">
        <v>72</v>
      </c>
      <c r="AN583" s="6" t="s">
        <v>72</v>
      </c>
      <c r="AO583" s="33"/>
      <c r="AP583" s="6" t="s">
        <v>75</v>
      </c>
      <c r="AQ583" s="33"/>
      <c r="AR583" s="33"/>
      <c r="AS583" s="33"/>
      <c r="AT583" s="6" t="s">
        <v>76</v>
      </c>
      <c r="AU583" s="33"/>
      <c r="AV583" s="33"/>
      <c r="AW583" s="33"/>
      <c r="AX583" s="33"/>
      <c r="AY583" s="33"/>
      <c r="AZ583" s="6" t="s">
        <v>76</v>
      </c>
      <c r="BA583" s="33"/>
      <c r="BB583" s="33">
        <f>VLOOKUP(O583,Eco_DEM_Data!$D$1:$AC$643,20,False)</f>
        <v>1441</v>
      </c>
      <c r="BC583" s="33">
        <f>VLOOKUP($O583,Eco_DEM_Data!$D$1:$AC$643,20,False)</f>
        <v>1441</v>
      </c>
      <c r="BD583" s="33">
        <f>VLOOKUP($O583,Eco_DEM_Data!$D$1:$AC$643,25,False)</f>
        <v>575</v>
      </c>
      <c r="BE583" s="33">
        <f>VLOOKUP($O583,Eco_DEM_Data!$D$1:$AC$643,22,False)</f>
        <v>35</v>
      </c>
      <c r="BF583" s="33">
        <f>VLOOKUP($O583,Eco_DEM_Data!$D$1:$AC$643,23,False)</f>
        <v>118</v>
      </c>
      <c r="BG583" s="33">
        <f>VLOOKUP($O583,Eco_DEM_Data!$D$1:$AC$643,21,False)</f>
        <v>5597</v>
      </c>
      <c r="BH583" s="33">
        <f>VLOOKUP($O583,Eco_DEM_Data!$D$1:$AC$643,26,False)</f>
        <v>150</v>
      </c>
      <c r="BI583" s="33" t="str">
        <f>VLOOKUP($O583,Eco_DEM_Data!$D$1:$AC$643,9,False)</f>
        <v>Petén-Veracruz moist forests</v>
      </c>
      <c r="BJ583" s="33" t="str">
        <f>VLOOKUP($O583,Eco_DEM_Data!$D$1:$AC$643,11,False)</f>
        <v>Tropical &amp; Subtropical Moist Broadleaf Forests</v>
      </c>
    </row>
    <row r="584">
      <c r="A584" s="33" t="s">
        <v>1474</v>
      </c>
      <c r="B584" s="33" t="s">
        <v>2259</v>
      </c>
      <c r="C584" s="70" t="e">
        <v>#N/A</v>
      </c>
      <c r="D584" s="33" t="s">
        <v>53</v>
      </c>
      <c r="E584" s="34">
        <v>2019.0</v>
      </c>
      <c r="F584" s="33" t="s">
        <v>1475</v>
      </c>
      <c r="G584" s="33" t="s">
        <v>1476</v>
      </c>
      <c r="H584" s="33" t="s">
        <v>1477</v>
      </c>
      <c r="I584" s="33" t="s">
        <v>1478</v>
      </c>
      <c r="J584" s="33" t="s">
        <v>1479</v>
      </c>
      <c r="K584" s="34">
        <v>502.0</v>
      </c>
      <c r="L584" s="33" t="s">
        <v>1480</v>
      </c>
      <c r="M584" s="6" t="s">
        <v>1481</v>
      </c>
      <c r="N584" s="35" t="s">
        <v>60</v>
      </c>
      <c r="O584" s="33" t="s">
        <v>1485</v>
      </c>
      <c r="P584" s="33" t="s">
        <v>62</v>
      </c>
      <c r="Q584" s="33" t="s">
        <v>187</v>
      </c>
      <c r="R584" s="33" t="s">
        <v>1483</v>
      </c>
      <c r="S584" s="34">
        <v>17.841587</v>
      </c>
      <c r="T584" s="55">
        <v>-89.018687</v>
      </c>
      <c r="U584" s="33" t="s">
        <v>1484</v>
      </c>
      <c r="V584" s="6" t="s">
        <v>321</v>
      </c>
      <c r="W584" s="33" t="s">
        <v>156</v>
      </c>
      <c r="X584" s="3" t="s">
        <v>72</v>
      </c>
      <c r="Y584" s="6" t="s">
        <v>72</v>
      </c>
      <c r="Z584" s="33"/>
      <c r="AA584" s="34">
        <v>5.0</v>
      </c>
      <c r="AB584" s="33"/>
      <c r="AC584" s="33"/>
      <c r="AD584" s="33"/>
      <c r="AE584" s="33"/>
      <c r="AF584" s="33"/>
      <c r="AG584" s="33"/>
      <c r="AH584" s="33" t="s">
        <v>399</v>
      </c>
      <c r="AI584" s="34">
        <v>-1700.0</v>
      </c>
      <c r="AJ584" s="34">
        <v>1950.0</v>
      </c>
      <c r="AK584" s="6" t="s">
        <v>100</v>
      </c>
      <c r="AL584" s="6" t="s">
        <v>76</v>
      </c>
      <c r="AM584" s="6" t="s">
        <v>72</v>
      </c>
      <c r="AN584" s="6" t="s">
        <v>72</v>
      </c>
      <c r="AO584" s="33"/>
      <c r="AP584" s="6" t="s">
        <v>75</v>
      </c>
      <c r="AQ584" s="33"/>
      <c r="AR584" s="33"/>
      <c r="AS584" s="33"/>
      <c r="AT584" s="6" t="s">
        <v>76</v>
      </c>
      <c r="AU584" s="33"/>
      <c r="AV584" s="33"/>
      <c r="AW584" s="33"/>
      <c r="AX584" s="33"/>
      <c r="AY584" s="33"/>
      <c r="AZ584" s="6" t="s">
        <v>76</v>
      </c>
      <c r="BA584" s="33"/>
      <c r="BB584" s="33">
        <f>VLOOKUP(O584,Eco_DEM_Data!$D$1:$AC$643,20,False)</f>
        <v>1441</v>
      </c>
      <c r="BC584" s="33">
        <f>VLOOKUP($O584,Eco_DEM_Data!$D$1:$AC$643,20,False)</f>
        <v>1441</v>
      </c>
      <c r="BD584" s="33">
        <f>VLOOKUP($O584,Eco_DEM_Data!$D$1:$AC$643,25,False)</f>
        <v>575</v>
      </c>
      <c r="BE584" s="33">
        <f>VLOOKUP($O584,Eco_DEM_Data!$D$1:$AC$643,22,False)</f>
        <v>35</v>
      </c>
      <c r="BF584" s="33">
        <f>VLOOKUP($O584,Eco_DEM_Data!$D$1:$AC$643,23,False)</f>
        <v>118</v>
      </c>
      <c r="BG584" s="33">
        <f>VLOOKUP($O584,Eco_DEM_Data!$D$1:$AC$643,21,False)</f>
        <v>5597</v>
      </c>
      <c r="BH584" s="33">
        <f>VLOOKUP($O584,Eco_DEM_Data!$D$1:$AC$643,26,False)</f>
        <v>150</v>
      </c>
      <c r="BI584" s="33" t="str">
        <f>VLOOKUP($O584,Eco_DEM_Data!$D$1:$AC$643,9,False)</f>
        <v>Petén-Veracruz moist forests</v>
      </c>
      <c r="BJ584" s="33" t="str">
        <f>VLOOKUP($O584,Eco_DEM_Data!$D$1:$AC$643,11,False)</f>
        <v>Tropical &amp; Subtropical Moist Broadleaf Forests</v>
      </c>
    </row>
    <row r="585">
      <c r="A585" s="33" t="s">
        <v>1474</v>
      </c>
      <c r="B585" s="33" t="s">
        <v>2259</v>
      </c>
      <c r="C585" s="70" t="e">
        <v>#N/A</v>
      </c>
      <c r="D585" s="33" t="s">
        <v>53</v>
      </c>
      <c r="E585" s="34">
        <v>2019.0</v>
      </c>
      <c r="F585" s="33" t="s">
        <v>1475</v>
      </c>
      <c r="G585" s="33" t="s">
        <v>1476</v>
      </c>
      <c r="H585" s="33" t="s">
        <v>1477</v>
      </c>
      <c r="I585" s="33" t="s">
        <v>1478</v>
      </c>
      <c r="J585" s="33" t="s">
        <v>1479</v>
      </c>
      <c r="K585" s="34">
        <v>502.0</v>
      </c>
      <c r="L585" s="33" t="s">
        <v>1480</v>
      </c>
      <c r="M585" s="6" t="s">
        <v>1481</v>
      </c>
      <c r="N585" s="35" t="s">
        <v>60</v>
      </c>
      <c r="O585" s="33" t="s">
        <v>1486</v>
      </c>
      <c r="P585" s="33" t="s">
        <v>62</v>
      </c>
      <c r="Q585" s="33" t="s">
        <v>187</v>
      </c>
      <c r="R585" s="33" t="s">
        <v>1483</v>
      </c>
      <c r="S585" s="34">
        <v>17.841587</v>
      </c>
      <c r="T585" s="55">
        <v>-89.018687</v>
      </c>
      <c r="U585" s="33" t="s">
        <v>1484</v>
      </c>
      <c r="V585" s="6" t="s">
        <v>66</v>
      </c>
      <c r="W585" s="41" t="s">
        <v>823</v>
      </c>
      <c r="X585" s="7" t="s">
        <v>1487</v>
      </c>
      <c r="Y585" s="5" t="s">
        <v>72</v>
      </c>
      <c r="Z585" s="41"/>
      <c r="AA585" s="68">
        <v>5.0</v>
      </c>
      <c r="AB585" s="41"/>
      <c r="AC585" s="41"/>
      <c r="AD585" s="41"/>
      <c r="AE585" s="41"/>
      <c r="AF585" s="41"/>
      <c r="AG585" s="41"/>
      <c r="AH585" s="41" t="s">
        <v>399</v>
      </c>
      <c r="AI585" s="68">
        <v>-1700.0</v>
      </c>
      <c r="AJ585" s="68">
        <v>1950.0</v>
      </c>
      <c r="AK585" s="5" t="s">
        <v>100</v>
      </c>
      <c r="AL585" s="5" t="s">
        <v>76</v>
      </c>
      <c r="AM585" s="5" t="s">
        <v>72</v>
      </c>
      <c r="AN585" s="5" t="s">
        <v>72</v>
      </c>
      <c r="AO585" s="41"/>
      <c r="AP585" s="5" t="s">
        <v>75</v>
      </c>
      <c r="AQ585" s="41"/>
      <c r="AR585" s="41"/>
      <c r="AS585" s="41"/>
      <c r="AT585" s="5" t="s">
        <v>60</v>
      </c>
      <c r="AU585" s="33"/>
      <c r="AV585" s="33"/>
      <c r="AW585" s="33"/>
      <c r="AX585" s="33"/>
      <c r="AY585" s="33"/>
      <c r="AZ585" s="6" t="s">
        <v>76</v>
      </c>
      <c r="BA585" s="33"/>
      <c r="BB585" s="33">
        <f>VLOOKUP(O585,Eco_DEM_Data!$D$1:$AC$643,20,False)</f>
        <v>1441</v>
      </c>
      <c r="BC585" s="33">
        <f>VLOOKUP($O585,Eco_DEM_Data!$D$1:$AC$643,20,False)</f>
        <v>1441</v>
      </c>
      <c r="BD585" s="33">
        <f>VLOOKUP($O585,Eco_DEM_Data!$D$1:$AC$643,25,False)</f>
        <v>575</v>
      </c>
      <c r="BE585" s="33">
        <f>VLOOKUP($O585,Eco_DEM_Data!$D$1:$AC$643,22,False)</f>
        <v>35</v>
      </c>
      <c r="BF585" s="33">
        <f>VLOOKUP($O585,Eco_DEM_Data!$D$1:$AC$643,23,False)</f>
        <v>118</v>
      </c>
      <c r="BG585" s="33">
        <f>VLOOKUP($O585,Eco_DEM_Data!$D$1:$AC$643,21,False)</f>
        <v>5597</v>
      </c>
      <c r="BH585" s="33">
        <f>VLOOKUP($O585,Eco_DEM_Data!$D$1:$AC$643,26,False)</f>
        <v>150</v>
      </c>
      <c r="BI585" s="33" t="str">
        <f>VLOOKUP($O585,Eco_DEM_Data!$D$1:$AC$643,9,False)</f>
        <v>Petén-Veracruz moist forests</v>
      </c>
      <c r="BJ585" s="33" t="str">
        <f>VLOOKUP($O585,Eco_DEM_Data!$D$1:$AC$643,11,False)</f>
        <v>Tropical &amp; Subtropical Moist Broadleaf Forests</v>
      </c>
    </row>
    <row r="586">
      <c r="A586" s="33" t="s">
        <v>1474</v>
      </c>
      <c r="B586" s="33" t="s">
        <v>2259</v>
      </c>
      <c r="C586" s="70" t="e">
        <v>#N/A</v>
      </c>
      <c r="D586" s="33" t="s">
        <v>53</v>
      </c>
      <c r="E586" s="34">
        <v>2019.0</v>
      </c>
      <c r="F586" s="33" t="s">
        <v>1475</v>
      </c>
      <c r="G586" s="33" t="s">
        <v>1476</v>
      </c>
      <c r="H586" s="33" t="s">
        <v>1477</v>
      </c>
      <c r="I586" s="33" t="s">
        <v>1478</v>
      </c>
      <c r="J586" s="33" t="s">
        <v>1479</v>
      </c>
      <c r="K586" s="34">
        <v>502.0</v>
      </c>
      <c r="L586" s="33" t="s">
        <v>1480</v>
      </c>
      <c r="M586" s="6" t="s">
        <v>1481</v>
      </c>
      <c r="N586" s="35" t="s">
        <v>60</v>
      </c>
      <c r="O586" s="33" t="s">
        <v>1488</v>
      </c>
      <c r="P586" s="33" t="s">
        <v>62</v>
      </c>
      <c r="Q586" s="33" t="s">
        <v>187</v>
      </c>
      <c r="R586" s="33" t="s">
        <v>1483</v>
      </c>
      <c r="S586" s="34">
        <v>17.841587</v>
      </c>
      <c r="T586" s="55">
        <v>-89.018687</v>
      </c>
      <c r="U586" s="33" t="s">
        <v>1484</v>
      </c>
      <c r="V586" s="6" t="s">
        <v>293</v>
      </c>
      <c r="W586" s="41" t="s">
        <v>823</v>
      </c>
      <c r="X586" s="7" t="s">
        <v>1489</v>
      </c>
      <c r="Y586" s="5" t="s">
        <v>72</v>
      </c>
      <c r="Z586" s="41"/>
      <c r="AA586" s="68">
        <v>5.0</v>
      </c>
      <c r="AB586" s="41"/>
      <c r="AC586" s="41"/>
      <c r="AD586" s="41"/>
      <c r="AE586" s="41"/>
      <c r="AF586" s="41"/>
      <c r="AG586" s="41"/>
      <c r="AH586" s="41" t="s">
        <v>399</v>
      </c>
      <c r="AI586" s="68">
        <v>-1700.0</v>
      </c>
      <c r="AJ586" s="68">
        <v>1950.0</v>
      </c>
      <c r="AK586" s="5" t="s">
        <v>100</v>
      </c>
      <c r="AL586" s="5" t="s">
        <v>76</v>
      </c>
      <c r="AM586" s="5" t="s">
        <v>72</v>
      </c>
      <c r="AN586" s="5" t="s">
        <v>72</v>
      </c>
      <c r="AO586" s="41"/>
      <c r="AP586" s="5" t="s">
        <v>75</v>
      </c>
      <c r="AQ586" s="41"/>
      <c r="AR586" s="41"/>
      <c r="AS586" s="41"/>
      <c r="AT586" s="5" t="s">
        <v>76</v>
      </c>
      <c r="AU586" s="33"/>
      <c r="AV586" s="33"/>
      <c r="AW586" s="33"/>
      <c r="AX586" s="33"/>
      <c r="AY586" s="33"/>
      <c r="AZ586" s="6" t="s">
        <v>76</v>
      </c>
      <c r="BA586" s="33"/>
      <c r="BB586" s="33">
        <f>VLOOKUP(O586,Eco_DEM_Data!$D$1:$AC$643,20,False)</f>
        <v>1441</v>
      </c>
      <c r="BC586" s="33">
        <f>VLOOKUP($O586,Eco_DEM_Data!$D$1:$AC$643,20,False)</f>
        <v>1441</v>
      </c>
      <c r="BD586" s="33">
        <f>VLOOKUP($O586,Eco_DEM_Data!$D$1:$AC$643,25,False)</f>
        <v>575</v>
      </c>
      <c r="BE586" s="33">
        <f>VLOOKUP($O586,Eco_DEM_Data!$D$1:$AC$643,22,False)</f>
        <v>35</v>
      </c>
      <c r="BF586" s="33">
        <f>VLOOKUP($O586,Eco_DEM_Data!$D$1:$AC$643,23,False)</f>
        <v>118</v>
      </c>
      <c r="BG586" s="33">
        <f>VLOOKUP($O586,Eco_DEM_Data!$D$1:$AC$643,21,False)</f>
        <v>5597</v>
      </c>
      <c r="BH586" s="33">
        <f>VLOOKUP($O586,Eco_DEM_Data!$D$1:$AC$643,26,False)</f>
        <v>150</v>
      </c>
      <c r="BI586" s="33" t="str">
        <f>VLOOKUP($O586,Eco_DEM_Data!$D$1:$AC$643,9,False)</f>
        <v>Petén-Veracruz moist forests</v>
      </c>
      <c r="BJ586" s="33" t="str">
        <f>VLOOKUP($O586,Eco_DEM_Data!$D$1:$AC$643,11,False)</f>
        <v>Tropical &amp; Subtropical Moist Broadleaf Forests</v>
      </c>
    </row>
    <row r="587">
      <c r="A587" s="33" t="s">
        <v>1474</v>
      </c>
      <c r="B587" s="33" t="s">
        <v>2259</v>
      </c>
      <c r="C587" s="70" t="e">
        <v>#N/A</v>
      </c>
      <c r="D587" s="33" t="s">
        <v>53</v>
      </c>
      <c r="E587" s="34">
        <v>2019.0</v>
      </c>
      <c r="F587" s="33" t="s">
        <v>1475</v>
      </c>
      <c r="G587" s="33" t="s">
        <v>1476</v>
      </c>
      <c r="H587" s="33" t="s">
        <v>1477</v>
      </c>
      <c r="I587" s="33" t="s">
        <v>1478</v>
      </c>
      <c r="J587" s="33" t="s">
        <v>1479</v>
      </c>
      <c r="K587" s="34">
        <v>502.0</v>
      </c>
      <c r="L587" s="33" t="s">
        <v>1480</v>
      </c>
      <c r="M587" s="6" t="s">
        <v>1481</v>
      </c>
      <c r="N587" s="35" t="s">
        <v>60</v>
      </c>
      <c r="O587" s="33" t="s">
        <v>1490</v>
      </c>
      <c r="P587" s="33" t="s">
        <v>62</v>
      </c>
      <c r="Q587" s="33" t="s">
        <v>187</v>
      </c>
      <c r="R587" s="33" t="s">
        <v>1483</v>
      </c>
      <c r="S587" s="34">
        <v>17.841587</v>
      </c>
      <c r="T587" s="55">
        <v>-89.018687</v>
      </c>
      <c r="U587" s="33" t="s">
        <v>1484</v>
      </c>
      <c r="V587" s="38" t="s">
        <v>382</v>
      </c>
      <c r="W587" s="33" t="s">
        <v>173</v>
      </c>
      <c r="X587" s="1" t="s">
        <v>1491</v>
      </c>
      <c r="Y587" s="33" t="s">
        <v>968</v>
      </c>
      <c r="Z587" s="33"/>
      <c r="AA587" s="34">
        <v>5.0</v>
      </c>
      <c r="AB587" s="33"/>
      <c r="AC587" s="33"/>
      <c r="AD587" s="33"/>
      <c r="AE587" s="33"/>
      <c r="AF587" s="33"/>
      <c r="AG587" s="33"/>
      <c r="AH587" s="33" t="s">
        <v>399</v>
      </c>
      <c r="AI587" s="34">
        <v>-1700.0</v>
      </c>
      <c r="AJ587" s="34">
        <v>1950.0</v>
      </c>
      <c r="AK587" s="6" t="s">
        <v>100</v>
      </c>
      <c r="AL587" s="6" t="s">
        <v>76</v>
      </c>
      <c r="AM587" s="6" t="s">
        <v>72</v>
      </c>
      <c r="AN587" s="6" t="s">
        <v>72</v>
      </c>
      <c r="AO587" s="33"/>
      <c r="AP587" s="6" t="s">
        <v>75</v>
      </c>
      <c r="AQ587" s="33"/>
      <c r="AR587" s="33"/>
      <c r="AS587" s="33"/>
      <c r="AT587" s="6" t="s">
        <v>76</v>
      </c>
      <c r="AU587" s="33"/>
      <c r="AV587" s="33"/>
      <c r="AW587" s="33"/>
      <c r="AX587" s="33"/>
      <c r="AY587" s="33"/>
      <c r="AZ587" s="6" t="s">
        <v>76</v>
      </c>
      <c r="BA587" s="33"/>
      <c r="BB587" s="33">
        <f>VLOOKUP(O587,Eco_DEM_Data!$D$1:$AC$643,20,False)</f>
        <v>1441</v>
      </c>
      <c r="BC587" s="33">
        <f>VLOOKUP($O587,Eco_DEM_Data!$D$1:$AC$643,20,False)</f>
        <v>1441</v>
      </c>
      <c r="BD587" s="33">
        <f>VLOOKUP($O587,Eco_DEM_Data!$D$1:$AC$643,25,False)</f>
        <v>575</v>
      </c>
      <c r="BE587" s="33">
        <f>VLOOKUP($O587,Eco_DEM_Data!$D$1:$AC$643,22,False)</f>
        <v>35</v>
      </c>
      <c r="BF587" s="33">
        <f>VLOOKUP($O587,Eco_DEM_Data!$D$1:$AC$643,23,False)</f>
        <v>118</v>
      </c>
      <c r="BG587" s="33">
        <f>VLOOKUP($O587,Eco_DEM_Data!$D$1:$AC$643,21,False)</f>
        <v>5597</v>
      </c>
      <c r="BH587" s="33">
        <f>VLOOKUP($O587,Eco_DEM_Data!$D$1:$AC$643,26,False)</f>
        <v>150</v>
      </c>
      <c r="BI587" s="33" t="str">
        <f>VLOOKUP($O587,Eco_DEM_Data!$D$1:$AC$643,9,False)</f>
        <v>Petén-Veracruz moist forests</v>
      </c>
      <c r="BJ587" s="33" t="str">
        <f>VLOOKUP($O587,Eco_DEM_Data!$D$1:$AC$643,11,False)</f>
        <v>Tropical &amp; Subtropical Moist Broadleaf Forests</v>
      </c>
    </row>
    <row r="588">
      <c r="A588" s="33" t="s">
        <v>1474</v>
      </c>
      <c r="B588" s="33" t="s">
        <v>2259</v>
      </c>
      <c r="C588" s="70" t="e">
        <v>#N/A</v>
      </c>
      <c r="D588" s="33" t="s">
        <v>53</v>
      </c>
      <c r="E588" s="34">
        <v>2019.0</v>
      </c>
      <c r="F588" s="33" t="s">
        <v>1475</v>
      </c>
      <c r="G588" s="33" t="s">
        <v>1476</v>
      </c>
      <c r="H588" s="33" t="s">
        <v>1477</v>
      </c>
      <c r="I588" s="33" t="s">
        <v>1478</v>
      </c>
      <c r="J588" s="33" t="s">
        <v>1479</v>
      </c>
      <c r="K588" s="34">
        <v>502.0</v>
      </c>
      <c r="L588" s="33" t="s">
        <v>1480</v>
      </c>
      <c r="M588" s="6" t="s">
        <v>1481</v>
      </c>
      <c r="N588" s="35" t="s">
        <v>60</v>
      </c>
      <c r="O588" s="33" t="s">
        <v>1492</v>
      </c>
      <c r="P588" s="33" t="s">
        <v>62</v>
      </c>
      <c r="Q588" s="33" t="s">
        <v>187</v>
      </c>
      <c r="R588" s="33" t="s">
        <v>1483</v>
      </c>
      <c r="S588" s="34">
        <v>17.841587</v>
      </c>
      <c r="T588" s="55">
        <v>-89.018687</v>
      </c>
      <c r="U588" s="33" t="s">
        <v>1484</v>
      </c>
      <c r="V588" s="38" t="s">
        <v>194</v>
      </c>
      <c r="W588" s="33" t="s">
        <v>173</v>
      </c>
      <c r="X588" s="1" t="s">
        <v>286</v>
      </c>
      <c r="Y588" s="33" t="s">
        <v>70</v>
      </c>
      <c r="Z588" s="33"/>
      <c r="AA588" s="34">
        <v>5.0</v>
      </c>
      <c r="AB588" s="33"/>
      <c r="AC588" s="33"/>
      <c r="AD588" s="33"/>
      <c r="AE588" s="33"/>
      <c r="AF588" s="33"/>
      <c r="AG588" s="33"/>
      <c r="AH588" s="33" t="s">
        <v>399</v>
      </c>
      <c r="AI588" s="34">
        <v>-1700.0</v>
      </c>
      <c r="AJ588" s="34">
        <v>1950.0</v>
      </c>
      <c r="AK588" s="6" t="s">
        <v>100</v>
      </c>
      <c r="AL588" s="6" t="s">
        <v>76</v>
      </c>
      <c r="AM588" s="6" t="s">
        <v>72</v>
      </c>
      <c r="AN588" s="6" t="s">
        <v>72</v>
      </c>
      <c r="AO588" s="33"/>
      <c r="AP588" s="6" t="s">
        <v>75</v>
      </c>
      <c r="AQ588" s="33"/>
      <c r="AR588" s="33"/>
      <c r="AS588" s="33"/>
      <c r="AT588" s="6" t="s">
        <v>76</v>
      </c>
      <c r="AU588" s="33"/>
      <c r="AV588" s="33"/>
      <c r="AW588" s="33"/>
      <c r="AX588" s="33"/>
      <c r="AY588" s="33"/>
      <c r="AZ588" s="6" t="s">
        <v>76</v>
      </c>
      <c r="BA588" s="33"/>
      <c r="BB588" s="33">
        <f>VLOOKUP(O588,Eco_DEM_Data!$D$1:$AC$643,20,False)</f>
        <v>1441</v>
      </c>
      <c r="BC588" s="33">
        <f>VLOOKUP($O588,Eco_DEM_Data!$D$1:$AC$643,20,False)</f>
        <v>1441</v>
      </c>
      <c r="BD588" s="33">
        <f>VLOOKUP($O588,Eco_DEM_Data!$D$1:$AC$643,25,False)</f>
        <v>575</v>
      </c>
      <c r="BE588" s="33">
        <f>VLOOKUP($O588,Eco_DEM_Data!$D$1:$AC$643,22,False)</f>
        <v>35</v>
      </c>
      <c r="BF588" s="33">
        <f>VLOOKUP($O588,Eco_DEM_Data!$D$1:$AC$643,23,False)</f>
        <v>118</v>
      </c>
      <c r="BG588" s="33">
        <f>VLOOKUP($O588,Eco_DEM_Data!$D$1:$AC$643,21,False)</f>
        <v>5597</v>
      </c>
      <c r="BH588" s="33">
        <f>VLOOKUP($O588,Eco_DEM_Data!$D$1:$AC$643,26,False)</f>
        <v>150</v>
      </c>
      <c r="BI588" s="33" t="str">
        <f>VLOOKUP($O588,Eco_DEM_Data!$D$1:$AC$643,9,False)</f>
        <v>Petén-Veracruz moist forests</v>
      </c>
      <c r="BJ588" s="33" t="str">
        <f>VLOOKUP($O588,Eco_DEM_Data!$D$1:$AC$643,11,False)</f>
        <v>Tropical &amp; Subtropical Moist Broadleaf Forests</v>
      </c>
    </row>
    <row r="589">
      <c r="A589" s="33" t="s">
        <v>1474</v>
      </c>
      <c r="B589" s="33" t="s">
        <v>2259</v>
      </c>
      <c r="C589" s="70" t="e">
        <v>#N/A</v>
      </c>
      <c r="D589" s="33" t="s">
        <v>53</v>
      </c>
      <c r="E589" s="34">
        <v>2019.0</v>
      </c>
      <c r="F589" s="33" t="s">
        <v>1475</v>
      </c>
      <c r="G589" s="33" t="s">
        <v>1476</v>
      </c>
      <c r="H589" s="33" t="s">
        <v>1477</v>
      </c>
      <c r="I589" s="33" t="s">
        <v>1478</v>
      </c>
      <c r="J589" s="33" t="s">
        <v>1479</v>
      </c>
      <c r="K589" s="34">
        <v>502.0</v>
      </c>
      <c r="L589" s="33" t="s">
        <v>1480</v>
      </c>
      <c r="M589" s="6" t="s">
        <v>1481</v>
      </c>
      <c r="N589" s="35" t="s">
        <v>60</v>
      </c>
      <c r="O589" s="33" t="s">
        <v>1501</v>
      </c>
      <c r="P589" s="33" t="s">
        <v>62</v>
      </c>
      <c r="Q589" s="33" t="s">
        <v>187</v>
      </c>
      <c r="R589" s="33" t="s">
        <v>1483</v>
      </c>
      <c r="S589" s="34">
        <v>17.841587</v>
      </c>
      <c r="T589" s="55">
        <v>-89.018687</v>
      </c>
      <c r="U589" s="33" t="s">
        <v>1484</v>
      </c>
      <c r="V589" s="6" t="s">
        <v>189</v>
      </c>
      <c r="W589" s="15" t="s">
        <v>173</v>
      </c>
      <c r="X589" s="1" t="s">
        <v>284</v>
      </c>
      <c r="Y589" s="33" t="s">
        <v>70</v>
      </c>
      <c r="Z589" s="33"/>
      <c r="AA589" s="34">
        <v>5.0</v>
      </c>
      <c r="AB589" s="33"/>
      <c r="AC589" s="33"/>
      <c r="AD589" s="33"/>
      <c r="AE589" s="33"/>
      <c r="AF589" s="33"/>
      <c r="AG589" s="33"/>
      <c r="AH589" s="33" t="s">
        <v>399</v>
      </c>
      <c r="AI589" s="34">
        <v>-1700.0</v>
      </c>
      <c r="AJ589" s="34">
        <v>1950.0</v>
      </c>
      <c r="AK589" s="6" t="s">
        <v>100</v>
      </c>
      <c r="AL589" s="6" t="s">
        <v>76</v>
      </c>
      <c r="AM589" s="6" t="s">
        <v>72</v>
      </c>
      <c r="AN589" s="6" t="s">
        <v>72</v>
      </c>
      <c r="AO589" s="33"/>
      <c r="AP589" s="6" t="s">
        <v>75</v>
      </c>
      <c r="AQ589" s="33"/>
      <c r="AR589" s="33"/>
      <c r="AS589" s="33"/>
      <c r="AT589" s="6" t="s">
        <v>76</v>
      </c>
      <c r="AU589" s="33"/>
      <c r="AV589" s="33"/>
      <c r="AW589" s="33"/>
      <c r="AX589" s="33"/>
      <c r="AY589" s="33"/>
      <c r="AZ589" s="6" t="s">
        <v>76</v>
      </c>
      <c r="BA589" s="33"/>
      <c r="BB589" s="33">
        <f>VLOOKUP(O589,Eco_DEM_Data!$D$1:$AC$643,20,False)</f>
        <v>1441</v>
      </c>
      <c r="BC589" s="33">
        <f>VLOOKUP($O589,Eco_DEM_Data!$D$1:$AC$643,20,False)</f>
        <v>1441</v>
      </c>
      <c r="BD589" s="33">
        <f>VLOOKUP($O589,Eco_DEM_Data!$D$1:$AC$643,25,False)</f>
        <v>575</v>
      </c>
      <c r="BE589" s="33">
        <f>VLOOKUP($O589,Eco_DEM_Data!$D$1:$AC$643,22,False)</f>
        <v>35</v>
      </c>
      <c r="BF589" s="33">
        <f>VLOOKUP($O589,Eco_DEM_Data!$D$1:$AC$643,23,False)</f>
        <v>118</v>
      </c>
      <c r="BG589" s="33">
        <f>VLOOKUP($O589,Eco_DEM_Data!$D$1:$AC$643,21,False)</f>
        <v>5597</v>
      </c>
      <c r="BH589" s="33">
        <f>VLOOKUP($O589,Eco_DEM_Data!$D$1:$AC$643,26,False)</f>
        <v>150</v>
      </c>
      <c r="BI589" s="33" t="str">
        <f>VLOOKUP($O589,Eco_DEM_Data!$D$1:$AC$643,9,False)</f>
        <v>Petén-Veracruz moist forests</v>
      </c>
      <c r="BJ589" s="33" t="str">
        <f>VLOOKUP($O589,Eco_DEM_Data!$D$1:$AC$643,11,False)</f>
        <v>Tropical &amp; Subtropical Moist Broadleaf Forests</v>
      </c>
    </row>
    <row r="590">
      <c r="A590" s="33" t="s">
        <v>1474</v>
      </c>
      <c r="B590" s="33" t="s">
        <v>2259</v>
      </c>
      <c r="C590" s="70" t="e">
        <v>#N/A</v>
      </c>
      <c r="D590" s="33" t="s">
        <v>53</v>
      </c>
      <c r="E590" s="34">
        <v>2019.0</v>
      </c>
      <c r="F590" s="33" t="s">
        <v>1475</v>
      </c>
      <c r="G590" s="33" t="s">
        <v>1476</v>
      </c>
      <c r="H590" s="33" t="s">
        <v>1477</v>
      </c>
      <c r="I590" s="33" t="s">
        <v>1478</v>
      </c>
      <c r="J590" s="33" t="s">
        <v>1479</v>
      </c>
      <c r="K590" s="34">
        <v>502.0</v>
      </c>
      <c r="L590" s="33" t="s">
        <v>1480</v>
      </c>
      <c r="M590" s="6" t="s">
        <v>1481</v>
      </c>
      <c r="N590" s="35" t="s">
        <v>60</v>
      </c>
      <c r="O590" s="33" t="s">
        <v>1502</v>
      </c>
      <c r="P590" s="33" t="s">
        <v>62</v>
      </c>
      <c r="Q590" s="33" t="s">
        <v>187</v>
      </c>
      <c r="R590" s="33" t="s">
        <v>1483</v>
      </c>
      <c r="S590" s="34">
        <v>17.841587</v>
      </c>
      <c r="T590" s="55">
        <v>-89.018687</v>
      </c>
      <c r="U590" s="33" t="s">
        <v>1484</v>
      </c>
      <c r="V590" s="6" t="s">
        <v>135</v>
      </c>
      <c r="W590" s="41" t="s">
        <v>823</v>
      </c>
      <c r="X590" s="7" t="s">
        <v>1503</v>
      </c>
      <c r="Y590" s="64" t="s">
        <v>256</v>
      </c>
      <c r="Z590" s="41"/>
      <c r="AA590" s="68">
        <v>5.0</v>
      </c>
      <c r="AB590" s="41"/>
      <c r="AC590" s="41"/>
      <c r="AD590" s="41"/>
      <c r="AE590" s="41"/>
      <c r="AF590" s="41"/>
      <c r="AG590" s="41"/>
      <c r="AH590" s="41" t="s">
        <v>399</v>
      </c>
      <c r="AI590" s="68">
        <v>-1700.0</v>
      </c>
      <c r="AJ590" s="68">
        <v>1950.0</v>
      </c>
      <c r="AK590" s="5" t="s">
        <v>100</v>
      </c>
      <c r="AL590" s="5" t="s">
        <v>76</v>
      </c>
      <c r="AM590" s="5" t="s">
        <v>72</v>
      </c>
      <c r="AN590" s="5" t="s">
        <v>72</v>
      </c>
      <c r="AO590" s="41"/>
      <c r="AP590" s="5" t="s">
        <v>75</v>
      </c>
      <c r="AQ590" s="41"/>
      <c r="AR590" s="41"/>
      <c r="AS590" s="41"/>
      <c r="AT590" s="6" t="s">
        <v>76</v>
      </c>
      <c r="AU590" s="33"/>
      <c r="AV590" s="33"/>
      <c r="AW590" s="33"/>
      <c r="AX590" s="33"/>
      <c r="AY590" s="33"/>
      <c r="AZ590" s="6" t="s">
        <v>76</v>
      </c>
      <c r="BA590" s="33"/>
      <c r="BB590" s="33">
        <f>VLOOKUP(O590,Eco_DEM_Data!$D$1:$AC$643,20,False)</f>
        <v>1441</v>
      </c>
      <c r="BC590" s="33">
        <f>VLOOKUP($O590,Eco_DEM_Data!$D$1:$AC$643,20,False)</f>
        <v>1441</v>
      </c>
      <c r="BD590" s="33">
        <f>VLOOKUP($O590,Eco_DEM_Data!$D$1:$AC$643,25,False)</f>
        <v>575</v>
      </c>
      <c r="BE590" s="33">
        <f>VLOOKUP($O590,Eco_DEM_Data!$D$1:$AC$643,22,False)</f>
        <v>35</v>
      </c>
      <c r="BF590" s="33">
        <f>VLOOKUP($O590,Eco_DEM_Data!$D$1:$AC$643,23,False)</f>
        <v>118</v>
      </c>
      <c r="BG590" s="33">
        <f>VLOOKUP($O590,Eco_DEM_Data!$D$1:$AC$643,21,False)</f>
        <v>5597</v>
      </c>
      <c r="BH590" s="33">
        <f>VLOOKUP($O590,Eco_DEM_Data!$D$1:$AC$643,26,False)</f>
        <v>150</v>
      </c>
      <c r="BI590" s="33" t="str">
        <f>VLOOKUP($O590,Eco_DEM_Data!$D$1:$AC$643,9,False)</f>
        <v>Petén-Veracruz moist forests</v>
      </c>
      <c r="BJ590" s="33" t="str">
        <f>VLOOKUP($O590,Eco_DEM_Data!$D$1:$AC$643,11,False)</f>
        <v>Tropical &amp; Subtropical Moist Broadleaf Forests</v>
      </c>
    </row>
    <row r="591">
      <c r="A591" s="33" t="s">
        <v>1474</v>
      </c>
      <c r="B591" s="33" t="s">
        <v>2259</v>
      </c>
      <c r="C591" s="70" t="e">
        <v>#N/A</v>
      </c>
      <c r="D591" s="33" t="s">
        <v>53</v>
      </c>
      <c r="E591" s="34">
        <v>2019.0</v>
      </c>
      <c r="F591" s="33" t="s">
        <v>1475</v>
      </c>
      <c r="G591" s="33" t="s">
        <v>1476</v>
      </c>
      <c r="H591" s="33" t="s">
        <v>1477</v>
      </c>
      <c r="I591" s="33" t="s">
        <v>1478</v>
      </c>
      <c r="J591" s="33" t="s">
        <v>1479</v>
      </c>
      <c r="K591" s="34">
        <v>502.0</v>
      </c>
      <c r="L591" s="33" t="s">
        <v>1480</v>
      </c>
      <c r="M591" s="6" t="s">
        <v>1481</v>
      </c>
      <c r="N591" s="35" t="s">
        <v>60</v>
      </c>
      <c r="O591" s="33" t="s">
        <v>1504</v>
      </c>
      <c r="P591" s="33" t="s">
        <v>62</v>
      </c>
      <c r="Q591" s="33" t="s">
        <v>187</v>
      </c>
      <c r="R591" s="33" t="s">
        <v>1483</v>
      </c>
      <c r="S591" s="34">
        <v>17.841587</v>
      </c>
      <c r="T591" s="55">
        <v>-89.018687</v>
      </c>
      <c r="U591" s="33" t="s">
        <v>1484</v>
      </c>
      <c r="V591" s="6" t="s">
        <v>169</v>
      </c>
      <c r="W591" s="33" t="s">
        <v>173</v>
      </c>
      <c r="X591" s="1" t="s">
        <v>1044</v>
      </c>
      <c r="Y591" s="33" t="s">
        <v>70</v>
      </c>
      <c r="Z591" s="33"/>
      <c r="AA591" s="34">
        <v>5.0</v>
      </c>
      <c r="AB591" s="33"/>
      <c r="AC591" s="33"/>
      <c r="AD591" s="33"/>
      <c r="AE591" s="33"/>
      <c r="AF591" s="33"/>
      <c r="AG591" s="33"/>
      <c r="AH591" s="33" t="s">
        <v>399</v>
      </c>
      <c r="AI591" s="34">
        <v>-1700.0</v>
      </c>
      <c r="AJ591" s="34">
        <v>1950.0</v>
      </c>
      <c r="AK591" s="6" t="s">
        <v>100</v>
      </c>
      <c r="AL591" s="6" t="s">
        <v>76</v>
      </c>
      <c r="AM591" s="6" t="s">
        <v>72</v>
      </c>
      <c r="AN591" s="6" t="s">
        <v>72</v>
      </c>
      <c r="AO591" s="33"/>
      <c r="AP591" s="6" t="s">
        <v>75</v>
      </c>
      <c r="AQ591" s="33"/>
      <c r="AR591" s="33"/>
      <c r="AS591" s="33"/>
      <c r="AT591" s="6" t="s">
        <v>76</v>
      </c>
      <c r="AU591" s="33"/>
      <c r="AV591" s="33"/>
      <c r="AW591" s="33"/>
      <c r="AX591" s="33"/>
      <c r="AY591" s="33"/>
      <c r="AZ591" s="6" t="s">
        <v>76</v>
      </c>
      <c r="BA591" s="33"/>
      <c r="BB591" s="33">
        <f>VLOOKUP(O591,Eco_DEM_Data!$D$1:$AC$643,20,False)</f>
        <v>1441</v>
      </c>
      <c r="BC591" s="33">
        <f>VLOOKUP($O591,Eco_DEM_Data!$D$1:$AC$643,20,False)</f>
        <v>1441</v>
      </c>
      <c r="BD591" s="33">
        <f>VLOOKUP($O591,Eco_DEM_Data!$D$1:$AC$643,25,False)</f>
        <v>575</v>
      </c>
      <c r="BE591" s="33">
        <f>VLOOKUP($O591,Eco_DEM_Data!$D$1:$AC$643,22,False)</f>
        <v>35</v>
      </c>
      <c r="BF591" s="33">
        <f>VLOOKUP($O591,Eco_DEM_Data!$D$1:$AC$643,23,False)</f>
        <v>118</v>
      </c>
      <c r="BG591" s="33">
        <f>VLOOKUP($O591,Eco_DEM_Data!$D$1:$AC$643,21,False)</f>
        <v>5597</v>
      </c>
      <c r="BH591" s="33">
        <f>VLOOKUP($O591,Eco_DEM_Data!$D$1:$AC$643,26,False)</f>
        <v>150</v>
      </c>
      <c r="BI591" s="33" t="str">
        <f>VLOOKUP($O591,Eco_DEM_Data!$D$1:$AC$643,9,False)</f>
        <v>Petén-Veracruz moist forests</v>
      </c>
      <c r="BJ591" s="33" t="str">
        <f>VLOOKUP($O591,Eco_DEM_Data!$D$1:$AC$643,11,False)</f>
        <v>Tropical &amp; Subtropical Moist Broadleaf Forests</v>
      </c>
    </row>
    <row r="592">
      <c r="A592" s="33" t="s">
        <v>1474</v>
      </c>
      <c r="B592" s="33" t="s">
        <v>2259</v>
      </c>
      <c r="C592" s="70" t="e">
        <v>#N/A</v>
      </c>
      <c r="D592" s="33" t="s">
        <v>53</v>
      </c>
      <c r="E592" s="34">
        <v>2019.0</v>
      </c>
      <c r="F592" s="33" t="s">
        <v>1475</v>
      </c>
      <c r="G592" s="33" t="s">
        <v>1476</v>
      </c>
      <c r="H592" s="33" t="s">
        <v>1477</v>
      </c>
      <c r="I592" s="33" t="s">
        <v>1478</v>
      </c>
      <c r="J592" s="33" t="s">
        <v>1479</v>
      </c>
      <c r="K592" s="34">
        <v>502.0</v>
      </c>
      <c r="L592" s="33" t="s">
        <v>1480</v>
      </c>
      <c r="M592" s="6" t="s">
        <v>1481</v>
      </c>
      <c r="N592" s="35" t="s">
        <v>60</v>
      </c>
      <c r="O592" s="33" t="s">
        <v>1505</v>
      </c>
      <c r="P592" s="33" t="s">
        <v>62</v>
      </c>
      <c r="Q592" s="33" t="s">
        <v>187</v>
      </c>
      <c r="R592" s="33" t="s">
        <v>1506</v>
      </c>
      <c r="S592" s="34">
        <v>17.886007</v>
      </c>
      <c r="T592" s="55">
        <v>-88.899136</v>
      </c>
      <c r="U592" s="33" t="s">
        <v>1484</v>
      </c>
      <c r="V592" s="38" t="s">
        <v>382</v>
      </c>
      <c r="W592" s="33" t="s">
        <v>173</v>
      </c>
      <c r="X592" s="1" t="s">
        <v>1491</v>
      </c>
      <c r="Y592" s="33" t="s">
        <v>968</v>
      </c>
      <c r="Z592" s="33"/>
      <c r="AA592" s="34">
        <v>3.0</v>
      </c>
      <c r="AB592" s="33"/>
      <c r="AC592" s="33"/>
      <c r="AD592" s="33"/>
      <c r="AE592" s="33"/>
      <c r="AF592" s="33"/>
      <c r="AG592" s="33"/>
      <c r="AH592" s="33" t="s">
        <v>399</v>
      </c>
      <c r="AI592" s="34">
        <v>270.0</v>
      </c>
      <c r="AJ592" s="34">
        <v>1950.0</v>
      </c>
      <c r="AK592" s="6" t="s">
        <v>100</v>
      </c>
      <c r="AL592" s="6" t="s">
        <v>76</v>
      </c>
      <c r="AM592" s="6" t="s">
        <v>72</v>
      </c>
      <c r="AN592" s="6" t="s">
        <v>72</v>
      </c>
      <c r="AO592" s="33"/>
      <c r="AP592" s="6" t="s">
        <v>75</v>
      </c>
      <c r="AQ592" s="33"/>
      <c r="AR592" s="33"/>
      <c r="AS592" s="33"/>
      <c r="AT592" s="6" t="s">
        <v>76</v>
      </c>
      <c r="AU592" s="33"/>
      <c r="AV592" s="33"/>
      <c r="AW592" s="33"/>
      <c r="AX592" s="33"/>
      <c r="AY592" s="33"/>
      <c r="AZ592" s="6" t="s">
        <v>76</v>
      </c>
      <c r="BA592" s="33"/>
      <c r="BB592" s="33">
        <f>VLOOKUP(O592,Eco_DEM_Data!$D$1:$AC$643,20,False)</f>
        <v>1475</v>
      </c>
      <c r="BC592" s="33">
        <f>VLOOKUP($O592,Eco_DEM_Data!$D$1:$AC$643,20,False)</f>
        <v>1475</v>
      </c>
      <c r="BD592" s="33">
        <f>VLOOKUP($O592,Eco_DEM_Data!$D$1:$AC$643,25,False)</f>
        <v>592</v>
      </c>
      <c r="BE592" s="33">
        <f>VLOOKUP($O592,Eco_DEM_Data!$D$1:$AC$643,22,False)</f>
        <v>37</v>
      </c>
      <c r="BF592" s="33">
        <f>VLOOKUP($O592,Eco_DEM_Data!$D$1:$AC$643,23,False)</f>
        <v>119</v>
      </c>
      <c r="BG592" s="33">
        <f>VLOOKUP($O592,Eco_DEM_Data!$D$1:$AC$643,21,False)</f>
        <v>5493</v>
      </c>
      <c r="BH592" s="33">
        <f>VLOOKUP($O592,Eco_DEM_Data!$D$1:$AC$643,26,False)</f>
        <v>62</v>
      </c>
      <c r="BI592" s="33" t="str">
        <f>VLOOKUP($O592,Eco_DEM_Data!$D$1:$AC$643,9,False)</f>
        <v>Petén-Veracruz moist forests</v>
      </c>
      <c r="BJ592" s="33" t="str">
        <f>VLOOKUP($O592,Eco_DEM_Data!$D$1:$AC$643,11,False)</f>
        <v>Tropical &amp; Subtropical Moist Broadleaf Forests</v>
      </c>
    </row>
    <row r="593">
      <c r="A593" s="33" t="s">
        <v>1474</v>
      </c>
      <c r="B593" s="33" t="s">
        <v>2259</v>
      </c>
      <c r="C593" s="70" t="e">
        <v>#N/A</v>
      </c>
      <c r="D593" s="33" t="s">
        <v>53</v>
      </c>
      <c r="E593" s="34">
        <v>2019.0</v>
      </c>
      <c r="F593" s="33" t="s">
        <v>1475</v>
      </c>
      <c r="G593" s="33" t="s">
        <v>1476</v>
      </c>
      <c r="H593" s="33" t="s">
        <v>1477</v>
      </c>
      <c r="I593" s="33" t="s">
        <v>1478</v>
      </c>
      <c r="J593" s="33" t="s">
        <v>1479</v>
      </c>
      <c r="K593" s="34">
        <v>502.0</v>
      </c>
      <c r="L593" s="33" t="s">
        <v>1480</v>
      </c>
      <c r="M593" s="6" t="s">
        <v>1481</v>
      </c>
      <c r="N593" s="35" t="s">
        <v>60</v>
      </c>
      <c r="O593" s="33" t="s">
        <v>1507</v>
      </c>
      <c r="P593" s="33" t="s">
        <v>62</v>
      </c>
      <c r="Q593" s="33" t="s">
        <v>187</v>
      </c>
      <c r="R593" s="33" t="s">
        <v>1506</v>
      </c>
      <c r="S593" s="34">
        <v>17.886007</v>
      </c>
      <c r="T593" s="55">
        <v>-88.899136</v>
      </c>
      <c r="U593" s="33" t="s">
        <v>1484</v>
      </c>
      <c r="V593" s="38" t="s">
        <v>194</v>
      </c>
      <c r="W593" s="33" t="s">
        <v>173</v>
      </c>
      <c r="X593" s="1" t="s">
        <v>286</v>
      </c>
      <c r="Y593" s="33" t="s">
        <v>70</v>
      </c>
      <c r="Z593" s="33"/>
      <c r="AA593" s="34">
        <v>3.0</v>
      </c>
      <c r="AB593" s="33"/>
      <c r="AC593" s="33"/>
      <c r="AD593" s="33"/>
      <c r="AE593" s="33"/>
      <c r="AF593" s="33"/>
      <c r="AG593" s="33"/>
      <c r="AH593" s="33" t="s">
        <v>399</v>
      </c>
      <c r="AI593" s="34">
        <v>270.0</v>
      </c>
      <c r="AJ593" s="34">
        <v>1950.0</v>
      </c>
      <c r="AK593" s="6" t="s">
        <v>100</v>
      </c>
      <c r="AL593" s="6" t="s">
        <v>76</v>
      </c>
      <c r="AM593" s="6" t="s">
        <v>72</v>
      </c>
      <c r="AN593" s="6" t="s">
        <v>72</v>
      </c>
      <c r="AO593" s="33"/>
      <c r="AP593" s="6" t="s">
        <v>75</v>
      </c>
      <c r="AQ593" s="33"/>
      <c r="AR593" s="33"/>
      <c r="AS593" s="33"/>
      <c r="AT593" s="6" t="s">
        <v>76</v>
      </c>
      <c r="AU593" s="33"/>
      <c r="AV593" s="33"/>
      <c r="AW593" s="33"/>
      <c r="AX593" s="33"/>
      <c r="AY593" s="33"/>
      <c r="AZ593" s="6" t="s">
        <v>76</v>
      </c>
      <c r="BA593" s="33"/>
      <c r="BB593" s="33">
        <f>VLOOKUP(O593,Eco_DEM_Data!$D$1:$AC$643,20,False)</f>
        <v>1475</v>
      </c>
      <c r="BC593" s="33">
        <f>VLOOKUP($O593,Eco_DEM_Data!$D$1:$AC$643,20,False)</f>
        <v>1475</v>
      </c>
      <c r="BD593" s="33">
        <f>VLOOKUP($O593,Eco_DEM_Data!$D$1:$AC$643,25,False)</f>
        <v>592</v>
      </c>
      <c r="BE593" s="33">
        <f>VLOOKUP($O593,Eco_DEM_Data!$D$1:$AC$643,22,False)</f>
        <v>37</v>
      </c>
      <c r="BF593" s="33">
        <f>VLOOKUP($O593,Eco_DEM_Data!$D$1:$AC$643,23,False)</f>
        <v>119</v>
      </c>
      <c r="BG593" s="33">
        <f>VLOOKUP($O593,Eco_DEM_Data!$D$1:$AC$643,21,False)</f>
        <v>5493</v>
      </c>
      <c r="BH593" s="33">
        <f>VLOOKUP($O593,Eco_DEM_Data!$D$1:$AC$643,26,False)</f>
        <v>62</v>
      </c>
      <c r="BI593" s="33" t="str">
        <f>VLOOKUP($O593,Eco_DEM_Data!$D$1:$AC$643,9,False)</f>
        <v>Petén-Veracruz moist forests</v>
      </c>
      <c r="BJ593" s="33" t="str">
        <f>VLOOKUP($O593,Eco_DEM_Data!$D$1:$AC$643,11,False)</f>
        <v>Tropical &amp; Subtropical Moist Broadleaf Forests</v>
      </c>
    </row>
    <row r="594">
      <c r="A594" s="33" t="s">
        <v>1474</v>
      </c>
      <c r="B594" s="33" t="s">
        <v>2259</v>
      </c>
      <c r="C594" s="70" t="e">
        <v>#N/A</v>
      </c>
      <c r="D594" s="33" t="s">
        <v>53</v>
      </c>
      <c r="E594" s="34">
        <v>2019.0</v>
      </c>
      <c r="F594" s="33" t="s">
        <v>1475</v>
      </c>
      <c r="G594" s="33" t="s">
        <v>1476</v>
      </c>
      <c r="H594" s="33" t="s">
        <v>1477</v>
      </c>
      <c r="I594" s="33" t="s">
        <v>1478</v>
      </c>
      <c r="J594" s="33" t="s">
        <v>1479</v>
      </c>
      <c r="K594" s="34">
        <v>502.0</v>
      </c>
      <c r="L594" s="33" t="s">
        <v>1480</v>
      </c>
      <c r="M594" s="6" t="s">
        <v>1481</v>
      </c>
      <c r="N594" s="35" t="s">
        <v>60</v>
      </c>
      <c r="O594" s="33" t="s">
        <v>1508</v>
      </c>
      <c r="P594" s="33" t="s">
        <v>62</v>
      </c>
      <c r="Q594" s="33" t="s">
        <v>187</v>
      </c>
      <c r="R594" s="33" t="s">
        <v>1506</v>
      </c>
      <c r="S594" s="34">
        <v>17.886007</v>
      </c>
      <c r="T594" s="55">
        <v>-88.899136</v>
      </c>
      <c r="U594" s="33" t="s">
        <v>1484</v>
      </c>
      <c r="V594" s="6" t="s">
        <v>189</v>
      </c>
      <c r="W594" s="15" t="s">
        <v>173</v>
      </c>
      <c r="X594" s="1" t="s">
        <v>284</v>
      </c>
      <c r="Y594" s="33" t="s">
        <v>70</v>
      </c>
      <c r="Z594" s="33"/>
      <c r="AA594" s="34">
        <v>3.0</v>
      </c>
      <c r="AB594" s="33"/>
      <c r="AC594" s="33"/>
      <c r="AD594" s="33"/>
      <c r="AE594" s="33"/>
      <c r="AF594" s="33"/>
      <c r="AG594" s="33"/>
      <c r="AH594" s="33" t="s">
        <v>399</v>
      </c>
      <c r="AI594" s="34">
        <v>270.0</v>
      </c>
      <c r="AJ594" s="34">
        <v>1950.0</v>
      </c>
      <c r="AK594" s="6" t="s">
        <v>100</v>
      </c>
      <c r="AL594" s="6" t="s">
        <v>76</v>
      </c>
      <c r="AM594" s="6" t="s">
        <v>72</v>
      </c>
      <c r="AN594" s="6" t="s">
        <v>72</v>
      </c>
      <c r="AO594" s="33"/>
      <c r="AP594" s="6" t="s">
        <v>75</v>
      </c>
      <c r="AQ594" s="33"/>
      <c r="AR594" s="33"/>
      <c r="AS594" s="33"/>
      <c r="AT594" s="6" t="s">
        <v>76</v>
      </c>
      <c r="AU594" s="33"/>
      <c r="AV594" s="33"/>
      <c r="AW594" s="33"/>
      <c r="AX594" s="33"/>
      <c r="AY594" s="33"/>
      <c r="AZ594" s="6" t="s">
        <v>76</v>
      </c>
      <c r="BA594" s="33"/>
      <c r="BB594" s="33">
        <f>VLOOKUP(O594,Eco_DEM_Data!$D$1:$AC$643,20,False)</f>
        <v>1475</v>
      </c>
      <c r="BC594" s="33">
        <f>VLOOKUP($O594,Eco_DEM_Data!$D$1:$AC$643,20,False)</f>
        <v>1475</v>
      </c>
      <c r="BD594" s="33">
        <f>VLOOKUP($O594,Eco_DEM_Data!$D$1:$AC$643,25,False)</f>
        <v>592</v>
      </c>
      <c r="BE594" s="33">
        <f>VLOOKUP($O594,Eco_DEM_Data!$D$1:$AC$643,22,False)</f>
        <v>37</v>
      </c>
      <c r="BF594" s="33">
        <f>VLOOKUP($O594,Eco_DEM_Data!$D$1:$AC$643,23,False)</f>
        <v>119</v>
      </c>
      <c r="BG594" s="33">
        <f>VLOOKUP($O594,Eco_DEM_Data!$D$1:$AC$643,21,False)</f>
        <v>5493</v>
      </c>
      <c r="BH594" s="33">
        <f>VLOOKUP($O594,Eco_DEM_Data!$D$1:$AC$643,26,False)</f>
        <v>62</v>
      </c>
      <c r="BI594" s="33" t="str">
        <f>VLOOKUP($O594,Eco_DEM_Data!$D$1:$AC$643,9,False)</f>
        <v>Petén-Veracruz moist forests</v>
      </c>
      <c r="BJ594" s="33" t="str">
        <f>VLOOKUP($O594,Eco_DEM_Data!$D$1:$AC$643,11,False)</f>
        <v>Tropical &amp; Subtropical Moist Broadleaf Forests</v>
      </c>
    </row>
    <row r="595">
      <c r="A595" s="33" t="s">
        <v>1474</v>
      </c>
      <c r="B595" s="33" t="s">
        <v>2259</v>
      </c>
      <c r="C595" s="70" t="e">
        <v>#N/A</v>
      </c>
      <c r="D595" s="33" t="s">
        <v>53</v>
      </c>
      <c r="E595" s="34">
        <v>2019.0</v>
      </c>
      <c r="F595" s="33" t="s">
        <v>1475</v>
      </c>
      <c r="G595" s="33" t="s">
        <v>1476</v>
      </c>
      <c r="H595" s="33" t="s">
        <v>1477</v>
      </c>
      <c r="I595" s="33" t="s">
        <v>1478</v>
      </c>
      <c r="J595" s="33" t="s">
        <v>1479</v>
      </c>
      <c r="K595" s="34">
        <v>502.0</v>
      </c>
      <c r="L595" s="33" t="s">
        <v>1480</v>
      </c>
      <c r="M595" s="6" t="s">
        <v>1481</v>
      </c>
      <c r="N595" s="35" t="s">
        <v>60</v>
      </c>
      <c r="O595" s="33" t="s">
        <v>1509</v>
      </c>
      <c r="P595" s="33" t="s">
        <v>62</v>
      </c>
      <c r="Q595" s="33" t="s">
        <v>187</v>
      </c>
      <c r="R595" s="33" t="s">
        <v>1506</v>
      </c>
      <c r="S595" s="34">
        <v>17.886007</v>
      </c>
      <c r="T595" s="55">
        <v>-88.899136</v>
      </c>
      <c r="U595" s="33" t="s">
        <v>1484</v>
      </c>
      <c r="V595" s="6" t="s">
        <v>135</v>
      </c>
      <c r="W595" s="41" t="s">
        <v>823</v>
      </c>
      <c r="X595" s="7" t="s">
        <v>1503</v>
      </c>
      <c r="Y595" s="64" t="s">
        <v>256</v>
      </c>
      <c r="Z595" s="41"/>
      <c r="AA595" s="68">
        <v>3.0</v>
      </c>
      <c r="AB595" s="41"/>
      <c r="AC595" s="41"/>
      <c r="AD595" s="41"/>
      <c r="AE595" s="41"/>
      <c r="AF595" s="41"/>
      <c r="AG595" s="41"/>
      <c r="AH595" s="41" t="s">
        <v>399</v>
      </c>
      <c r="AI595" s="68">
        <v>270.0</v>
      </c>
      <c r="AJ595" s="68">
        <v>1950.0</v>
      </c>
      <c r="AK595" s="5" t="s">
        <v>100</v>
      </c>
      <c r="AL595" s="5" t="s">
        <v>76</v>
      </c>
      <c r="AM595" s="5" t="s">
        <v>72</v>
      </c>
      <c r="AN595" s="5" t="s">
        <v>72</v>
      </c>
      <c r="AO595" s="41"/>
      <c r="AP595" s="5" t="s">
        <v>75</v>
      </c>
      <c r="AQ595" s="41"/>
      <c r="AR595" s="41"/>
      <c r="AS595" s="41"/>
      <c r="AT595" s="6" t="s">
        <v>76</v>
      </c>
      <c r="AU595" s="33"/>
      <c r="AV595" s="33"/>
      <c r="AW595" s="33"/>
      <c r="AX595" s="33"/>
      <c r="AY595" s="33"/>
      <c r="AZ595" s="6" t="s">
        <v>76</v>
      </c>
      <c r="BA595" s="33"/>
      <c r="BB595" s="33">
        <f>VLOOKUP(O595,Eco_DEM_Data!$D$1:$AC$643,20,False)</f>
        <v>1475</v>
      </c>
      <c r="BC595" s="33">
        <f>VLOOKUP($O595,Eco_DEM_Data!$D$1:$AC$643,20,False)</f>
        <v>1475</v>
      </c>
      <c r="BD595" s="33">
        <f>VLOOKUP($O595,Eco_DEM_Data!$D$1:$AC$643,25,False)</f>
        <v>592</v>
      </c>
      <c r="BE595" s="33">
        <f>VLOOKUP($O595,Eco_DEM_Data!$D$1:$AC$643,22,False)</f>
        <v>37</v>
      </c>
      <c r="BF595" s="33">
        <f>VLOOKUP($O595,Eco_DEM_Data!$D$1:$AC$643,23,False)</f>
        <v>119</v>
      </c>
      <c r="BG595" s="33">
        <f>VLOOKUP($O595,Eco_DEM_Data!$D$1:$AC$643,21,False)</f>
        <v>5493</v>
      </c>
      <c r="BH595" s="33">
        <f>VLOOKUP($O595,Eco_DEM_Data!$D$1:$AC$643,26,False)</f>
        <v>62</v>
      </c>
      <c r="BI595" s="33" t="str">
        <f>VLOOKUP($O595,Eco_DEM_Data!$D$1:$AC$643,9,False)</f>
        <v>Petén-Veracruz moist forests</v>
      </c>
      <c r="BJ595" s="33" t="str">
        <f>VLOOKUP($O595,Eco_DEM_Data!$D$1:$AC$643,11,False)</f>
        <v>Tropical &amp; Subtropical Moist Broadleaf Forests</v>
      </c>
    </row>
    <row r="596">
      <c r="A596" s="33" t="s">
        <v>1474</v>
      </c>
      <c r="B596" s="33" t="s">
        <v>2259</v>
      </c>
      <c r="C596" s="70" t="e">
        <v>#N/A</v>
      </c>
      <c r="D596" s="33" t="s">
        <v>53</v>
      </c>
      <c r="E596" s="34">
        <v>2019.0</v>
      </c>
      <c r="F596" s="33" t="s">
        <v>1475</v>
      </c>
      <c r="G596" s="33" t="s">
        <v>1476</v>
      </c>
      <c r="H596" s="33" t="s">
        <v>1477</v>
      </c>
      <c r="I596" s="33" t="s">
        <v>1478</v>
      </c>
      <c r="J596" s="33" t="s">
        <v>1479</v>
      </c>
      <c r="K596" s="34">
        <v>502.0</v>
      </c>
      <c r="L596" s="33" t="s">
        <v>1480</v>
      </c>
      <c r="M596" s="6" t="s">
        <v>1481</v>
      </c>
      <c r="N596" s="35" t="s">
        <v>60</v>
      </c>
      <c r="O596" s="33" t="s">
        <v>1510</v>
      </c>
      <c r="P596" s="33" t="s">
        <v>62</v>
      </c>
      <c r="Q596" s="33" t="s">
        <v>187</v>
      </c>
      <c r="R596" s="33" t="s">
        <v>1506</v>
      </c>
      <c r="S596" s="34">
        <v>17.886007</v>
      </c>
      <c r="T596" s="55">
        <v>-88.899136</v>
      </c>
      <c r="U596" s="33" t="s">
        <v>1484</v>
      </c>
      <c r="V596" s="6" t="s">
        <v>169</v>
      </c>
      <c r="W596" s="33" t="s">
        <v>173</v>
      </c>
      <c r="X596" s="1" t="s">
        <v>1044</v>
      </c>
      <c r="Y596" s="33" t="s">
        <v>70</v>
      </c>
      <c r="Z596" s="33"/>
      <c r="AA596" s="34">
        <v>3.0</v>
      </c>
      <c r="AB596" s="33"/>
      <c r="AC596" s="33"/>
      <c r="AD596" s="33"/>
      <c r="AE596" s="33"/>
      <c r="AF596" s="33"/>
      <c r="AG596" s="33"/>
      <c r="AH596" s="33" t="s">
        <v>399</v>
      </c>
      <c r="AI596" s="34">
        <v>270.0</v>
      </c>
      <c r="AJ596" s="34">
        <v>1950.0</v>
      </c>
      <c r="AK596" s="6" t="s">
        <v>100</v>
      </c>
      <c r="AL596" s="6" t="s">
        <v>76</v>
      </c>
      <c r="AM596" s="6" t="s">
        <v>72</v>
      </c>
      <c r="AN596" s="6" t="s">
        <v>72</v>
      </c>
      <c r="AO596" s="33"/>
      <c r="AP596" s="6" t="s">
        <v>75</v>
      </c>
      <c r="AQ596" s="33"/>
      <c r="AR596" s="33"/>
      <c r="AS596" s="33"/>
      <c r="AT596" s="6" t="s">
        <v>76</v>
      </c>
      <c r="AU596" s="33"/>
      <c r="AV596" s="33"/>
      <c r="AW596" s="33"/>
      <c r="AX596" s="33"/>
      <c r="AY596" s="33"/>
      <c r="AZ596" s="6" t="s">
        <v>76</v>
      </c>
      <c r="BA596" s="33"/>
      <c r="BB596" s="33">
        <f>VLOOKUP(O596,Eco_DEM_Data!$D$1:$AC$643,20,False)</f>
        <v>1475</v>
      </c>
      <c r="BC596" s="33">
        <f>VLOOKUP($O596,Eco_DEM_Data!$D$1:$AC$643,20,False)</f>
        <v>1475</v>
      </c>
      <c r="BD596" s="33">
        <f>VLOOKUP($O596,Eco_DEM_Data!$D$1:$AC$643,25,False)</f>
        <v>592</v>
      </c>
      <c r="BE596" s="33">
        <f>VLOOKUP($O596,Eco_DEM_Data!$D$1:$AC$643,22,False)</f>
        <v>37</v>
      </c>
      <c r="BF596" s="33">
        <f>VLOOKUP($O596,Eco_DEM_Data!$D$1:$AC$643,23,False)</f>
        <v>119</v>
      </c>
      <c r="BG596" s="33">
        <f>VLOOKUP($O596,Eco_DEM_Data!$D$1:$AC$643,21,False)</f>
        <v>5493</v>
      </c>
      <c r="BH596" s="33">
        <f>VLOOKUP($O596,Eco_DEM_Data!$D$1:$AC$643,26,False)</f>
        <v>62</v>
      </c>
      <c r="BI596" s="33" t="str">
        <f>VLOOKUP($O596,Eco_DEM_Data!$D$1:$AC$643,9,False)</f>
        <v>Petén-Veracruz moist forests</v>
      </c>
      <c r="BJ596" s="33" t="str">
        <f>VLOOKUP($O596,Eco_DEM_Data!$D$1:$AC$643,11,False)</f>
        <v>Tropical &amp; Subtropical Moist Broadleaf Forests</v>
      </c>
    </row>
    <row r="597">
      <c r="A597" s="33" t="s">
        <v>1474</v>
      </c>
      <c r="B597" s="33" t="s">
        <v>2259</v>
      </c>
      <c r="C597" s="70" t="e">
        <v>#N/A</v>
      </c>
      <c r="D597" s="33" t="s">
        <v>53</v>
      </c>
      <c r="E597" s="34">
        <v>2019.0</v>
      </c>
      <c r="F597" s="33" t="s">
        <v>1475</v>
      </c>
      <c r="G597" s="33" t="s">
        <v>1476</v>
      </c>
      <c r="H597" s="33" t="s">
        <v>1477</v>
      </c>
      <c r="I597" s="33" t="s">
        <v>1478</v>
      </c>
      <c r="J597" s="33" t="s">
        <v>1479</v>
      </c>
      <c r="K597" s="34">
        <v>502.0</v>
      </c>
      <c r="L597" s="33" t="s">
        <v>1480</v>
      </c>
      <c r="M597" s="6" t="s">
        <v>1481</v>
      </c>
      <c r="N597" s="35" t="s">
        <v>60</v>
      </c>
      <c r="O597" s="33" t="s">
        <v>1511</v>
      </c>
      <c r="P597" s="33" t="s">
        <v>62</v>
      </c>
      <c r="Q597" s="33" t="s">
        <v>187</v>
      </c>
      <c r="R597" s="33" t="s">
        <v>1506</v>
      </c>
      <c r="S597" s="34">
        <v>17.886007</v>
      </c>
      <c r="T597" s="55">
        <v>-88.899136</v>
      </c>
      <c r="U597" s="33" t="s">
        <v>1484</v>
      </c>
      <c r="V597" s="6" t="s">
        <v>66</v>
      </c>
      <c r="W597" s="41" t="s">
        <v>823</v>
      </c>
      <c r="X597" s="7" t="s">
        <v>1487</v>
      </c>
      <c r="Y597" s="5" t="s">
        <v>72</v>
      </c>
      <c r="Z597" s="41"/>
      <c r="AA597" s="68">
        <v>3.0</v>
      </c>
      <c r="AB597" s="41"/>
      <c r="AC597" s="41"/>
      <c r="AD597" s="41"/>
      <c r="AE597" s="41"/>
      <c r="AF597" s="41"/>
      <c r="AG597" s="41"/>
      <c r="AH597" s="41" t="s">
        <v>399</v>
      </c>
      <c r="AI597" s="68">
        <v>270.0</v>
      </c>
      <c r="AJ597" s="68">
        <v>1950.0</v>
      </c>
      <c r="AK597" s="5" t="s">
        <v>100</v>
      </c>
      <c r="AL597" s="5" t="s">
        <v>76</v>
      </c>
      <c r="AM597" s="5" t="s">
        <v>72</v>
      </c>
      <c r="AN597" s="5" t="s">
        <v>72</v>
      </c>
      <c r="AO597" s="41"/>
      <c r="AP597" s="5" t="s">
        <v>75</v>
      </c>
      <c r="AQ597" s="41"/>
      <c r="AR597" s="41"/>
      <c r="AS597" s="41"/>
      <c r="AT597" s="5" t="s">
        <v>60</v>
      </c>
      <c r="AU597" s="33"/>
      <c r="AV597" s="33"/>
      <c r="AW597" s="33"/>
      <c r="AX597" s="33"/>
      <c r="AY597" s="33"/>
      <c r="AZ597" s="6" t="s">
        <v>76</v>
      </c>
      <c r="BA597" s="33"/>
      <c r="BB597" s="33">
        <f>VLOOKUP(O597,Eco_DEM_Data!$D$1:$AC$643,20,False)</f>
        <v>1475</v>
      </c>
      <c r="BC597" s="33">
        <f>VLOOKUP($O597,Eco_DEM_Data!$D$1:$AC$643,20,False)</f>
        <v>1475</v>
      </c>
      <c r="BD597" s="33">
        <f>VLOOKUP($O597,Eco_DEM_Data!$D$1:$AC$643,25,False)</f>
        <v>592</v>
      </c>
      <c r="BE597" s="33">
        <f>VLOOKUP($O597,Eco_DEM_Data!$D$1:$AC$643,22,False)</f>
        <v>37</v>
      </c>
      <c r="BF597" s="33">
        <f>VLOOKUP($O597,Eco_DEM_Data!$D$1:$AC$643,23,False)</f>
        <v>119</v>
      </c>
      <c r="BG597" s="33">
        <f>VLOOKUP($O597,Eco_DEM_Data!$D$1:$AC$643,21,False)</f>
        <v>5493</v>
      </c>
      <c r="BH597" s="33">
        <f>VLOOKUP($O597,Eco_DEM_Data!$D$1:$AC$643,26,False)</f>
        <v>62</v>
      </c>
      <c r="BI597" s="33" t="str">
        <f>VLOOKUP($O597,Eco_DEM_Data!$D$1:$AC$643,9,False)</f>
        <v>Petén-Veracruz moist forests</v>
      </c>
      <c r="BJ597" s="33" t="str">
        <f>VLOOKUP($O597,Eco_DEM_Data!$D$1:$AC$643,11,False)</f>
        <v>Tropical &amp; Subtropical Moist Broadleaf Forests</v>
      </c>
    </row>
    <row r="598">
      <c r="A598" s="33" t="s">
        <v>1474</v>
      </c>
      <c r="B598" s="33" t="s">
        <v>2259</v>
      </c>
      <c r="C598" s="70" t="e">
        <v>#N/A</v>
      </c>
      <c r="D598" s="33" t="s">
        <v>53</v>
      </c>
      <c r="E598" s="34">
        <v>2019.0</v>
      </c>
      <c r="F598" s="33" t="s">
        <v>1475</v>
      </c>
      <c r="G598" s="33" t="s">
        <v>1476</v>
      </c>
      <c r="H598" s="33" t="s">
        <v>1477</v>
      </c>
      <c r="I598" s="33" t="s">
        <v>1478</v>
      </c>
      <c r="J598" s="33" t="s">
        <v>1479</v>
      </c>
      <c r="K598" s="34">
        <v>502.0</v>
      </c>
      <c r="L598" s="33" t="s">
        <v>1480</v>
      </c>
      <c r="M598" s="6" t="s">
        <v>1481</v>
      </c>
      <c r="N598" s="35" t="s">
        <v>60</v>
      </c>
      <c r="O598" s="33" t="s">
        <v>1512</v>
      </c>
      <c r="P598" s="33" t="s">
        <v>62</v>
      </c>
      <c r="Q598" s="33" t="s">
        <v>187</v>
      </c>
      <c r="R598" s="33" t="s">
        <v>1506</v>
      </c>
      <c r="S598" s="34">
        <v>17.886007</v>
      </c>
      <c r="T598" s="55">
        <v>-88.899136</v>
      </c>
      <c r="U598" s="33" t="s">
        <v>1484</v>
      </c>
      <c r="V598" s="6" t="s">
        <v>293</v>
      </c>
      <c r="W598" s="41" t="s">
        <v>823</v>
      </c>
      <c r="X598" s="7" t="s">
        <v>1489</v>
      </c>
      <c r="Y598" s="5" t="s">
        <v>72</v>
      </c>
      <c r="Z598" s="41"/>
      <c r="AA598" s="68">
        <v>3.0</v>
      </c>
      <c r="AB598" s="41"/>
      <c r="AC598" s="41"/>
      <c r="AD598" s="41"/>
      <c r="AE598" s="41"/>
      <c r="AF598" s="41"/>
      <c r="AG598" s="41"/>
      <c r="AH598" s="41" t="s">
        <v>399</v>
      </c>
      <c r="AI598" s="68">
        <v>270.0</v>
      </c>
      <c r="AJ598" s="68">
        <v>1950.0</v>
      </c>
      <c r="AK598" s="5" t="s">
        <v>100</v>
      </c>
      <c r="AL598" s="5" t="s">
        <v>76</v>
      </c>
      <c r="AM598" s="5" t="s">
        <v>72</v>
      </c>
      <c r="AN598" s="5" t="s">
        <v>72</v>
      </c>
      <c r="AO598" s="41"/>
      <c r="AP598" s="5" t="s">
        <v>75</v>
      </c>
      <c r="AQ598" s="41"/>
      <c r="AR598" s="41"/>
      <c r="AS598" s="41"/>
      <c r="AT598" s="5" t="s">
        <v>76</v>
      </c>
      <c r="AU598" s="33"/>
      <c r="AV598" s="33"/>
      <c r="AW598" s="33"/>
      <c r="AX598" s="33"/>
      <c r="AY598" s="33"/>
      <c r="AZ598" s="6" t="s">
        <v>76</v>
      </c>
      <c r="BA598" s="33"/>
      <c r="BB598" s="33">
        <f>VLOOKUP(O598,Eco_DEM_Data!$D$1:$AC$643,20,False)</f>
        <v>1475</v>
      </c>
      <c r="BC598" s="33">
        <f>VLOOKUP($O598,Eco_DEM_Data!$D$1:$AC$643,20,False)</f>
        <v>1475</v>
      </c>
      <c r="BD598" s="33">
        <f>VLOOKUP($O598,Eco_DEM_Data!$D$1:$AC$643,25,False)</f>
        <v>592</v>
      </c>
      <c r="BE598" s="33">
        <f>VLOOKUP($O598,Eco_DEM_Data!$D$1:$AC$643,22,False)</f>
        <v>37</v>
      </c>
      <c r="BF598" s="33">
        <f>VLOOKUP($O598,Eco_DEM_Data!$D$1:$AC$643,23,False)</f>
        <v>119</v>
      </c>
      <c r="BG598" s="33">
        <f>VLOOKUP($O598,Eco_DEM_Data!$D$1:$AC$643,21,False)</f>
        <v>5493</v>
      </c>
      <c r="BH598" s="33">
        <f>VLOOKUP($O598,Eco_DEM_Data!$D$1:$AC$643,26,False)</f>
        <v>62</v>
      </c>
      <c r="BI598" s="33" t="str">
        <f>VLOOKUP($O598,Eco_DEM_Data!$D$1:$AC$643,9,False)</f>
        <v>Petén-Veracruz moist forests</v>
      </c>
      <c r="BJ598" s="33" t="str">
        <f>VLOOKUP($O598,Eco_DEM_Data!$D$1:$AC$643,11,False)</f>
        <v>Tropical &amp; Subtropical Moist Broadleaf Forests</v>
      </c>
    </row>
    <row r="599">
      <c r="A599" s="33" t="s">
        <v>1474</v>
      </c>
      <c r="B599" s="33" t="s">
        <v>2259</v>
      </c>
      <c r="C599" s="70" t="e">
        <v>#N/A</v>
      </c>
      <c r="D599" s="33" t="s">
        <v>53</v>
      </c>
      <c r="E599" s="34">
        <v>2019.0</v>
      </c>
      <c r="F599" s="33" t="s">
        <v>1475</v>
      </c>
      <c r="G599" s="33" t="s">
        <v>1476</v>
      </c>
      <c r="H599" s="33" t="s">
        <v>1477</v>
      </c>
      <c r="I599" s="33" t="s">
        <v>1478</v>
      </c>
      <c r="J599" s="33" t="s">
        <v>1479</v>
      </c>
      <c r="K599" s="34">
        <v>502.0</v>
      </c>
      <c r="L599" s="33" t="s">
        <v>1480</v>
      </c>
      <c r="M599" s="6" t="s">
        <v>1481</v>
      </c>
      <c r="N599" s="35" t="s">
        <v>60</v>
      </c>
      <c r="O599" s="33" t="s">
        <v>1513</v>
      </c>
      <c r="P599" s="33" t="s">
        <v>62</v>
      </c>
      <c r="Q599" s="33" t="s">
        <v>187</v>
      </c>
      <c r="R599" s="33" t="s">
        <v>1506</v>
      </c>
      <c r="S599" s="34">
        <v>17.886007</v>
      </c>
      <c r="T599" s="55">
        <v>-88.899136</v>
      </c>
      <c r="U599" s="33" t="s">
        <v>1484</v>
      </c>
      <c r="V599" s="6" t="s">
        <v>293</v>
      </c>
      <c r="W599" s="33" t="s">
        <v>156</v>
      </c>
      <c r="X599" s="3" t="s">
        <v>72</v>
      </c>
      <c r="Y599" s="6" t="s">
        <v>72</v>
      </c>
      <c r="Z599" s="33"/>
      <c r="AA599" s="34">
        <v>3.0</v>
      </c>
      <c r="AB599" s="33"/>
      <c r="AC599" s="33"/>
      <c r="AD599" s="33"/>
      <c r="AE599" s="33"/>
      <c r="AF599" s="33"/>
      <c r="AG599" s="33"/>
      <c r="AH599" s="33" t="s">
        <v>399</v>
      </c>
      <c r="AI599" s="34">
        <v>270.0</v>
      </c>
      <c r="AJ599" s="34">
        <v>1950.0</v>
      </c>
      <c r="AK599" s="6" t="s">
        <v>100</v>
      </c>
      <c r="AL599" s="6" t="s">
        <v>76</v>
      </c>
      <c r="AM599" s="6" t="s">
        <v>72</v>
      </c>
      <c r="AN599" s="6" t="s">
        <v>72</v>
      </c>
      <c r="AO599" s="33"/>
      <c r="AP599" s="6" t="s">
        <v>75</v>
      </c>
      <c r="AQ599" s="33"/>
      <c r="AR599" s="33"/>
      <c r="AS599" s="33"/>
      <c r="AT599" s="6" t="s">
        <v>76</v>
      </c>
      <c r="AU599" s="33"/>
      <c r="AV599" s="33"/>
      <c r="AW599" s="33"/>
      <c r="AX599" s="33"/>
      <c r="AY599" s="33"/>
      <c r="AZ599" s="6" t="s">
        <v>76</v>
      </c>
      <c r="BA599" s="33"/>
      <c r="BB599" s="33">
        <f>VLOOKUP(O599,Eco_DEM_Data!$D$1:$AC$643,20,False)</f>
        <v>1475</v>
      </c>
      <c r="BC599" s="33">
        <f>VLOOKUP($O599,Eco_DEM_Data!$D$1:$AC$643,20,False)</f>
        <v>1475</v>
      </c>
      <c r="BD599" s="33">
        <f>VLOOKUP($O599,Eco_DEM_Data!$D$1:$AC$643,25,False)</f>
        <v>592</v>
      </c>
      <c r="BE599" s="33">
        <f>VLOOKUP($O599,Eco_DEM_Data!$D$1:$AC$643,22,False)</f>
        <v>37</v>
      </c>
      <c r="BF599" s="33">
        <f>VLOOKUP($O599,Eco_DEM_Data!$D$1:$AC$643,23,False)</f>
        <v>119</v>
      </c>
      <c r="BG599" s="33">
        <f>VLOOKUP($O599,Eco_DEM_Data!$D$1:$AC$643,21,False)</f>
        <v>5493</v>
      </c>
      <c r="BH599" s="33">
        <f>VLOOKUP($O599,Eco_DEM_Data!$D$1:$AC$643,26,False)</f>
        <v>62</v>
      </c>
      <c r="BI599" s="33" t="str">
        <f>VLOOKUP($O599,Eco_DEM_Data!$D$1:$AC$643,9,False)</f>
        <v>Petén-Veracruz moist forests</v>
      </c>
      <c r="BJ599" s="33" t="str">
        <f>VLOOKUP($O599,Eco_DEM_Data!$D$1:$AC$643,11,False)</f>
        <v>Tropical &amp; Subtropical Moist Broadleaf Forests</v>
      </c>
    </row>
    <row r="600">
      <c r="A600" s="33" t="s">
        <v>1474</v>
      </c>
      <c r="B600" s="33" t="s">
        <v>2259</v>
      </c>
      <c r="C600" s="70" t="e">
        <v>#N/A</v>
      </c>
      <c r="D600" s="33" t="s">
        <v>53</v>
      </c>
      <c r="E600" s="34">
        <v>2019.0</v>
      </c>
      <c r="F600" s="33" t="s">
        <v>1475</v>
      </c>
      <c r="G600" s="33" t="s">
        <v>1476</v>
      </c>
      <c r="H600" s="33" t="s">
        <v>1477</v>
      </c>
      <c r="I600" s="33" t="s">
        <v>1478</v>
      </c>
      <c r="J600" s="33" t="s">
        <v>1479</v>
      </c>
      <c r="K600" s="34">
        <v>502.0</v>
      </c>
      <c r="L600" s="33" t="s">
        <v>1480</v>
      </c>
      <c r="M600" s="6" t="s">
        <v>1481</v>
      </c>
      <c r="N600" s="35" t="s">
        <v>60</v>
      </c>
      <c r="O600" s="33" t="s">
        <v>1514</v>
      </c>
      <c r="P600" s="33" t="s">
        <v>62</v>
      </c>
      <c r="Q600" s="33" t="s">
        <v>187</v>
      </c>
      <c r="R600" s="33" t="s">
        <v>1506</v>
      </c>
      <c r="S600" s="34">
        <v>17.886007</v>
      </c>
      <c r="T600" s="55">
        <v>-88.899136</v>
      </c>
      <c r="U600" s="33" t="s">
        <v>1484</v>
      </c>
      <c r="V600" s="6" t="s">
        <v>293</v>
      </c>
      <c r="W600" s="33" t="s">
        <v>156</v>
      </c>
      <c r="X600" s="3" t="s">
        <v>72</v>
      </c>
      <c r="Y600" s="6" t="s">
        <v>72</v>
      </c>
      <c r="Z600" s="33"/>
      <c r="AA600" s="34">
        <v>3.0</v>
      </c>
      <c r="AB600" s="33"/>
      <c r="AC600" s="33"/>
      <c r="AD600" s="33"/>
      <c r="AE600" s="33"/>
      <c r="AF600" s="33"/>
      <c r="AG600" s="33"/>
      <c r="AH600" s="33" t="s">
        <v>399</v>
      </c>
      <c r="AI600" s="34">
        <v>270.0</v>
      </c>
      <c r="AJ600" s="34">
        <v>1950.0</v>
      </c>
      <c r="AK600" s="6" t="s">
        <v>100</v>
      </c>
      <c r="AL600" s="6" t="s">
        <v>76</v>
      </c>
      <c r="AM600" s="6" t="s">
        <v>72</v>
      </c>
      <c r="AN600" s="6" t="s">
        <v>72</v>
      </c>
      <c r="AO600" s="33"/>
      <c r="AP600" s="6" t="s">
        <v>75</v>
      </c>
      <c r="AQ600" s="33"/>
      <c r="AR600" s="33"/>
      <c r="AS600" s="33"/>
      <c r="AT600" s="6" t="s">
        <v>76</v>
      </c>
      <c r="AU600" s="33"/>
      <c r="AV600" s="33"/>
      <c r="AW600" s="33"/>
      <c r="AX600" s="33"/>
      <c r="AY600" s="33"/>
      <c r="AZ600" s="6" t="s">
        <v>76</v>
      </c>
      <c r="BA600" s="33"/>
      <c r="BB600" s="33">
        <f>VLOOKUP(O600,Eco_DEM_Data!$D$1:$AC$643,20,False)</f>
        <v>1475</v>
      </c>
      <c r="BC600" s="33">
        <f>VLOOKUP($O600,Eco_DEM_Data!$D$1:$AC$643,20,False)</f>
        <v>1475</v>
      </c>
      <c r="BD600" s="33">
        <f>VLOOKUP($O600,Eco_DEM_Data!$D$1:$AC$643,25,False)</f>
        <v>592</v>
      </c>
      <c r="BE600" s="33">
        <f>VLOOKUP($O600,Eco_DEM_Data!$D$1:$AC$643,22,False)</f>
        <v>37</v>
      </c>
      <c r="BF600" s="33">
        <f>VLOOKUP($O600,Eco_DEM_Data!$D$1:$AC$643,23,False)</f>
        <v>119</v>
      </c>
      <c r="BG600" s="33">
        <f>VLOOKUP($O600,Eco_DEM_Data!$D$1:$AC$643,21,False)</f>
        <v>5493</v>
      </c>
      <c r="BH600" s="33">
        <f>VLOOKUP($O600,Eco_DEM_Data!$D$1:$AC$643,26,False)</f>
        <v>62</v>
      </c>
      <c r="BI600" s="33" t="str">
        <f>VLOOKUP($O600,Eco_DEM_Data!$D$1:$AC$643,9,False)</f>
        <v>Petén-Veracruz moist forests</v>
      </c>
      <c r="BJ600" s="33" t="str">
        <f>VLOOKUP($O600,Eco_DEM_Data!$D$1:$AC$643,11,False)</f>
        <v>Tropical &amp; Subtropical Moist Broadleaf Forests</v>
      </c>
    </row>
    <row r="601">
      <c r="A601" s="33" t="s">
        <v>1035</v>
      </c>
      <c r="B601" s="33" t="s">
        <v>2259</v>
      </c>
      <c r="C601" s="70" t="e">
        <v>#N/A</v>
      </c>
      <c r="D601" s="33" t="s">
        <v>53</v>
      </c>
      <c r="E601" s="34">
        <v>2019.0</v>
      </c>
      <c r="F601" s="33" t="s">
        <v>1036</v>
      </c>
      <c r="G601" s="33" t="s">
        <v>1037</v>
      </c>
      <c r="H601" s="33" t="s">
        <v>732</v>
      </c>
      <c r="I601" s="33" t="s">
        <v>1038</v>
      </c>
      <c r="J601" s="33" t="s">
        <v>1039</v>
      </c>
      <c r="K601" s="34">
        <v>62.0</v>
      </c>
      <c r="L601" s="34">
        <v>4.0</v>
      </c>
      <c r="M601" s="6" t="s">
        <v>1040</v>
      </c>
      <c r="N601" s="35" t="s">
        <v>60</v>
      </c>
      <c r="O601" s="33" t="s">
        <v>1041</v>
      </c>
      <c r="P601" s="33" t="s">
        <v>62</v>
      </c>
      <c r="Q601" s="33" t="s">
        <v>92</v>
      </c>
      <c r="R601" s="33" t="s">
        <v>1042</v>
      </c>
      <c r="S601" s="34">
        <v>20.681564</v>
      </c>
      <c r="T601" s="55">
        <v>-87.625762</v>
      </c>
      <c r="U601" s="33" t="s">
        <v>148</v>
      </c>
      <c r="V601" s="6" t="s">
        <v>169</v>
      </c>
      <c r="W601" s="6" t="s">
        <v>1043</v>
      </c>
      <c r="X601" s="1" t="s">
        <v>1044</v>
      </c>
      <c r="Y601" s="6" t="s">
        <v>72</v>
      </c>
      <c r="Z601" s="33"/>
      <c r="AA601" s="34">
        <v>12.0</v>
      </c>
      <c r="AB601" s="33"/>
      <c r="AC601" s="33"/>
      <c r="AD601" s="33"/>
      <c r="AE601" s="33"/>
      <c r="AF601" s="33"/>
      <c r="AG601" s="33"/>
      <c r="AH601" s="33" t="s">
        <v>1045</v>
      </c>
      <c r="AI601" s="34">
        <v>-2050.0</v>
      </c>
      <c r="AJ601" s="34">
        <v>1950.0</v>
      </c>
      <c r="AK601" s="6" t="s">
        <v>73</v>
      </c>
      <c r="AL601" s="6" t="s">
        <v>60</v>
      </c>
      <c r="AM601" s="6" t="s">
        <v>132</v>
      </c>
      <c r="AN601" s="6" t="s">
        <v>72</v>
      </c>
      <c r="AO601" s="33"/>
      <c r="AP601" s="6" t="s">
        <v>102</v>
      </c>
      <c r="AQ601" s="33"/>
      <c r="AR601" s="33"/>
      <c r="AS601" s="33"/>
      <c r="AT601" s="6" t="s">
        <v>76</v>
      </c>
      <c r="AU601" s="33"/>
      <c r="AV601" s="33"/>
      <c r="AW601" s="33"/>
      <c r="AX601" s="33"/>
      <c r="AY601" s="33"/>
      <c r="AZ601" s="6" t="s">
        <v>76</v>
      </c>
      <c r="BA601" s="33"/>
      <c r="BB601" s="33">
        <f>VLOOKUP(O601,Eco_DEM_Data!$D$1:$AC$643,20,False)</f>
        <v>1187</v>
      </c>
      <c r="BC601" s="33">
        <f>VLOOKUP($O601,Eco_DEM_Data!$D$1:$AC$643,20,False)</f>
        <v>1187</v>
      </c>
      <c r="BD601" s="33">
        <f>VLOOKUP($O601,Eco_DEM_Data!$D$1:$AC$643,25,False)</f>
        <v>504</v>
      </c>
      <c r="BE601" s="33">
        <f>VLOOKUP($O601,Eco_DEM_Data!$D$1:$AC$643,22,False)</f>
        <v>44</v>
      </c>
      <c r="BF601" s="33">
        <f>VLOOKUP($O601,Eco_DEM_Data!$D$1:$AC$643,23,False)</f>
        <v>138</v>
      </c>
      <c r="BG601" s="33">
        <f>VLOOKUP($O601,Eco_DEM_Data!$D$1:$AC$643,21,False)</f>
        <v>5374</v>
      </c>
      <c r="BH601" s="33">
        <f>VLOOKUP($O601,Eco_DEM_Data!$D$1:$AC$643,26,False)</f>
        <v>24</v>
      </c>
      <c r="BI601" s="33" t="str">
        <f>VLOOKUP($O601,Eco_DEM_Data!$D$1:$AC$643,9,False)</f>
        <v>Yucatán moist forests</v>
      </c>
      <c r="BJ601" s="33" t="str">
        <f>VLOOKUP($O601,Eco_DEM_Data!$D$1:$AC$643,11,False)</f>
        <v>Tropical &amp; Subtropical Moist Broadleaf Forests</v>
      </c>
    </row>
    <row r="602">
      <c r="A602" s="33" t="s">
        <v>1035</v>
      </c>
      <c r="B602" s="33" t="s">
        <v>2259</v>
      </c>
      <c r="C602" s="70" t="e">
        <v>#N/A</v>
      </c>
      <c r="D602" s="33" t="s">
        <v>53</v>
      </c>
      <c r="E602" s="34">
        <v>2019.0</v>
      </c>
      <c r="F602" s="33" t="s">
        <v>1036</v>
      </c>
      <c r="G602" s="33" t="s">
        <v>1037</v>
      </c>
      <c r="H602" s="33" t="s">
        <v>732</v>
      </c>
      <c r="I602" s="33" t="s">
        <v>1038</v>
      </c>
      <c r="J602" s="33" t="s">
        <v>1039</v>
      </c>
      <c r="K602" s="34">
        <v>62.0</v>
      </c>
      <c r="L602" s="34">
        <v>4.0</v>
      </c>
      <c r="M602" s="6" t="s">
        <v>1040</v>
      </c>
      <c r="N602" s="35" t="s">
        <v>60</v>
      </c>
      <c r="O602" s="33" t="s">
        <v>1046</v>
      </c>
      <c r="P602" s="33" t="s">
        <v>62</v>
      </c>
      <c r="Q602" s="33" t="s">
        <v>92</v>
      </c>
      <c r="R602" s="33" t="s">
        <v>1042</v>
      </c>
      <c r="S602" s="34">
        <v>20.681564</v>
      </c>
      <c r="T602" s="55">
        <v>-87.625762</v>
      </c>
      <c r="U602" s="33" t="s">
        <v>148</v>
      </c>
      <c r="V602" s="6" t="s">
        <v>1047</v>
      </c>
      <c r="W602" s="6" t="s">
        <v>1043</v>
      </c>
      <c r="X602" s="1" t="s">
        <v>1048</v>
      </c>
      <c r="Y602" s="6" t="s">
        <v>72</v>
      </c>
      <c r="Z602" s="33"/>
      <c r="AA602" s="34">
        <v>12.0</v>
      </c>
      <c r="AB602" s="33"/>
      <c r="AC602" s="33"/>
      <c r="AD602" s="33"/>
      <c r="AE602" s="33"/>
      <c r="AF602" s="33"/>
      <c r="AG602" s="33"/>
      <c r="AH602" s="33" t="s">
        <v>1045</v>
      </c>
      <c r="AI602" s="34">
        <v>-2050.0</v>
      </c>
      <c r="AJ602" s="34">
        <v>1950.0</v>
      </c>
      <c r="AK602" s="6" t="s">
        <v>73</v>
      </c>
      <c r="AL602" s="6" t="s">
        <v>60</v>
      </c>
      <c r="AM602" s="6" t="s">
        <v>132</v>
      </c>
      <c r="AN602" s="6" t="s">
        <v>72</v>
      </c>
      <c r="AO602" s="33"/>
      <c r="AP602" s="6" t="s">
        <v>72</v>
      </c>
      <c r="AQ602" s="33"/>
      <c r="AR602" s="33"/>
      <c r="AS602" s="33"/>
      <c r="AT602" s="6" t="s">
        <v>76</v>
      </c>
      <c r="AU602" s="33"/>
      <c r="AV602" s="33"/>
      <c r="AW602" s="33"/>
      <c r="AX602" s="33"/>
      <c r="AY602" s="33"/>
      <c r="AZ602" s="6" t="s">
        <v>76</v>
      </c>
      <c r="BA602" s="33"/>
      <c r="BB602" s="33">
        <f>VLOOKUP(O602,Eco_DEM_Data!$D$1:$AC$643,20,False)</f>
        <v>1187</v>
      </c>
      <c r="BC602" s="33">
        <f>VLOOKUP($O602,Eco_DEM_Data!$D$1:$AC$643,20,False)</f>
        <v>1187</v>
      </c>
      <c r="BD602" s="33">
        <f>VLOOKUP($O602,Eco_DEM_Data!$D$1:$AC$643,25,False)</f>
        <v>504</v>
      </c>
      <c r="BE602" s="33">
        <f>VLOOKUP($O602,Eco_DEM_Data!$D$1:$AC$643,22,False)</f>
        <v>44</v>
      </c>
      <c r="BF602" s="33">
        <f>VLOOKUP($O602,Eco_DEM_Data!$D$1:$AC$643,23,False)</f>
        <v>138</v>
      </c>
      <c r="BG602" s="33">
        <f>VLOOKUP($O602,Eco_DEM_Data!$D$1:$AC$643,21,False)</f>
        <v>5374</v>
      </c>
      <c r="BH602" s="33">
        <f>VLOOKUP($O602,Eco_DEM_Data!$D$1:$AC$643,26,False)</f>
        <v>24</v>
      </c>
      <c r="BI602" s="33" t="str">
        <f>VLOOKUP($O602,Eco_DEM_Data!$D$1:$AC$643,9,False)</f>
        <v>Yucatán moist forests</v>
      </c>
      <c r="BJ602" s="33" t="str">
        <f>VLOOKUP($O602,Eco_DEM_Data!$D$1:$AC$643,11,False)</f>
        <v>Tropical &amp; Subtropical Moist Broadleaf Forests</v>
      </c>
    </row>
    <row r="603">
      <c r="A603" s="33" t="s">
        <v>2129</v>
      </c>
      <c r="B603" s="33" t="s">
        <v>2259</v>
      </c>
      <c r="C603" s="70" t="e">
        <v>#N/A</v>
      </c>
      <c r="D603" s="33" t="s">
        <v>53</v>
      </c>
      <c r="E603" s="34">
        <v>2019.0</v>
      </c>
      <c r="F603" s="33" t="s">
        <v>2130</v>
      </c>
      <c r="G603" s="33" t="s">
        <v>2131</v>
      </c>
      <c r="H603" s="33" t="s">
        <v>732</v>
      </c>
      <c r="I603" s="33" t="s">
        <v>2132</v>
      </c>
      <c r="J603" s="33" t="s">
        <v>2133</v>
      </c>
      <c r="K603" s="34">
        <v>62.0</v>
      </c>
      <c r="L603" s="34">
        <v>4.0</v>
      </c>
      <c r="M603" s="6" t="s">
        <v>2134</v>
      </c>
      <c r="N603" s="35" t="s">
        <v>60</v>
      </c>
      <c r="O603" s="33" t="s">
        <v>2135</v>
      </c>
      <c r="P603" s="33" t="s">
        <v>62</v>
      </c>
      <c r="Q603" s="33" t="s">
        <v>167</v>
      </c>
      <c r="R603" s="33" t="s">
        <v>2136</v>
      </c>
      <c r="S603" s="34">
        <v>15.456779</v>
      </c>
      <c r="T603" s="55">
        <v>-89.357641</v>
      </c>
      <c r="U603" s="33" t="s">
        <v>148</v>
      </c>
      <c r="V603" s="38" t="s">
        <v>194</v>
      </c>
      <c r="W603" s="33" t="s">
        <v>1825</v>
      </c>
      <c r="X603" s="1" t="s">
        <v>2137</v>
      </c>
      <c r="Y603" s="33" t="s">
        <v>70</v>
      </c>
      <c r="Z603" s="33"/>
      <c r="AA603" s="34">
        <v>6.0</v>
      </c>
      <c r="AB603" s="33"/>
      <c r="AC603" s="6" t="s">
        <v>72</v>
      </c>
      <c r="AD603" s="6" t="s">
        <v>72</v>
      </c>
      <c r="AE603" s="33"/>
      <c r="AF603" s="33"/>
      <c r="AG603" s="33"/>
      <c r="AH603" s="33" t="s">
        <v>1595</v>
      </c>
      <c r="AI603" s="34">
        <v>1650.0</v>
      </c>
      <c r="AJ603" s="34">
        <v>2017.0</v>
      </c>
      <c r="AK603" s="6" t="s">
        <v>153</v>
      </c>
      <c r="AL603" s="6" t="s">
        <v>72</v>
      </c>
      <c r="AM603" s="6" t="s">
        <v>132</v>
      </c>
      <c r="AN603" s="6" t="s">
        <v>72</v>
      </c>
      <c r="AO603" s="33"/>
      <c r="AP603" s="6" t="s">
        <v>576</v>
      </c>
      <c r="AQ603" s="33"/>
      <c r="AR603" s="33"/>
      <c r="AS603" s="33"/>
      <c r="AT603" s="6" t="s">
        <v>76</v>
      </c>
      <c r="AU603" s="33"/>
      <c r="AV603" s="33"/>
      <c r="AW603" s="33"/>
      <c r="AX603" s="33"/>
      <c r="AY603" s="33"/>
      <c r="AZ603" s="6" t="s">
        <v>76</v>
      </c>
      <c r="BA603" s="33"/>
      <c r="BB603" s="33">
        <f>VLOOKUP(O603,Eco_DEM_Data!$D$1:$AC$643,20,False)</f>
        <v>2538</v>
      </c>
      <c r="BC603" s="33">
        <f>VLOOKUP($O603,Eco_DEM_Data!$D$1:$AC$643,20,False)</f>
        <v>2538</v>
      </c>
      <c r="BD603" s="33">
        <f>VLOOKUP($O603,Eco_DEM_Data!$D$1:$AC$643,25,False)</f>
        <v>1212</v>
      </c>
      <c r="BE603" s="33">
        <f>VLOOKUP($O603,Eco_DEM_Data!$D$1:$AC$643,22,False)</f>
        <v>59</v>
      </c>
      <c r="BF603" s="33">
        <f>VLOOKUP($O603,Eco_DEM_Data!$D$1:$AC$643,23,False)</f>
        <v>205</v>
      </c>
      <c r="BG603" s="33">
        <f>VLOOKUP($O603,Eco_DEM_Data!$D$1:$AC$643,21,False)</f>
        <v>6715</v>
      </c>
      <c r="BH603" s="33">
        <f>VLOOKUP($O603,Eco_DEM_Data!$D$1:$AC$643,26,False)</f>
        <v>2</v>
      </c>
      <c r="BI603" s="33" t="str">
        <f>VLOOKUP($O603,Eco_DEM_Data!$D$1:$AC$643,9,False)</f>
        <v>Central American Atlantic moist forests</v>
      </c>
      <c r="BJ603" s="33" t="str">
        <f>VLOOKUP($O603,Eco_DEM_Data!$D$1:$AC$643,11,False)</f>
        <v>Tropical &amp; Subtropical Moist Broadleaf Forests</v>
      </c>
    </row>
    <row r="604">
      <c r="A604" s="33" t="s">
        <v>2129</v>
      </c>
      <c r="B604" s="33" t="s">
        <v>2259</v>
      </c>
      <c r="C604" s="70" t="e">
        <v>#N/A</v>
      </c>
      <c r="D604" s="33" t="s">
        <v>53</v>
      </c>
      <c r="E604" s="34">
        <v>2019.0</v>
      </c>
      <c r="F604" s="33" t="s">
        <v>2130</v>
      </c>
      <c r="G604" s="33" t="s">
        <v>2131</v>
      </c>
      <c r="H604" s="33" t="s">
        <v>732</v>
      </c>
      <c r="I604" s="33" t="s">
        <v>2132</v>
      </c>
      <c r="J604" s="33" t="s">
        <v>2133</v>
      </c>
      <c r="K604" s="34">
        <v>62.0</v>
      </c>
      <c r="L604" s="34">
        <v>4.0</v>
      </c>
      <c r="M604" s="6" t="s">
        <v>2134</v>
      </c>
      <c r="N604" s="35" t="s">
        <v>60</v>
      </c>
      <c r="O604" s="33" t="s">
        <v>2138</v>
      </c>
      <c r="P604" s="33" t="s">
        <v>62</v>
      </c>
      <c r="Q604" s="33" t="s">
        <v>167</v>
      </c>
      <c r="R604" s="33" t="s">
        <v>2136</v>
      </c>
      <c r="S604" s="34">
        <v>15.456779</v>
      </c>
      <c r="T604" s="55">
        <v>-89.357641</v>
      </c>
      <c r="U604" s="33" t="s">
        <v>148</v>
      </c>
      <c r="V604" s="6" t="s">
        <v>135</v>
      </c>
      <c r="W604" s="33" t="s">
        <v>1825</v>
      </c>
      <c r="X604" s="1" t="s">
        <v>2137</v>
      </c>
      <c r="Y604" s="6" t="s">
        <v>99</v>
      </c>
      <c r="Z604" s="33"/>
      <c r="AA604" s="34">
        <v>6.0</v>
      </c>
      <c r="AB604" s="33"/>
      <c r="AC604" s="6" t="s">
        <v>72</v>
      </c>
      <c r="AD604" s="6" t="s">
        <v>72</v>
      </c>
      <c r="AE604" s="33"/>
      <c r="AF604" s="33"/>
      <c r="AG604" s="33"/>
      <c r="AH604" s="33" t="s">
        <v>1595</v>
      </c>
      <c r="AI604" s="34">
        <v>1650.0</v>
      </c>
      <c r="AJ604" s="34">
        <v>2017.0</v>
      </c>
      <c r="AK604" s="6" t="s">
        <v>153</v>
      </c>
      <c r="AL604" s="6" t="s">
        <v>72</v>
      </c>
      <c r="AM604" s="6" t="s">
        <v>132</v>
      </c>
      <c r="AN604" s="6" t="s">
        <v>72</v>
      </c>
      <c r="AO604" s="33"/>
      <c r="AP604" s="6" t="s">
        <v>576</v>
      </c>
      <c r="AQ604" s="33"/>
      <c r="AR604" s="33"/>
      <c r="AS604" s="33"/>
      <c r="AT604" s="6" t="s">
        <v>76</v>
      </c>
      <c r="AU604" s="33"/>
      <c r="AV604" s="33"/>
      <c r="AW604" s="33"/>
      <c r="AX604" s="33"/>
      <c r="AY604" s="33"/>
      <c r="AZ604" s="6" t="s">
        <v>76</v>
      </c>
      <c r="BA604" s="33"/>
      <c r="BB604" s="33">
        <f>VLOOKUP(O604,Eco_DEM_Data!$D$1:$AC$643,20,False)</f>
        <v>2538</v>
      </c>
      <c r="BC604" s="33">
        <f>VLOOKUP($O604,Eco_DEM_Data!$D$1:$AC$643,20,False)</f>
        <v>2538</v>
      </c>
      <c r="BD604" s="33">
        <f>VLOOKUP($O604,Eco_DEM_Data!$D$1:$AC$643,25,False)</f>
        <v>1212</v>
      </c>
      <c r="BE604" s="33">
        <f>VLOOKUP($O604,Eco_DEM_Data!$D$1:$AC$643,22,False)</f>
        <v>59</v>
      </c>
      <c r="BF604" s="33">
        <f>VLOOKUP($O604,Eco_DEM_Data!$D$1:$AC$643,23,False)</f>
        <v>205</v>
      </c>
      <c r="BG604" s="33">
        <f>VLOOKUP($O604,Eco_DEM_Data!$D$1:$AC$643,21,False)</f>
        <v>6715</v>
      </c>
      <c r="BH604" s="33">
        <f>VLOOKUP($O604,Eco_DEM_Data!$D$1:$AC$643,26,False)</f>
        <v>2</v>
      </c>
      <c r="BI604" s="33" t="str">
        <f>VLOOKUP($O604,Eco_DEM_Data!$D$1:$AC$643,9,False)</f>
        <v>Central American Atlantic moist forests</v>
      </c>
      <c r="BJ604" s="33" t="str">
        <f>VLOOKUP($O604,Eco_DEM_Data!$D$1:$AC$643,11,False)</f>
        <v>Tropical &amp; Subtropical Moist Broadleaf Forests</v>
      </c>
    </row>
    <row r="605">
      <c r="A605" s="33" t="s">
        <v>2129</v>
      </c>
      <c r="B605" s="33" t="s">
        <v>2259</v>
      </c>
      <c r="C605" s="70" t="e">
        <v>#N/A</v>
      </c>
      <c r="D605" s="33" t="s">
        <v>53</v>
      </c>
      <c r="E605" s="34">
        <v>2019.0</v>
      </c>
      <c r="F605" s="33" t="s">
        <v>2130</v>
      </c>
      <c r="G605" s="33" t="s">
        <v>2131</v>
      </c>
      <c r="H605" s="33" t="s">
        <v>732</v>
      </c>
      <c r="I605" s="33" t="s">
        <v>2132</v>
      </c>
      <c r="J605" s="33" t="s">
        <v>2133</v>
      </c>
      <c r="K605" s="34">
        <v>62.0</v>
      </c>
      <c r="L605" s="34">
        <v>4.0</v>
      </c>
      <c r="M605" s="6" t="s">
        <v>2134</v>
      </c>
      <c r="N605" s="35" t="s">
        <v>60</v>
      </c>
      <c r="O605" s="33" t="s">
        <v>2139</v>
      </c>
      <c r="P605" s="33" t="s">
        <v>62</v>
      </c>
      <c r="Q605" s="33" t="s">
        <v>167</v>
      </c>
      <c r="R605" s="33" t="s">
        <v>2136</v>
      </c>
      <c r="S605" s="34">
        <v>15.456779</v>
      </c>
      <c r="T605" s="55">
        <v>-89.357641</v>
      </c>
      <c r="U605" s="33" t="s">
        <v>148</v>
      </c>
      <c r="V605" s="6" t="s">
        <v>388</v>
      </c>
      <c r="W605" s="33" t="s">
        <v>1825</v>
      </c>
      <c r="X605" s="1" t="s">
        <v>2137</v>
      </c>
      <c r="Y605" s="6" t="s">
        <v>99</v>
      </c>
      <c r="Z605" s="33"/>
      <c r="AA605" s="34">
        <v>6.0</v>
      </c>
      <c r="AB605" s="33"/>
      <c r="AC605" s="6" t="s">
        <v>72</v>
      </c>
      <c r="AD605" s="6" t="s">
        <v>72</v>
      </c>
      <c r="AE605" s="33"/>
      <c r="AF605" s="33"/>
      <c r="AG605" s="33"/>
      <c r="AH605" s="33" t="s">
        <v>1595</v>
      </c>
      <c r="AI605" s="34">
        <v>1650.0</v>
      </c>
      <c r="AJ605" s="34">
        <v>2017.0</v>
      </c>
      <c r="AK605" s="6" t="s">
        <v>153</v>
      </c>
      <c r="AL605" s="6" t="s">
        <v>72</v>
      </c>
      <c r="AM605" s="6" t="s">
        <v>132</v>
      </c>
      <c r="AN605" s="6" t="s">
        <v>72</v>
      </c>
      <c r="AO605" s="33"/>
      <c r="AP605" s="6" t="s">
        <v>576</v>
      </c>
      <c r="AQ605" s="33"/>
      <c r="AR605" s="33"/>
      <c r="AS605" s="33"/>
      <c r="AT605" s="6" t="s">
        <v>76</v>
      </c>
      <c r="AU605" s="33"/>
      <c r="AV605" s="33"/>
      <c r="AW605" s="33"/>
      <c r="AX605" s="33"/>
      <c r="AY605" s="33"/>
      <c r="AZ605" s="6" t="s">
        <v>76</v>
      </c>
      <c r="BA605" s="33"/>
      <c r="BB605" s="33">
        <f>VLOOKUP(O605,Eco_DEM_Data!$D$1:$AC$643,20,False)</f>
        <v>2538</v>
      </c>
      <c r="BC605" s="33">
        <f>VLOOKUP($O605,Eco_DEM_Data!$D$1:$AC$643,20,False)</f>
        <v>2538</v>
      </c>
      <c r="BD605" s="33">
        <f>VLOOKUP($O605,Eco_DEM_Data!$D$1:$AC$643,25,False)</f>
        <v>1212</v>
      </c>
      <c r="BE605" s="33">
        <f>VLOOKUP($O605,Eco_DEM_Data!$D$1:$AC$643,22,False)</f>
        <v>59</v>
      </c>
      <c r="BF605" s="33">
        <f>VLOOKUP($O605,Eco_DEM_Data!$D$1:$AC$643,23,False)</f>
        <v>205</v>
      </c>
      <c r="BG605" s="33">
        <f>VLOOKUP($O605,Eco_DEM_Data!$D$1:$AC$643,21,False)</f>
        <v>6715</v>
      </c>
      <c r="BH605" s="33">
        <f>VLOOKUP($O605,Eco_DEM_Data!$D$1:$AC$643,26,False)</f>
        <v>2</v>
      </c>
      <c r="BI605" s="33" t="str">
        <f>VLOOKUP($O605,Eco_DEM_Data!$D$1:$AC$643,9,False)</f>
        <v>Central American Atlantic moist forests</v>
      </c>
      <c r="BJ605" s="33" t="str">
        <f>VLOOKUP($O605,Eco_DEM_Data!$D$1:$AC$643,11,False)</f>
        <v>Tropical &amp; Subtropical Moist Broadleaf Forests</v>
      </c>
    </row>
    <row r="606">
      <c r="A606" s="33" t="s">
        <v>2129</v>
      </c>
      <c r="B606" s="33" t="s">
        <v>2259</v>
      </c>
      <c r="C606" s="70" t="e">
        <v>#N/A</v>
      </c>
      <c r="D606" s="33" t="s">
        <v>53</v>
      </c>
      <c r="E606" s="34">
        <v>2019.0</v>
      </c>
      <c r="F606" s="33" t="s">
        <v>2130</v>
      </c>
      <c r="G606" s="33" t="s">
        <v>2131</v>
      </c>
      <c r="H606" s="33" t="s">
        <v>732</v>
      </c>
      <c r="I606" s="33" t="s">
        <v>2132</v>
      </c>
      <c r="J606" s="33" t="s">
        <v>2133</v>
      </c>
      <c r="K606" s="34">
        <v>62.0</v>
      </c>
      <c r="L606" s="34">
        <v>4.0</v>
      </c>
      <c r="M606" s="6" t="s">
        <v>2134</v>
      </c>
      <c r="N606" s="35" t="s">
        <v>60</v>
      </c>
      <c r="O606" s="33" t="s">
        <v>2140</v>
      </c>
      <c r="P606" s="33" t="s">
        <v>62</v>
      </c>
      <c r="Q606" s="33" t="s">
        <v>167</v>
      </c>
      <c r="R606" s="33" t="s">
        <v>2136</v>
      </c>
      <c r="S606" s="34">
        <v>15.456779</v>
      </c>
      <c r="T606" s="55">
        <v>-89.357641</v>
      </c>
      <c r="U606" s="33" t="s">
        <v>148</v>
      </c>
      <c r="V606" s="38" t="s">
        <v>382</v>
      </c>
      <c r="W606" s="33" t="s">
        <v>72</v>
      </c>
      <c r="X606" s="1" t="s">
        <v>2141</v>
      </c>
      <c r="Y606" s="33" t="s">
        <v>968</v>
      </c>
      <c r="Z606" s="33"/>
      <c r="AA606" s="34">
        <v>6.0</v>
      </c>
      <c r="AB606" s="33"/>
      <c r="AC606" s="6" t="s">
        <v>72</v>
      </c>
      <c r="AD606" s="6" t="s">
        <v>72</v>
      </c>
      <c r="AE606" s="33"/>
      <c r="AF606" s="33"/>
      <c r="AG606" s="33"/>
      <c r="AH606" s="33" t="s">
        <v>1595</v>
      </c>
      <c r="AI606" s="34">
        <v>1650.0</v>
      </c>
      <c r="AJ606" s="34">
        <v>2017.0</v>
      </c>
      <c r="AK606" s="6" t="s">
        <v>153</v>
      </c>
      <c r="AL606" s="6" t="s">
        <v>72</v>
      </c>
      <c r="AM606" s="6" t="s">
        <v>132</v>
      </c>
      <c r="AN606" s="6" t="s">
        <v>72</v>
      </c>
      <c r="AO606" s="33"/>
      <c r="AP606" s="6" t="s">
        <v>576</v>
      </c>
      <c r="AQ606" s="33"/>
      <c r="AR606" s="33"/>
      <c r="AS606" s="33"/>
      <c r="AT606" s="6" t="s">
        <v>76</v>
      </c>
      <c r="AU606" s="33"/>
      <c r="AV606" s="33"/>
      <c r="AW606" s="33"/>
      <c r="AX606" s="33"/>
      <c r="AY606" s="33"/>
      <c r="AZ606" s="6" t="s">
        <v>76</v>
      </c>
      <c r="BA606" s="33"/>
      <c r="BB606" s="33">
        <f>VLOOKUP(O606,Eco_DEM_Data!$D$1:$AC$643,20,False)</f>
        <v>2538</v>
      </c>
      <c r="BC606" s="33">
        <f>VLOOKUP($O606,Eco_DEM_Data!$D$1:$AC$643,20,False)</f>
        <v>2538</v>
      </c>
      <c r="BD606" s="33">
        <f>VLOOKUP($O606,Eco_DEM_Data!$D$1:$AC$643,25,False)</f>
        <v>1212</v>
      </c>
      <c r="BE606" s="33">
        <f>VLOOKUP($O606,Eco_DEM_Data!$D$1:$AC$643,22,False)</f>
        <v>59</v>
      </c>
      <c r="BF606" s="33">
        <f>VLOOKUP($O606,Eco_DEM_Data!$D$1:$AC$643,23,False)</f>
        <v>205</v>
      </c>
      <c r="BG606" s="33">
        <f>VLOOKUP($O606,Eco_DEM_Data!$D$1:$AC$643,21,False)</f>
        <v>6715</v>
      </c>
      <c r="BH606" s="33">
        <f>VLOOKUP($O606,Eco_DEM_Data!$D$1:$AC$643,26,False)</f>
        <v>2</v>
      </c>
      <c r="BI606" s="33" t="str">
        <f>VLOOKUP($O606,Eco_DEM_Data!$D$1:$AC$643,9,False)</f>
        <v>Central American Atlantic moist forests</v>
      </c>
      <c r="BJ606" s="33" t="str">
        <f>VLOOKUP($O606,Eco_DEM_Data!$D$1:$AC$643,11,False)</f>
        <v>Tropical &amp; Subtropical Moist Broadleaf Forests</v>
      </c>
    </row>
    <row r="607">
      <c r="A607" s="33" t="s">
        <v>2142</v>
      </c>
      <c r="B607" s="33" t="s">
        <v>2259</v>
      </c>
      <c r="C607" s="70" t="e">
        <v>#N/A</v>
      </c>
      <c r="D607" s="33" t="s">
        <v>53</v>
      </c>
      <c r="E607" s="34">
        <v>2019.0</v>
      </c>
      <c r="F607" s="33" t="s">
        <v>2143</v>
      </c>
      <c r="G607" s="33" t="s">
        <v>2144</v>
      </c>
      <c r="H607" s="33" t="s">
        <v>2145</v>
      </c>
      <c r="I607" s="33" t="s">
        <v>2146</v>
      </c>
      <c r="J607" s="33" t="s">
        <v>2147</v>
      </c>
      <c r="K607" s="34">
        <v>26.0</v>
      </c>
      <c r="L607" s="33"/>
      <c r="M607" s="33"/>
      <c r="N607" s="35" t="s">
        <v>60</v>
      </c>
      <c r="O607" s="33" t="s">
        <v>2148</v>
      </c>
      <c r="P607" s="33" t="s">
        <v>62</v>
      </c>
      <c r="Q607" s="33" t="s">
        <v>167</v>
      </c>
      <c r="R607" s="33" t="s">
        <v>2149</v>
      </c>
      <c r="S607" s="37">
        <v>16.916667</v>
      </c>
      <c r="T607" s="37">
        <v>-89.833333</v>
      </c>
      <c r="U607" s="36" t="s">
        <v>148</v>
      </c>
      <c r="V607" s="38" t="s">
        <v>382</v>
      </c>
      <c r="W607" s="5" t="s">
        <v>173</v>
      </c>
      <c r="X607" s="7" t="s">
        <v>2141</v>
      </c>
      <c r="Y607" s="41" t="s">
        <v>968</v>
      </c>
      <c r="Z607" s="41"/>
      <c r="AA607" s="68">
        <v>6.0</v>
      </c>
      <c r="AB607" s="41"/>
      <c r="AC607" s="41"/>
      <c r="AD607" s="41"/>
      <c r="AE607" s="41"/>
      <c r="AF607" s="41"/>
      <c r="AG607" s="41"/>
      <c r="AH607" s="41" t="s">
        <v>2150</v>
      </c>
      <c r="AI607" s="68">
        <v>-5200.0</v>
      </c>
      <c r="AJ607" s="68">
        <v>2018.0</v>
      </c>
      <c r="AK607" s="5" t="s">
        <v>73</v>
      </c>
      <c r="AL607" s="5" t="s">
        <v>60</v>
      </c>
      <c r="AM607" s="6" t="s">
        <v>132</v>
      </c>
      <c r="AN607" s="5" t="s">
        <v>76</v>
      </c>
      <c r="AO607" s="41"/>
      <c r="AP607" s="5" t="s">
        <v>102</v>
      </c>
      <c r="AQ607" s="41"/>
      <c r="AR607" s="41"/>
      <c r="AS607" s="41"/>
      <c r="AT607" s="5" t="s">
        <v>76</v>
      </c>
      <c r="AU607" s="33"/>
      <c r="AV607" s="33"/>
      <c r="AW607" s="33"/>
      <c r="AX607" s="33"/>
      <c r="AY607" s="33"/>
      <c r="AZ607" s="6" t="s">
        <v>76</v>
      </c>
      <c r="BA607" s="33"/>
      <c r="BB607" s="33">
        <f>VLOOKUP(O607,Eco_DEM_Data!$D$1:$AC$643,20,False)</f>
        <v>1738</v>
      </c>
      <c r="BC607" s="33">
        <f>VLOOKUP($O607,Eco_DEM_Data!$D$1:$AC$643,20,False)</f>
        <v>1738</v>
      </c>
      <c r="BD607" s="33">
        <f>VLOOKUP($O607,Eco_DEM_Data!$D$1:$AC$643,25,False)</f>
        <v>690</v>
      </c>
      <c r="BE607" s="33">
        <f>VLOOKUP($O607,Eco_DEM_Data!$D$1:$AC$643,22,False)</f>
        <v>36</v>
      </c>
      <c r="BF607" s="33">
        <f>VLOOKUP($O607,Eco_DEM_Data!$D$1:$AC$643,23,False)</f>
        <v>144</v>
      </c>
      <c r="BG607" s="33">
        <f>VLOOKUP($O607,Eco_DEM_Data!$D$1:$AC$643,21,False)</f>
        <v>5677</v>
      </c>
      <c r="BH607" s="33">
        <f>VLOOKUP($O607,Eco_DEM_Data!$D$1:$AC$643,26,False)</f>
        <v>131</v>
      </c>
      <c r="BI607" s="33" t="str">
        <f>VLOOKUP($O607,Eco_DEM_Data!$D$1:$AC$643,9,False)</f>
        <v>Petén-Veracruz moist forests</v>
      </c>
      <c r="BJ607" s="33" t="str">
        <f>VLOOKUP($O607,Eco_DEM_Data!$D$1:$AC$643,11,False)</f>
        <v>Tropical &amp; Subtropical Moist Broadleaf Forests</v>
      </c>
    </row>
    <row r="608">
      <c r="A608" s="33" t="s">
        <v>2142</v>
      </c>
      <c r="B608" s="33" t="s">
        <v>2259</v>
      </c>
      <c r="C608" s="70" t="e">
        <v>#N/A</v>
      </c>
      <c r="D608" s="33" t="s">
        <v>53</v>
      </c>
      <c r="E608" s="34">
        <v>2019.0</v>
      </c>
      <c r="F608" s="33" t="s">
        <v>2143</v>
      </c>
      <c r="G608" s="33" t="s">
        <v>2144</v>
      </c>
      <c r="H608" s="33" t="s">
        <v>2145</v>
      </c>
      <c r="I608" s="33" t="s">
        <v>2146</v>
      </c>
      <c r="J608" s="33" t="s">
        <v>2147</v>
      </c>
      <c r="K608" s="34">
        <v>26.0</v>
      </c>
      <c r="L608" s="33"/>
      <c r="M608" s="33"/>
      <c r="N608" s="35" t="s">
        <v>60</v>
      </c>
      <c r="O608" s="33" t="s">
        <v>2151</v>
      </c>
      <c r="P608" s="33" t="s">
        <v>62</v>
      </c>
      <c r="Q608" s="33" t="s">
        <v>167</v>
      </c>
      <c r="R608" s="33" t="s">
        <v>2149</v>
      </c>
      <c r="S608" s="37">
        <v>16.916667</v>
      </c>
      <c r="T608" s="37">
        <v>-89.833333</v>
      </c>
      <c r="U608" s="36" t="s">
        <v>148</v>
      </c>
      <c r="V608" s="6" t="s">
        <v>169</v>
      </c>
      <c r="W608" s="5" t="s">
        <v>173</v>
      </c>
      <c r="X608" s="7" t="s">
        <v>2152</v>
      </c>
      <c r="Y608" s="41" t="s">
        <v>2153</v>
      </c>
      <c r="Z608" s="41"/>
      <c r="AA608" s="68">
        <v>6.0</v>
      </c>
      <c r="AB608" s="41"/>
      <c r="AC608" s="41"/>
      <c r="AD608" s="41"/>
      <c r="AE608" s="41"/>
      <c r="AF608" s="41"/>
      <c r="AG608" s="41"/>
      <c r="AH608" s="41" t="s">
        <v>2150</v>
      </c>
      <c r="AI608" s="68">
        <v>-5200.0</v>
      </c>
      <c r="AJ608" s="68">
        <v>2018.0</v>
      </c>
      <c r="AK608" s="5" t="s">
        <v>73</v>
      </c>
      <c r="AL608" s="5" t="s">
        <v>60</v>
      </c>
      <c r="AM608" s="6" t="s">
        <v>132</v>
      </c>
      <c r="AN608" s="5" t="s">
        <v>76</v>
      </c>
      <c r="AO608" s="41"/>
      <c r="AP608" s="5" t="s">
        <v>102</v>
      </c>
      <c r="AQ608" s="41"/>
      <c r="AR608" s="41"/>
      <c r="AS608" s="41"/>
      <c r="AT608" s="5" t="s">
        <v>76</v>
      </c>
      <c r="AU608" s="33"/>
      <c r="AV608" s="33"/>
      <c r="AW608" s="33"/>
      <c r="AX608" s="33"/>
      <c r="AY608" s="33"/>
      <c r="AZ608" s="6" t="s">
        <v>76</v>
      </c>
      <c r="BA608" s="33"/>
      <c r="BB608" s="33">
        <f>VLOOKUP(O608,Eco_DEM_Data!$D$1:$AC$643,20,False)</f>
        <v>1738</v>
      </c>
      <c r="BC608" s="33">
        <f>VLOOKUP($O608,Eco_DEM_Data!$D$1:$AC$643,20,False)</f>
        <v>1738</v>
      </c>
      <c r="BD608" s="33">
        <f>VLOOKUP($O608,Eco_DEM_Data!$D$1:$AC$643,25,False)</f>
        <v>690</v>
      </c>
      <c r="BE608" s="33">
        <f>VLOOKUP($O608,Eco_DEM_Data!$D$1:$AC$643,22,False)</f>
        <v>36</v>
      </c>
      <c r="BF608" s="33">
        <f>VLOOKUP($O608,Eco_DEM_Data!$D$1:$AC$643,23,False)</f>
        <v>144</v>
      </c>
      <c r="BG608" s="33">
        <f>VLOOKUP($O608,Eco_DEM_Data!$D$1:$AC$643,21,False)</f>
        <v>5677</v>
      </c>
      <c r="BH608" s="33">
        <f>VLOOKUP($O608,Eco_DEM_Data!$D$1:$AC$643,26,False)</f>
        <v>131</v>
      </c>
      <c r="BI608" s="33" t="str">
        <f>VLOOKUP($O608,Eco_DEM_Data!$D$1:$AC$643,9,False)</f>
        <v>Petén-Veracruz moist forests</v>
      </c>
      <c r="BJ608" s="33" t="str">
        <f>VLOOKUP($O608,Eco_DEM_Data!$D$1:$AC$643,11,False)</f>
        <v>Tropical &amp; Subtropical Moist Broadleaf Forests</v>
      </c>
    </row>
    <row r="609">
      <c r="A609" s="33" t="s">
        <v>1343</v>
      </c>
      <c r="B609" s="33" t="s">
        <v>2259</v>
      </c>
      <c r="C609" s="70" t="e">
        <v>#N/A</v>
      </c>
      <c r="D609" s="33" t="s">
        <v>53</v>
      </c>
      <c r="E609" s="34">
        <v>2019.0</v>
      </c>
      <c r="F609" s="33" t="s">
        <v>1344</v>
      </c>
      <c r="G609" s="33" t="s">
        <v>1345</v>
      </c>
      <c r="H609" s="33" t="s">
        <v>793</v>
      </c>
      <c r="I609" s="33" t="s">
        <v>1346</v>
      </c>
      <c r="J609" s="33" t="s">
        <v>1347</v>
      </c>
      <c r="K609" s="34">
        <v>518.0</v>
      </c>
      <c r="L609" s="33"/>
      <c r="M609" s="6" t="s">
        <v>1348</v>
      </c>
      <c r="N609" s="35" t="s">
        <v>60</v>
      </c>
      <c r="O609" s="33" t="s">
        <v>2154</v>
      </c>
      <c r="P609" s="33" t="s">
        <v>62</v>
      </c>
      <c r="Q609" s="33" t="s">
        <v>112</v>
      </c>
      <c r="R609" s="33" t="s">
        <v>1350</v>
      </c>
      <c r="S609" s="34">
        <v>9.468532</v>
      </c>
      <c r="T609" s="55">
        <v>-83.480059</v>
      </c>
      <c r="U609" s="33" t="s">
        <v>148</v>
      </c>
      <c r="V609" s="6" t="s">
        <v>1214</v>
      </c>
      <c r="W609" s="33" t="s">
        <v>1296</v>
      </c>
      <c r="X609" s="1" t="s">
        <v>2156</v>
      </c>
      <c r="Y609" s="33" t="s">
        <v>70</v>
      </c>
      <c r="Z609" s="33"/>
      <c r="AA609" s="34">
        <v>8.0</v>
      </c>
      <c r="AB609" s="33"/>
      <c r="AC609" s="33"/>
      <c r="AD609" s="33"/>
      <c r="AE609" s="33"/>
      <c r="AF609" s="33"/>
      <c r="AG609" s="33"/>
      <c r="AH609" s="6" t="s">
        <v>72</v>
      </c>
      <c r="AI609" s="34">
        <v>-6150.0</v>
      </c>
      <c r="AJ609" s="34">
        <v>2014.0</v>
      </c>
      <c r="AK609" s="6" t="s">
        <v>100</v>
      </c>
      <c r="AL609" s="6" t="s">
        <v>72</v>
      </c>
      <c r="AM609" s="6" t="s">
        <v>132</v>
      </c>
      <c r="AN609" s="6" t="s">
        <v>72</v>
      </c>
      <c r="AO609" s="33"/>
      <c r="AP609" s="6" t="s">
        <v>102</v>
      </c>
      <c r="AQ609" s="33"/>
      <c r="AR609" s="33"/>
      <c r="AS609" s="33"/>
      <c r="AT609" s="6" t="s">
        <v>76</v>
      </c>
      <c r="AU609" s="33"/>
      <c r="AV609" s="33"/>
      <c r="AW609" s="33"/>
      <c r="AX609" s="33"/>
      <c r="AY609" s="33"/>
      <c r="AZ609" s="6" t="s">
        <v>76</v>
      </c>
      <c r="BA609" s="33"/>
      <c r="BB609" s="33">
        <f>VLOOKUP(O609,Eco_DEM_Data!$D$1:$AC$643,20,False)</f>
        <v>2510</v>
      </c>
      <c r="BC609" s="33">
        <f>VLOOKUP($O609,Eco_DEM_Data!$D$1:$AC$643,20,False)</f>
        <v>2510</v>
      </c>
      <c r="BD609" s="33">
        <f>VLOOKUP($O609,Eco_DEM_Data!$D$1:$AC$643,25,False)</f>
        <v>1054</v>
      </c>
      <c r="BE609" s="33">
        <f>VLOOKUP($O609,Eco_DEM_Data!$D$1:$AC$643,22,False)</f>
        <v>28</v>
      </c>
      <c r="BF609" s="33">
        <f>VLOOKUP($O609,Eco_DEM_Data!$D$1:$AC$643,23,False)</f>
        <v>87</v>
      </c>
      <c r="BG609" s="33">
        <f>VLOOKUP($O609,Eco_DEM_Data!$D$1:$AC$643,21,False)</f>
        <v>6856</v>
      </c>
      <c r="BH609" s="33">
        <f>VLOOKUP($O609,Eco_DEM_Data!$D$1:$AC$643,26,False)</f>
        <v>3450</v>
      </c>
      <c r="BI609" s="33" t="str">
        <f>VLOOKUP($O609,Eco_DEM_Data!$D$1:$AC$643,9,False)</f>
        <v>Talamancan montane forests</v>
      </c>
      <c r="BJ609" s="33" t="str">
        <f>VLOOKUP($O609,Eco_DEM_Data!$D$1:$AC$643,11,False)</f>
        <v>Tropical &amp; Subtropical Moist Broadleaf Forests</v>
      </c>
    </row>
    <row r="610">
      <c r="A610" s="33" t="s">
        <v>1343</v>
      </c>
      <c r="B610" s="33" t="s">
        <v>2259</v>
      </c>
      <c r="C610" s="70" t="e">
        <v>#N/A</v>
      </c>
      <c r="D610" s="33" t="s">
        <v>53</v>
      </c>
      <c r="E610" s="34">
        <v>2019.0</v>
      </c>
      <c r="F610" s="33" t="s">
        <v>1344</v>
      </c>
      <c r="G610" s="33" t="s">
        <v>1345</v>
      </c>
      <c r="H610" s="33" t="s">
        <v>793</v>
      </c>
      <c r="I610" s="33" t="s">
        <v>1346</v>
      </c>
      <c r="J610" s="33" t="s">
        <v>1347</v>
      </c>
      <c r="K610" s="34">
        <v>518.0</v>
      </c>
      <c r="L610" s="33"/>
      <c r="M610" s="6" t="s">
        <v>1348</v>
      </c>
      <c r="N610" s="35" t="s">
        <v>60</v>
      </c>
      <c r="O610" s="33" t="s">
        <v>1349</v>
      </c>
      <c r="P610" s="33" t="s">
        <v>62</v>
      </c>
      <c r="Q610" s="33" t="s">
        <v>112</v>
      </c>
      <c r="R610" s="33" t="s">
        <v>1350</v>
      </c>
      <c r="S610" s="34">
        <v>9.468532</v>
      </c>
      <c r="T610" s="55">
        <v>-83.480059</v>
      </c>
      <c r="U610" s="33" t="s">
        <v>148</v>
      </c>
      <c r="V610" s="6" t="s">
        <v>321</v>
      </c>
      <c r="W610" s="33" t="s">
        <v>156</v>
      </c>
      <c r="X610" s="1" t="s">
        <v>1351</v>
      </c>
      <c r="Y610" s="6" t="s">
        <v>928</v>
      </c>
      <c r="Z610" s="33"/>
      <c r="AA610" s="34">
        <v>8.0</v>
      </c>
      <c r="AB610" s="33"/>
      <c r="AC610" s="33"/>
      <c r="AD610" s="33"/>
      <c r="AE610" s="33"/>
      <c r="AF610" s="33"/>
      <c r="AG610" s="33"/>
      <c r="AH610" s="6" t="s">
        <v>72</v>
      </c>
      <c r="AI610" s="34">
        <v>-6150.0</v>
      </c>
      <c r="AJ610" s="34">
        <v>2014.0</v>
      </c>
      <c r="AK610" s="6" t="s">
        <v>100</v>
      </c>
      <c r="AL610" s="6" t="s">
        <v>72</v>
      </c>
      <c r="AM610" s="6" t="s">
        <v>132</v>
      </c>
      <c r="AN610" s="6" t="s">
        <v>72</v>
      </c>
      <c r="AO610" s="33"/>
      <c r="AP610" s="6" t="s">
        <v>102</v>
      </c>
      <c r="AQ610" s="33"/>
      <c r="AR610" s="33"/>
      <c r="AS610" s="33"/>
      <c r="AT610" s="6" t="s">
        <v>76</v>
      </c>
      <c r="AU610" s="33"/>
      <c r="AV610" s="33"/>
      <c r="AW610" s="33"/>
      <c r="AX610" s="33"/>
      <c r="AY610" s="33"/>
      <c r="AZ610" s="6" t="s">
        <v>76</v>
      </c>
      <c r="BA610" s="33"/>
      <c r="BB610" s="33">
        <f>VLOOKUP(O610,Eco_DEM_Data!$D$1:$AC$643,20,False)</f>
        <v>2510</v>
      </c>
      <c r="BC610" s="33">
        <f>VLOOKUP($O610,Eco_DEM_Data!$D$1:$AC$643,20,False)</f>
        <v>2510</v>
      </c>
      <c r="BD610" s="33">
        <f>VLOOKUP($O610,Eco_DEM_Data!$D$1:$AC$643,25,False)</f>
        <v>1054</v>
      </c>
      <c r="BE610" s="33">
        <f>VLOOKUP($O610,Eco_DEM_Data!$D$1:$AC$643,22,False)</f>
        <v>28</v>
      </c>
      <c r="BF610" s="33">
        <f>VLOOKUP($O610,Eco_DEM_Data!$D$1:$AC$643,23,False)</f>
        <v>87</v>
      </c>
      <c r="BG610" s="33">
        <f>VLOOKUP($O610,Eco_DEM_Data!$D$1:$AC$643,21,False)</f>
        <v>6856</v>
      </c>
      <c r="BH610" s="33">
        <f>VLOOKUP($O610,Eco_DEM_Data!$D$1:$AC$643,26,False)</f>
        <v>3450</v>
      </c>
      <c r="BI610" s="33" t="str">
        <f>VLOOKUP($O610,Eco_DEM_Data!$D$1:$AC$643,9,False)</f>
        <v>Talamancan montane forests</v>
      </c>
      <c r="BJ610" s="33" t="str">
        <f>VLOOKUP($O610,Eco_DEM_Data!$D$1:$AC$643,11,False)</f>
        <v>Tropical &amp; Subtropical Moist Broadleaf Forests</v>
      </c>
    </row>
    <row r="611">
      <c r="A611" s="33" t="s">
        <v>1343</v>
      </c>
      <c r="B611" s="33" t="s">
        <v>2259</v>
      </c>
      <c r="C611" s="70" t="e">
        <v>#N/A</v>
      </c>
      <c r="D611" s="33" t="s">
        <v>53</v>
      </c>
      <c r="E611" s="34">
        <v>2019.0</v>
      </c>
      <c r="F611" s="33" t="s">
        <v>1344</v>
      </c>
      <c r="G611" s="33" t="s">
        <v>1345</v>
      </c>
      <c r="H611" s="33" t="s">
        <v>793</v>
      </c>
      <c r="I611" s="33" t="s">
        <v>1346</v>
      </c>
      <c r="J611" s="33" t="s">
        <v>1347</v>
      </c>
      <c r="K611" s="34">
        <v>518.0</v>
      </c>
      <c r="L611" s="33"/>
      <c r="M611" s="6" t="s">
        <v>1348</v>
      </c>
      <c r="N611" s="35" t="s">
        <v>60</v>
      </c>
      <c r="O611" s="33" t="s">
        <v>2162</v>
      </c>
      <c r="P611" s="33" t="s">
        <v>62</v>
      </c>
      <c r="Q611" s="33" t="s">
        <v>112</v>
      </c>
      <c r="R611" s="33" t="s">
        <v>1350</v>
      </c>
      <c r="S611" s="34">
        <v>9.468532</v>
      </c>
      <c r="T611" s="55">
        <v>-83.480059</v>
      </c>
      <c r="U611" s="33" t="s">
        <v>148</v>
      </c>
      <c r="V611" s="6" t="s">
        <v>388</v>
      </c>
      <c r="W611" s="33" t="s">
        <v>173</v>
      </c>
      <c r="X611" s="3" t="s">
        <v>72</v>
      </c>
      <c r="Y611" s="33" t="s">
        <v>70</v>
      </c>
      <c r="Z611" s="33"/>
      <c r="AA611" s="34">
        <v>8.0</v>
      </c>
      <c r="AB611" s="33"/>
      <c r="AC611" s="33"/>
      <c r="AD611" s="33"/>
      <c r="AE611" s="33"/>
      <c r="AF611" s="33"/>
      <c r="AG611" s="33"/>
      <c r="AH611" s="6" t="s">
        <v>72</v>
      </c>
      <c r="AI611" s="34">
        <v>-6150.0</v>
      </c>
      <c r="AJ611" s="34">
        <v>2014.0</v>
      </c>
      <c r="AK611" s="6" t="s">
        <v>100</v>
      </c>
      <c r="AL611" s="6" t="s">
        <v>72</v>
      </c>
      <c r="AM611" s="6" t="s">
        <v>132</v>
      </c>
      <c r="AN611" s="6" t="s">
        <v>72</v>
      </c>
      <c r="AO611" s="33"/>
      <c r="AP611" s="6" t="s">
        <v>102</v>
      </c>
      <c r="AQ611" s="33"/>
      <c r="AR611" s="33"/>
      <c r="AS611" s="33"/>
      <c r="AT611" s="6" t="s">
        <v>76</v>
      </c>
      <c r="AU611" s="33"/>
      <c r="AV611" s="33"/>
      <c r="AW611" s="33"/>
      <c r="AX611" s="33"/>
      <c r="AY611" s="33"/>
      <c r="AZ611" s="6" t="s">
        <v>76</v>
      </c>
      <c r="BA611" s="33"/>
      <c r="BB611" s="33">
        <f>VLOOKUP(O611,Eco_DEM_Data!$D$1:$AC$643,20,False)</f>
        <v>2510</v>
      </c>
      <c r="BC611" s="33">
        <f>VLOOKUP($O611,Eco_DEM_Data!$D$1:$AC$643,20,False)</f>
        <v>2510</v>
      </c>
      <c r="BD611" s="33">
        <f>VLOOKUP($O611,Eco_DEM_Data!$D$1:$AC$643,25,False)</f>
        <v>1054</v>
      </c>
      <c r="BE611" s="33">
        <f>VLOOKUP($O611,Eco_DEM_Data!$D$1:$AC$643,22,False)</f>
        <v>28</v>
      </c>
      <c r="BF611" s="33">
        <f>VLOOKUP($O611,Eco_DEM_Data!$D$1:$AC$643,23,False)</f>
        <v>87</v>
      </c>
      <c r="BG611" s="33">
        <f>VLOOKUP($O611,Eco_DEM_Data!$D$1:$AC$643,21,False)</f>
        <v>6856</v>
      </c>
      <c r="BH611" s="33">
        <f>VLOOKUP($O611,Eco_DEM_Data!$D$1:$AC$643,26,False)</f>
        <v>3450</v>
      </c>
      <c r="BI611" s="33" t="str">
        <f>VLOOKUP($O611,Eco_DEM_Data!$D$1:$AC$643,9,False)</f>
        <v>Talamancan montane forests</v>
      </c>
      <c r="BJ611" s="33" t="str">
        <f>VLOOKUP($O611,Eco_DEM_Data!$D$1:$AC$643,11,False)</f>
        <v>Tropical &amp; Subtropical Moist Broadleaf Forests</v>
      </c>
    </row>
    <row r="612">
      <c r="A612" s="33" t="s">
        <v>1343</v>
      </c>
      <c r="B612" s="33" t="s">
        <v>2259</v>
      </c>
      <c r="C612" s="70" t="e">
        <v>#N/A</v>
      </c>
      <c r="D612" s="33" t="s">
        <v>53</v>
      </c>
      <c r="E612" s="34">
        <v>2019.0</v>
      </c>
      <c r="F612" s="33" t="s">
        <v>1344</v>
      </c>
      <c r="G612" s="33" t="s">
        <v>1345</v>
      </c>
      <c r="H612" s="33" t="s">
        <v>793</v>
      </c>
      <c r="I612" s="33" t="s">
        <v>1346</v>
      </c>
      <c r="J612" s="33" t="s">
        <v>1347</v>
      </c>
      <c r="K612" s="34">
        <v>518.0</v>
      </c>
      <c r="L612" s="33"/>
      <c r="M612" s="6" t="s">
        <v>1348</v>
      </c>
      <c r="N612" s="35" t="s">
        <v>60</v>
      </c>
      <c r="O612" s="33" t="s">
        <v>1352</v>
      </c>
      <c r="P612" s="33" t="s">
        <v>62</v>
      </c>
      <c r="Q612" s="33" t="s">
        <v>112</v>
      </c>
      <c r="R612" s="33" t="s">
        <v>1350</v>
      </c>
      <c r="S612" s="34">
        <v>9.468532</v>
      </c>
      <c r="T612" s="55">
        <v>-83.480059</v>
      </c>
      <c r="U612" s="33" t="s">
        <v>148</v>
      </c>
      <c r="V612" s="6" t="s">
        <v>135</v>
      </c>
      <c r="W612" s="41" t="s">
        <v>823</v>
      </c>
      <c r="X612" s="10" t="s">
        <v>72</v>
      </c>
      <c r="Y612" s="41" t="s">
        <v>70</v>
      </c>
      <c r="Z612" s="41"/>
      <c r="AA612" s="68">
        <v>8.0</v>
      </c>
      <c r="AB612" s="41"/>
      <c r="AC612" s="41"/>
      <c r="AD612" s="41"/>
      <c r="AE612" s="41"/>
      <c r="AF612" s="41"/>
      <c r="AG612" s="41"/>
      <c r="AH612" s="5" t="s">
        <v>72</v>
      </c>
      <c r="AI612" s="68">
        <v>-6150.0</v>
      </c>
      <c r="AJ612" s="68">
        <v>2014.0</v>
      </c>
      <c r="AK612" s="5" t="s">
        <v>100</v>
      </c>
      <c r="AL612" s="5" t="s">
        <v>72</v>
      </c>
      <c r="AM612" s="6" t="s">
        <v>132</v>
      </c>
      <c r="AN612" s="5" t="s">
        <v>72</v>
      </c>
      <c r="AO612" s="41"/>
      <c r="AP612" s="5" t="s">
        <v>102</v>
      </c>
      <c r="AQ612" s="41"/>
      <c r="AR612" s="41"/>
      <c r="AS612" s="41"/>
      <c r="AT612" s="5" t="s">
        <v>76</v>
      </c>
      <c r="AU612" s="33"/>
      <c r="AV612" s="33"/>
      <c r="AW612" s="33"/>
      <c r="AX612" s="33"/>
      <c r="AY612" s="33"/>
      <c r="AZ612" s="6" t="s">
        <v>76</v>
      </c>
      <c r="BA612" s="33"/>
      <c r="BB612" s="33">
        <f>VLOOKUP(O612,Eco_DEM_Data!$D$1:$AC$643,20,False)</f>
        <v>2510</v>
      </c>
      <c r="BC612" s="33">
        <f>VLOOKUP($O612,Eco_DEM_Data!$D$1:$AC$643,20,False)</f>
        <v>2510</v>
      </c>
      <c r="BD612" s="33">
        <f>VLOOKUP($O612,Eco_DEM_Data!$D$1:$AC$643,25,False)</f>
        <v>1054</v>
      </c>
      <c r="BE612" s="33">
        <f>VLOOKUP($O612,Eco_DEM_Data!$D$1:$AC$643,22,False)</f>
        <v>28</v>
      </c>
      <c r="BF612" s="33">
        <f>VLOOKUP($O612,Eco_DEM_Data!$D$1:$AC$643,23,False)</f>
        <v>87</v>
      </c>
      <c r="BG612" s="33">
        <f>VLOOKUP($O612,Eco_DEM_Data!$D$1:$AC$643,21,False)</f>
        <v>6856</v>
      </c>
      <c r="BH612" s="33">
        <f>VLOOKUP($O612,Eco_DEM_Data!$D$1:$AC$643,26,False)</f>
        <v>3450</v>
      </c>
      <c r="BI612" s="33" t="str">
        <f>VLOOKUP($O612,Eco_DEM_Data!$D$1:$AC$643,9,False)</f>
        <v>Talamancan montane forests</v>
      </c>
      <c r="BJ612" s="33" t="str">
        <f>VLOOKUP($O612,Eco_DEM_Data!$D$1:$AC$643,11,False)</f>
        <v>Tropical &amp; Subtropical Moist Broadleaf Forests</v>
      </c>
    </row>
    <row r="613">
      <c r="A613" s="33" t="s">
        <v>1343</v>
      </c>
      <c r="B613" s="33" t="s">
        <v>2259</v>
      </c>
      <c r="C613" s="70" t="e">
        <v>#N/A</v>
      </c>
      <c r="D613" s="33" t="s">
        <v>53</v>
      </c>
      <c r="E613" s="34">
        <v>2019.0</v>
      </c>
      <c r="F613" s="33" t="s">
        <v>1344</v>
      </c>
      <c r="G613" s="33" t="s">
        <v>1345</v>
      </c>
      <c r="H613" s="33" t="s">
        <v>793</v>
      </c>
      <c r="I613" s="33" t="s">
        <v>1346</v>
      </c>
      <c r="J613" s="33" t="s">
        <v>1347</v>
      </c>
      <c r="K613" s="34">
        <v>518.0</v>
      </c>
      <c r="L613" s="33"/>
      <c r="M613" s="6" t="s">
        <v>1348</v>
      </c>
      <c r="N613" s="35" t="s">
        <v>60</v>
      </c>
      <c r="O613" s="33" t="s">
        <v>2164</v>
      </c>
      <c r="P613" s="33" t="s">
        <v>62</v>
      </c>
      <c r="Q613" s="33" t="s">
        <v>112</v>
      </c>
      <c r="R613" s="33" t="s">
        <v>1350</v>
      </c>
      <c r="S613" s="34">
        <v>9.468532</v>
      </c>
      <c r="T613" s="55">
        <v>-83.480059</v>
      </c>
      <c r="U613" s="33" t="s">
        <v>148</v>
      </c>
      <c r="V613" s="38" t="s">
        <v>194</v>
      </c>
      <c r="W613" s="33" t="s">
        <v>173</v>
      </c>
      <c r="X613" s="3" t="s">
        <v>72</v>
      </c>
      <c r="Y613" s="33" t="s">
        <v>70</v>
      </c>
      <c r="Z613" s="33"/>
      <c r="AA613" s="34">
        <v>8.0</v>
      </c>
      <c r="AB613" s="33"/>
      <c r="AC613" s="33"/>
      <c r="AD613" s="33"/>
      <c r="AE613" s="33"/>
      <c r="AF613" s="33"/>
      <c r="AG613" s="33"/>
      <c r="AH613" s="6" t="s">
        <v>72</v>
      </c>
      <c r="AI613" s="34">
        <v>-6150.0</v>
      </c>
      <c r="AJ613" s="34">
        <v>2014.0</v>
      </c>
      <c r="AK613" s="6" t="s">
        <v>100</v>
      </c>
      <c r="AL613" s="6" t="s">
        <v>72</v>
      </c>
      <c r="AM613" s="6" t="s">
        <v>132</v>
      </c>
      <c r="AN613" s="6" t="s">
        <v>72</v>
      </c>
      <c r="AO613" s="33"/>
      <c r="AP613" s="6" t="s">
        <v>102</v>
      </c>
      <c r="AQ613" s="33"/>
      <c r="AR613" s="33"/>
      <c r="AS613" s="33"/>
      <c r="AT613" s="6" t="s">
        <v>76</v>
      </c>
      <c r="AU613" s="33"/>
      <c r="AV613" s="33"/>
      <c r="AW613" s="33"/>
      <c r="AX613" s="33"/>
      <c r="AY613" s="33"/>
      <c r="AZ613" s="6" t="s">
        <v>76</v>
      </c>
      <c r="BA613" s="33"/>
      <c r="BB613" s="33">
        <f>VLOOKUP(O613,Eco_DEM_Data!$D$1:$AC$643,20,False)</f>
        <v>2510</v>
      </c>
      <c r="BC613" s="33">
        <f>VLOOKUP($O613,Eco_DEM_Data!$D$1:$AC$643,20,False)</f>
        <v>2510</v>
      </c>
      <c r="BD613" s="33">
        <f>VLOOKUP($O613,Eco_DEM_Data!$D$1:$AC$643,25,False)</f>
        <v>1054</v>
      </c>
      <c r="BE613" s="33">
        <f>VLOOKUP($O613,Eco_DEM_Data!$D$1:$AC$643,22,False)</f>
        <v>28</v>
      </c>
      <c r="BF613" s="33">
        <f>VLOOKUP($O613,Eco_DEM_Data!$D$1:$AC$643,23,False)</f>
        <v>87</v>
      </c>
      <c r="BG613" s="33">
        <f>VLOOKUP($O613,Eco_DEM_Data!$D$1:$AC$643,21,False)</f>
        <v>6856</v>
      </c>
      <c r="BH613" s="33">
        <f>VLOOKUP($O613,Eco_DEM_Data!$D$1:$AC$643,26,False)</f>
        <v>3450</v>
      </c>
      <c r="BI613" s="33" t="str">
        <f>VLOOKUP($O613,Eco_DEM_Data!$D$1:$AC$643,9,False)</f>
        <v>Talamancan montane forests</v>
      </c>
      <c r="BJ613" s="33" t="str">
        <f>VLOOKUP($O613,Eco_DEM_Data!$D$1:$AC$643,11,False)</f>
        <v>Tropical &amp; Subtropical Moist Broadleaf Forests</v>
      </c>
    </row>
    <row r="614">
      <c r="A614" s="33" t="s">
        <v>2165</v>
      </c>
      <c r="B614" s="33" t="s">
        <v>2259</v>
      </c>
      <c r="C614" s="70" t="e">
        <v>#N/A</v>
      </c>
      <c r="D614" s="33" t="s">
        <v>53</v>
      </c>
      <c r="E614" s="34">
        <v>2019.0</v>
      </c>
      <c r="F614" s="33" t="s">
        <v>1974</v>
      </c>
      <c r="G614" s="33" t="s">
        <v>2166</v>
      </c>
      <c r="H614" s="33" t="s">
        <v>1386</v>
      </c>
      <c r="I614" s="33" t="s">
        <v>2167</v>
      </c>
      <c r="J614" s="33" t="s">
        <v>2168</v>
      </c>
      <c r="K614" s="34">
        <v>215.0</v>
      </c>
      <c r="L614" s="33"/>
      <c r="M614" s="6" t="s">
        <v>2169</v>
      </c>
      <c r="N614" s="35" t="s">
        <v>76</v>
      </c>
      <c r="O614" s="33" t="s">
        <v>2165</v>
      </c>
      <c r="P614" s="33" t="s">
        <v>62</v>
      </c>
      <c r="Q614" s="33" t="s">
        <v>112</v>
      </c>
      <c r="R614" s="33" t="s">
        <v>1350</v>
      </c>
      <c r="S614" s="34">
        <v>9.468532</v>
      </c>
      <c r="T614" s="55">
        <v>-83.480059</v>
      </c>
      <c r="U614" s="33" t="s">
        <v>148</v>
      </c>
      <c r="V614" s="6" t="s">
        <v>1214</v>
      </c>
      <c r="W614" s="33" t="s">
        <v>1296</v>
      </c>
      <c r="X614" s="1" t="s">
        <v>2156</v>
      </c>
      <c r="Y614" s="33" t="s">
        <v>70</v>
      </c>
      <c r="Z614" s="33"/>
      <c r="AA614" s="34">
        <v>7.0</v>
      </c>
      <c r="AB614" s="33"/>
      <c r="AC614" s="33"/>
      <c r="AD614" s="33"/>
      <c r="AE614" s="33"/>
      <c r="AF614" s="33"/>
      <c r="AG614" s="33"/>
      <c r="AH614" s="33" t="s">
        <v>523</v>
      </c>
      <c r="AI614" s="34">
        <v>300.0</v>
      </c>
      <c r="AJ614" s="34">
        <v>2014.0</v>
      </c>
      <c r="AK614" s="6" t="s">
        <v>73</v>
      </c>
      <c r="AL614" s="6" t="s">
        <v>72</v>
      </c>
      <c r="AM614" s="6" t="s">
        <v>132</v>
      </c>
      <c r="AN614" s="6" t="s">
        <v>72</v>
      </c>
      <c r="AO614" s="33"/>
      <c r="AP614" s="6" t="s">
        <v>102</v>
      </c>
      <c r="AQ614" s="33"/>
      <c r="AR614" s="33"/>
      <c r="AS614" s="33"/>
      <c r="AT614" s="6" t="s">
        <v>76</v>
      </c>
      <c r="AU614" s="33"/>
      <c r="AV614" s="33"/>
      <c r="AW614" s="33"/>
      <c r="AX614" s="33"/>
      <c r="AY614" s="33"/>
      <c r="AZ614" s="6" t="s">
        <v>76</v>
      </c>
      <c r="BA614" s="33"/>
      <c r="BB614" s="33">
        <f>VLOOKUP(O614,Eco_DEM_Data!$D$1:$AC$643,20,False)</f>
        <v>2510</v>
      </c>
      <c r="BC614" s="33">
        <f>VLOOKUP($O614,Eco_DEM_Data!$D$1:$AC$643,20,False)</f>
        <v>2510</v>
      </c>
      <c r="BD614" s="33">
        <f>VLOOKUP($O614,Eco_DEM_Data!$D$1:$AC$643,25,False)</f>
        <v>1054</v>
      </c>
      <c r="BE614" s="33">
        <f>VLOOKUP($O614,Eco_DEM_Data!$D$1:$AC$643,22,False)</f>
        <v>28</v>
      </c>
      <c r="BF614" s="33">
        <f>VLOOKUP($O614,Eco_DEM_Data!$D$1:$AC$643,23,False)</f>
        <v>87</v>
      </c>
      <c r="BG614" s="33">
        <f>VLOOKUP($O614,Eco_DEM_Data!$D$1:$AC$643,21,False)</f>
        <v>6856</v>
      </c>
      <c r="BH614" s="33">
        <f>VLOOKUP($O614,Eco_DEM_Data!$D$1:$AC$643,26,False)</f>
        <v>3450</v>
      </c>
      <c r="BI614" s="33" t="str">
        <f>VLOOKUP($O614,Eco_DEM_Data!$D$1:$AC$643,9,False)</f>
        <v>Talamancan montane forests</v>
      </c>
      <c r="BJ614" s="33" t="str">
        <f>VLOOKUP($O614,Eco_DEM_Data!$D$1:$AC$643,11,False)</f>
        <v>Tropical &amp; Subtropical Moist Broadleaf Forests</v>
      </c>
    </row>
    <row r="615">
      <c r="A615" s="33" t="s">
        <v>322</v>
      </c>
      <c r="B615" s="33" t="s">
        <v>2258</v>
      </c>
      <c r="C615" s="70" t="e">
        <v>#N/A</v>
      </c>
      <c r="D615" s="33" t="s">
        <v>53</v>
      </c>
      <c r="E615" s="34">
        <v>2020.0</v>
      </c>
      <c r="F615" s="33" t="s">
        <v>323</v>
      </c>
      <c r="G615" s="33" t="s">
        <v>324</v>
      </c>
      <c r="H615" s="33" t="s">
        <v>325</v>
      </c>
      <c r="I615" s="33" t="s">
        <v>326</v>
      </c>
      <c r="J615" s="33" t="s">
        <v>327</v>
      </c>
      <c r="K615" s="34">
        <v>27.0</v>
      </c>
      <c r="L615" s="34">
        <v>14.0</v>
      </c>
      <c r="M615" s="6" t="s">
        <v>328</v>
      </c>
      <c r="N615" s="35" t="s">
        <v>60</v>
      </c>
      <c r="O615" s="33" t="s">
        <v>329</v>
      </c>
      <c r="P615" s="33" t="s">
        <v>62</v>
      </c>
      <c r="Q615" s="33" t="s">
        <v>92</v>
      </c>
      <c r="R615" s="33" t="s">
        <v>330</v>
      </c>
      <c r="S615" s="34">
        <v>16.097067</v>
      </c>
      <c r="T615" s="34">
        <v>-91.682166</v>
      </c>
      <c r="U615" s="33" t="s">
        <v>148</v>
      </c>
      <c r="V615" s="38" t="s">
        <v>169</v>
      </c>
      <c r="W615" s="6" t="s">
        <v>331</v>
      </c>
      <c r="X615" s="1" t="s">
        <v>332</v>
      </c>
      <c r="Y615" s="33" t="s">
        <v>70</v>
      </c>
      <c r="Z615" s="33"/>
      <c r="AA615" s="33"/>
      <c r="AB615" s="33"/>
      <c r="AC615" s="34">
        <v>7.0</v>
      </c>
      <c r="AD615" s="33"/>
      <c r="AE615" s="33"/>
      <c r="AF615" s="33"/>
      <c r="AG615" s="33"/>
      <c r="AH615" s="33"/>
      <c r="AI615" s="34">
        <v>1950.0</v>
      </c>
      <c r="AJ615" s="34">
        <v>2013.0</v>
      </c>
      <c r="AK615" s="6" t="s">
        <v>72</v>
      </c>
      <c r="AL615" s="6" t="s">
        <v>72</v>
      </c>
      <c r="AM615" s="5" t="s">
        <v>72</v>
      </c>
      <c r="AN615" s="6" t="s">
        <v>101</v>
      </c>
      <c r="AO615" s="33"/>
      <c r="AP615" s="6" t="s">
        <v>75</v>
      </c>
      <c r="AQ615" s="33"/>
      <c r="AR615" s="33"/>
      <c r="AS615" s="33"/>
      <c r="AT615" s="6" t="s">
        <v>76</v>
      </c>
      <c r="AU615" s="33"/>
      <c r="AV615" s="33"/>
      <c r="AW615" s="33"/>
      <c r="AX615" s="33"/>
      <c r="AY615" s="33"/>
      <c r="AZ615" s="6" t="s">
        <v>76</v>
      </c>
      <c r="BA615" s="33"/>
      <c r="BB615" s="33">
        <f>VLOOKUP(O615,Eco_DEM_Data!$D$1:$AC$643,20,False)</f>
        <v>2679</v>
      </c>
      <c r="BC615" s="33">
        <f>VLOOKUP($O615,Eco_DEM_Data!$D$1:$AC$643,20,False)</f>
        <v>2679</v>
      </c>
      <c r="BD615" s="33">
        <f>VLOOKUP($O615,Eco_DEM_Data!$D$1:$AC$643,25,False)</f>
        <v>1248</v>
      </c>
      <c r="BE615" s="33">
        <f>VLOOKUP($O615,Eco_DEM_Data!$D$1:$AC$643,22,False)</f>
        <v>50</v>
      </c>
      <c r="BF615" s="33">
        <f>VLOOKUP($O615,Eco_DEM_Data!$D$1:$AC$643,23,False)</f>
        <v>184</v>
      </c>
      <c r="BG615" s="33">
        <f>VLOOKUP($O615,Eco_DEM_Data!$D$1:$AC$643,21,False)</f>
        <v>7104</v>
      </c>
      <c r="BH615" s="33">
        <f>VLOOKUP($O615,Eco_DEM_Data!$D$1:$AC$643,26,False)</f>
        <v>1582</v>
      </c>
      <c r="BI615" s="33" t="str">
        <f>VLOOKUP($O615,Eco_DEM_Data!$D$1:$AC$643,9,False)</f>
        <v>Chiapas montane forests</v>
      </c>
      <c r="BJ615" s="33" t="str">
        <f>VLOOKUP($O615,Eco_DEM_Data!$D$1:$AC$643,11,False)</f>
        <v>Tropical &amp; Subtropical Moist Broadleaf Forests</v>
      </c>
    </row>
    <row r="616">
      <c r="A616" s="33" t="s">
        <v>322</v>
      </c>
      <c r="B616" s="33" t="s">
        <v>2258</v>
      </c>
      <c r="C616" s="70" t="e">
        <v>#N/A</v>
      </c>
      <c r="D616" s="33" t="s">
        <v>53</v>
      </c>
      <c r="E616" s="34">
        <v>2020.0</v>
      </c>
      <c r="F616" s="33" t="s">
        <v>323</v>
      </c>
      <c r="G616" s="33" t="s">
        <v>324</v>
      </c>
      <c r="H616" s="33" t="s">
        <v>325</v>
      </c>
      <c r="I616" s="33" t="s">
        <v>326</v>
      </c>
      <c r="J616" s="33" t="s">
        <v>327</v>
      </c>
      <c r="K616" s="34">
        <v>27.0</v>
      </c>
      <c r="L616" s="34">
        <v>14.0</v>
      </c>
      <c r="M616" s="6" t="s">
        <v>328</v>
      </c>
      <c r="N616" s="35" t="s">
        <v>60</v>
      </c>
      <c r="O616" s="33" t="s">
        <v>334</v>
      </c>
      <c r="P616" s="33" t="s">
        <v>62</v>
      </c>
      <c r="Q616" s="33" t="s">
        <v>92</v>
      </c>
      <c r="R616" s="33" t="s">
        <v>330</v>
      </c>
      <c r="S616" s="34">
        <v>16.097067</v>
      </c>
      <c r="T616" s="34">
        <v>-91.682166</v>
      </c>
      <c r="U616" s="33" t="s">
        <v>148</v>
      </c>
      <c r="V616" s="6" t="s">
        <v>149</v>
      </c>
      <c r="W616" s="33" t="s">
        <v>1825</v>
      </c>
      <c r="X616" s="1" t="s">
        <v>336</v>
      </c>
      <c r="Y616" s="33" t="s">
        <v>70</v>
      </c>
      <c r="Z616" s="33"/>
      <c r="AA616" s="33"/>
      <c r="AB616" s="33"/>
      <c r="AC616" s="34">
        <v>7.0</v>
      </c>
      <c r="AD616" s="33"/>
      <c r="AE616" s="33"/>
      <c r="AF616" s="33"/>
      <c r="AG616" s="33"/>
      <c r="AH616" s="33"/>
      <c r="AI616" s="34">
        <v>1950.0</v>
      </c>
      <c r="AJ616" s="34">
        <v>2013.0</v>
      </c>
      <c r="AK616" s="6" t="s">
        <v>72</v>
      </c>
      <c r="AL616" s="6" t="s">
        <v>72</v>
      </c>
      <c r="AM616" s="5" t="s">
        <v>72</v>
      </c>
      <c r="AN616" s="6" t="s">
        <v>101</v>
      </c>
      <c r="AO616" s="33"/>
      <c r="AP616" s="6" t="s">
        <v>75</v>
      </c>
      <c r="AQ616" s="33"/>
      <c r="AR616" s="33"/>
      <c r="AS616" s="33"/>
      <c r="AT616" s="6" t="s">
        <v>76</v>
      </c>
      <c r="AU616" s="33"/>
      <c r="AV616" s="33"/>
      <c r="AW616" s="33"/>
      <c r="AX616" s="33"/>
      <c r="AY616" s="33"/>
      <c r="AZ616" s="6" t="s">
        <v>76</v>
      </c>
      <c r="BA616" s="33"/>
      <c r="BB616" s="33">
        <f>VLOOKUP(O616,Eco_DEM_Data!$D$1:$AC$643,20,False)</f>
        <v>2679</v>
      </c>
      <c r="BC616" s="33">
        <f>VLOOKUP($O616,Eco_DEM_Data!$D$1:$AC$643,20,False)</f>
        <v>2679</v>
      </c>
      <c r="BD616" s="33">
        <f>VLOOKUP($O616,Eco_DEM_Data!$D$1:$AC$643,25,False)</f>
        <v>1248</v>
      </c>
      <c r="BE616" s="33">
        <f>VLOOKUP($O616,Eco_DEM_Data!$D$1:$AC$643,22,False)</f>
        <v>50</v>
      </c>
      <c r="BF616" s="33">
        <f>VLOOKUP($O616,Eco_DEM_Data!$D$1:$AC$643,23,False)</f>
        <v>184</v>
      </c>
      <c r="BG616" s="33">
        <f>VLOOKUP($O616,Eco_DEM_Data!$D$1:$AC$643,21,False)</f>
        <v>7104</v>
      </c>
      <c r="BH616" s="33">
        <f>VLOOKUP($O616,Eco_DEM_Data!$D$1:$AC$643,26,False)</f>
        <v>1582</v>
      </c>
      <c r="BI616" s="33" t="str">
        <f>VLOOKUP($O616,Eco_DEM_Data!$D$1:$AC$643,9,False)</f>
        <v>Chiapas montane forests</v>
      </c>
      <c r="BJ616" s="33" t="str">
        <f>VLOOKUP($O616,Eco_DEM_Data!$D$1:$AC$643,11,False)</f>
        <v>Tropical &amp; Subtropical Moist Broadleaf Forests</v>
      </c>
    </row>
    <row r="617">
      <c r="A617" s="33" t="s">
        <v>159</v>
      </c>
      <c r="B617" s="33" t="s">
        <v>2258</v>
      </c>
      <c r="C617" s="70" t="e">
        <v>#N/A</v>
      </c>
      <c r="D617" s="33" t="s">
        <v>53</v>
      </c>
      <c r="E617" s="34">
        <v>2020.0</v>
      </c>
      <c r="F617" s="33" t="s">
        <v>160</v>
      </c>
      <c r="G617" s="33" t="s">
        <v>161</v>
      </c>
      <c r="H617" s="33" t="s">
        <v>162</v>
      </c>
      <c r="I617" s="33" t="s">
        <v>163</v>
      </c>
      <c r="J617" s="33" t="s">
        <v>164</v>
      </c>
      <c r="K617" s="34">
        <v>49.0</v>
      </c>
      <c r="L617" s="34">
        <v>2.0</v>
      </c>
      <c r="M617" s="6" t="s">
        <v>165</v>
      </c>
      <c r="N617" s="35" t="s">
        <v>60</v>
      </c>
      <c r="O617" s="33" t="s">
        <v>166</v>
      </c>
      <c r="P617" s="33" t="s">
        <v>62</v>
      </c>
      <c r="Q617" s="33" t="s">
        <v>167</v>
      </c>
      <c r="R617" s="33" t="s">
        <v>168</v>
      </c>
      <c r="S617" s="34">
        <v>16.147314</v>
      </c>
      <c r="T617" s="55">
        <v>-91.768701</v>
      </c>
      <c r="U617" s="33" t="s">
        <v>148</v>
      </c>
      <c r="V617" s="6" t="s">
        <v>169</v>
      </c>
      <c r="W617" s="6" t="s">
        <v>170</v>
      </c>
      <c r="X617" s="3" t="s">
        <v>72</v>
      </c>
      <c r="Y617" s="6" t="s">
        <v>172</v>
      </c>
      <c r="Z617" s="33"/>
      <c r="AA617" s="34">
        <v>4.0</v>
      </c>
      <c r="AB617" s="33"/>
      <c r="AC617" s="33"/>
      <c r="AD617" s="33"/>
      <c r="AE617" s="33"/>
      <c r="AF617" s="33"/>
      <c r="AG617" s="33"/>
      <c r="AH617" s="33" t="s">
        <v>174</v>
      </c>
      <c r="AI617" s="34">
        <v>-1450.0</v>
      </c>
      <c r="AJ617" s="34">
        <v>2013.0</v>
      </c>
      <c r="AK617" s="6" t="s">
        <v>100</v>
      </c>
      <c r="AL617" s="6" t="s">
        <v>72</v>
      </c>
      <c r="AM617" s="6" t="s">
        <v>132</v>
      </c>
      <c r="AN617" s="6" t="s">
        <v>72</v>
      </c>
      <c r="AO617" s="33"/>
      <c r="AP617" s="6" t="s">
        <v>102</v>
      </c>
      <c r="AQ617" s="33"/>
      <c r="AR617" s="33"/>
      <c r="AS617" s="33"/>
      <c r="AT617" s="6" t="s">
        <v>76</v>
      </c>
      <c r="AU617" s="33"/>
      <c r="AV617" s="33"/>
      <c r="AW617" s="33"/>
      <c r="AX617" s="33"/>
      <c r="AY617" s="33"/>
      <c r="AZ617" s="6" t="s">
        <v>76</v>
      </c>
      <c r="BA617" s="33"/>
      <c r="BB617" s="33">
        <f>VLOOKUP(O617,Eco_DEM_Data!$D$1:$AC$643,20,False)</f>
        <v>2150</v>
      </c>
      <c r="BC617" s="33">
        <f>VLOOKUP($O617,Eco_DEM_Data!$D$1:$AC$643,20,False)</f>
        <v>2150</v>
      </c>
      <c r="BD617" s="33">
        <f>VLOOKUP($O617,Eco_DEM_Data!$D$1:$AC$643,25,False)</f>
        <v>1038</v>
      </c>
      <c r="BE617" s="33">
        <f>VLOOKUP($O617,Eco_DEM_Data!$D$1:$AC$643,22,False)</f>
        <v>35</v>
      </c>
      <c r="BF617" s="33">
        <f>VLOOKUP($O617,Eco_DEM_Data!$D$1:$AC$643,23,False)</f>
        <v>132</v>
      </c>
      <c r="BG617" s="33">
        <f>VLOOKUP($O617,Eco_DEM_Data!$D$1:$AC$643,21,False)</f>
        <v>7746</v>
      </c>
      <c r="BH617" s="33">
        <f>VLOOKUP($O617,Eco_DEM_Data!$D$1:$AC$643,26,False)</f>
        <v>1497</v>
      </c>
      <c r="BI617" s="33" t="str">
        <f>VLOOKUP($O617,Eco_DEM_Data!$D$1:$AC$643,9,False)</f>
        <v>Central American pine-oak forests</v>
      </c>
      <c r="BJ617" s="33" t="str">
        <f>VLOOKUP($O617,Eco_DEM_Data!$D$1:$AC$643,11,False)</f>
        <v>Tropical &amp; Subtropical Coniferous Forests</v>
      </c>
    </row>
    <row r="618">
      <c r="A618" s="33" t="s">
        <v>159</v>
      </c>
      <c r="B618" s="33" t="s">
        <v>2258</v>
      </c>
      <c r="C618" s="70" t="e">
        <v>#N/A</v>
      </c>
      <c r="D618" s="33" t="s">
        <v>53</v>
      </c>
      <c r="E618" s="34">
        <v>2020.0</v>
      </c>
      <c r="F618" s="33" t="s">
        <v>160</v>
      </c>
      <c r="G618" s="33" t="s">
        <v>161</v>
      </c>
      <c r="H618" s="33" t="s">
        <v>162</v>
      </c>
      <c r="I618" s="33" t="s">
        <v>163</v>
      </c>
      <c r="J618" s="33" t="s">
        <v>164</v>
      </c>
      <c r="K618" s="34">
        <v>49.0</v>
      </c>
      <c r="L618" s="34">
        <v>2.0</v>
      </c>
      <c r="M618" s="6" t="s">
        <v>165</v>
      </c>
      <c r="N618" s="35" t="s">
        <v>60</v>
      </c>
      <c r="O618" s="33" t="s">
        <v>175</v>
      </c>
      <c r="P618" s="33" t="s">
        <v>62</v>
      </c>
      <c r="Q618" s="33" t="s">
        <v>167</v>
      </c>
      <c r="R618" s="33" t="s">
        <v>168</v>
      </c>
      <c r="S618" s="34">
        <v>16.147314</v>
      </c>
      <c r="T618" s="55">
        <v>-91.768701</v>
      </c>
      <c r="U618" s="33" t="s">
        <v>148</v>
      </c>
      <c r="V618" s="6" t="s">
        <v>176</v>
      </c>
      <c r="W618" s="6" t="s">
        <v>177</v>
      </c>
      <c r="X618" s="1" t="s">
        <v>178</v>
      </c>
      <c r="Y618" s="33" t="s">
        <v>70</v>
      </c>
      <c r="Z618" s="33"/>
      <c r="AA618" s="34">
        <v>4.0</v>
      </c>
      <c r="AB618" s="33"/>
      <c r="AC618" s="33"/>
      <c r="AD618" s="33"/>
      <c r="AE618" s="33"/>
      <c r="AF618" s="33"/>
      <c r="AG618" s="33"/>
      <c r="AH618" s="33"/>
      <c r="AI618" s="34">
        <v>-1450.0</v>
      </c>
      <c r="AJ618" s="34">
        <v>2013.0</v>
      </c>
      <c r="AK618" s="6" t="s">
        <v>100</v>
      </c>
      <c r="AL618" s="6" t="s">
        <v>72</v>
      </c>
      <c r="AM618" s="6" t="s">
        <v>132</v>
      </c>
      <c r="AN618" s="6" t="s">
        <v>72</v>
      </c>
      <c r="AO618" s="33"/>
      <c r="AP618" s="6" t="s">
        <v>102</v>
      </c>
      <c r="AQ618" s="33"/>
      <c r="AR618" s="33"/>
      <c r="AS618" s="33"/>
      <c r="AT618" s="6" t="s">
        <v>76</v>
      </c>
      <c r="AU618" s="33"/>
      <c r="AV618" s="33"/>
      <c r="AW618" s="33"/>
      <c r="AX618" s="33"/>
      <c r="AY618" s="33"/>
      <c r="AZ618" s="6" t="s">
        <v>76</v>
      </c>
      <c r="BA618" s="33"/>
      <c r="BB618" s="33">
        <f>VLOOKUP(O618,Eco_DEM_Data!$D$1:$AC$643,20,False)</f>
        <v>2150</v>
      </c>
      <c r="BC618" s="33">
        <f>VLOOKUP($O618,Eco_DEM_Data!$D$1:$AC$643,20,False)</f>
        <v>2150</v>
      </c>
      <c r="BD618" s="33">
        <f>VLOOKUP($O618,Eco_DEM_Data!$D$1:$AC$643,25,False)</f>
        <v>1038</v>
      </c>
      <c r="BE618" s="33">
        <f>VLOOKUP($O618,Eco_DEM_Data!$D$1:$AC$643,22,False)</f>
        <v>35</v>
      </c>
      <c r="BF618" s="33">
        <f>VLOOKUP($O618,Eco_DEM_Data!$D$1:$AC$643,23,False)</f>
        <v>132</v>
      </c>
      <c r="BG618" s="33">
        <f>VLOOKUP($O618,Eco_DEM_Data!$D$1:$AC$643,21,False)</f>
        <v>7746</v>
      </c>
      <c r="BH618" s="33">
        <f>VLOOKUP($O618,Eco_DEM_Data!$D$1:$AC$643,26,False)</f>
        <v>1497</v>
      </c>
      <c r="BI618" s="33" t="str">
        <f>VLOOKUP($O618,Eco_DEM_Data!$D$1:$AC$643,9,False)</f>
        <v>Central American pine-oak forests</v>
      </c>
      <c r="BJ618" s="33" t="str">
        <f>VLOOKUP($O618,Eco_DEM_Data!$D$1:$AC$643,11,False)</f>
        <v>Tropical &amp; Subtropical Coniferous Forests</v>
      </c>
    </row>
    <row r="619">
      <c r="A619" s="33" t="s">
        <v>1890</v>
      </c>
      <c r="B619" s="33" t="s">
        <v>2258</v>
      </c>
      <c r="C619" s="34">
        <v>4.0</v>
      </c>
      <c r="D619" s="33" t="s">
        <v>53</v>
      </c>
      <c r="E619" s="34">
        <v>2020.0</v>
      </c>
      <c r="F619" s="33" t="s">
        <v>1891</v>
      </c>
      <c r="G619" s="33" t="s">
        <v>1892</v>
      </c>
      <c r="H619" s="33" t="s">
        <v>1884</v>
      </c>
      <c r="I619" s="33" t="s">
        <v>1893</v>
      </c>
      <c r="J619" s="45" t="s">
        <v>1894</v>
      </c>
      <c r="K619" s="46"/>
      <c r="L619" s="46"/>
      <c r="M619" s="33"/>
      <c r="N619" s="35" t="s">
        <v>60</v>
      </c>
      <c r="O619" s="33" t="s">
        <v>1895</v>
      </c>
      <c r="P619" s="33" t="s">
        <v>62</v>
      </c>
      <c r="Q619" s="33" t="s">
        <v>167</v>
      </c>
      <c r="R619" s="33" t="s">
        <v>263</v>
      </c>
      <c r="S619" s="34">
        <v>16.000583</v>
      </c>
      <c r="T619" s="34">
        <v>-91.554216</v>
      </c>
      <c r="U619" s="33" t="s">
        <v>148</v>
      </c>
      <c r="V619" s="6" t="s">
        <v>66</v>
      </c>
      <c r="W619" s="41" t="s">
        <v>823</v>
      </c>
      <c r="X619" s="7" t="s">
        <v>344</v>
      </c>
      <c r="Y619" s="41" t="s">
        <v>70</v>
      </c>
      <c r="Z619" s="41"/>
      <c r="AA619" s="68">
        <v>4.0</v>
      </c>
      <c r="AB619" s="41"/>
      <c r="AC619" s="68">
        <v>10.0</v>
      </c>
      <c r="AD619" s="41"/>
      <c r="AE619" s="41"/>
      <c r="AF619" s="41"/>
      <c r="AG619" s="41"/>
      <c r="AH619" s="41" t="s">
        <v>523</v>
      </c>
      <c r="AI619" s="68">
        <v>1550.0</v>
      </c>
      <c r="AJ619" s="68">
        <v>2015.0</v>
      </c>
      <c r="AK619" s="5" t="s">
        <v>153</v>
      </c>
      <c r="AL619" s="5" t="s">
        <v>60</v>
      </c>
      <c r="AM619" s="6" t="s">
        <v>132</v>
      </c>
      <c r="AN619" s="5" t="s">
        <v>72</v>
      </c>
      <c r="AO619" s="41"/>
      <c r="AP619" s="5" t="s">
        <v>102</v>
      </c>
      <c r="AQ619" s="68">
        <v>50.0</v>
      </c>
      <c r="AR619" s="68">
        <v>2.0</v>
      </c>
      <c r="AS619" s="68">
        <v>25.0</v>
      </c>
      <c r="AT619" s="5" t="s">
        <v>60</v>
      </c>
      <c r="AU619" s="33" t="s">
        <v>2276</v>
      </c>
      <c r="AV619" s="34">
        <v>1550.0</v>
      </c>
      <c r="AW619" s="33"/>
      <c r="AX619" s="33"/>
      <c r="AY619" s="40" t="s">
        <v>60</v>
      </c>
      <c r="AZ619" s="6" t="s">
        <v>60</v>
      </c>
      <c r="BA619" s="33"/>
      <c r="BB619" s="33">
        <f>VLOOKUP(O619,Eco_DEM_Data!$D$1:$AC$643,20,False)</f>
        <v>3417</v>
      </c>
      <c r="BC619" s="33">
        <f>VLOOKUP($O619,Eco_DEM_Data!$D$1:$AC$643,20,False)</f>
        <v>3417</v>
      </c>
      <c r="BD619" s="33">
        <f>VLOOKUP($O619,Eco_DEM_Data!$D$1:$AC$643,25,False)</f>
        <v>1566</v>
      </c>
      <c r="BE619" s="33">
        <f>VLOOKUP($O619,Eco_DEM_Data!$D$1:$AC$643,22,False)</f>
        <v>75</v>
      </c>
      <c r="BF619" s="33">
        <f>VLOOKUP($O619,Eco_DEM_Data!$D$1:$AC$643,23,False)</f>
        <v>258</v>
      </c>
      <c r="BG619" s="33">
        <f>VLOOKUP($O619,Eco_DEM_Data!$D$1:$AC$643,21,False)</f>
        <v>6710</v>
      </c>
      <c r="BH619" s="33">
        <f>VLOOKUP($O619,Eco_DEM_Data!$D$1:$AC$643,26,False)</f>
        <v>1520</v>
      </c>
      <c r="BI619" s="33" t="str">
        <f>VLOOKUP($O619,Eco_DEM_Data!$D$1:$AC$643,9,False)</f>
        <v>Central American pine-oak forests</v>
      </c>
      <c r="BJ619" s="33" t="str">
        <f>VLOOKUP($O619,Eco_DEM_Data!$D$1:$AC$643,11,False)</f>
        <v>Tropical &amp; Subtropical Coniferous Forests</v>
      </c>
    </row>
    <row r="620">
      <c r="A620" s="33" t="s">
        <v>1890</v>
      </c>
      <c r="B620" s="33" t="s">
        <v>2258</v>
      </c>
      <c r="C620" s="34">
        <v>4.0</v>
      </c>
      <c r="D620" s="33" t="s">
        <v>53</v>
      </c>
      <c r="E620" s="34">
        <v>2020.0</v>
      </c>
      <c r="F620" s="33" t="s">
        <v>1891</v>
      </c>
      <c r="G620" s="33" t="s">
        <v>1892</v>
      </c>
      <c r="H620" s="33" t="s">
        <v>1884</v>
      </c>
      <c r="I620" s="33" t="s">
        <v>1893</v>
      </c>
      <c r="J620" s="45" t="s">
        <v>1894</v>
      </c>
      <c r="K620" s="46"/>
      <c r="L620" s="46"/>
      <c r="M620" s="33"/>
      <c r="N620" s="35" t="s">
        <v>60</v>
      </c>
      <c r="O620" s="33" t="s">
        <v>1896</v>
      </c>
      <c r="P620" s="33" t="s">
        <v>62</v>
      </c>
      <c r="Q620" s="33" t="s">
        <v>167</v>
      </c>
      <c r="R620" s="33" t="s">
        <v>263</v>
      </c>
      <c r="S620" s="34">
        <v>16.000583</v>
      </c>
      <c r="T620" s="34">
        <v>-91.554216</v>
      </c>
      <c r="U620" s="33" t="s">
        <v>148</v>
      </c>
      <c r="V620" s="6" t="s">
        <v>80</v>
      </c>
      <c r="W620" s="33" t="s">
        <v>156</v>
      </c>
      <c r="X620" s="1" t="s">
        <v>348</v>
      </c>
      <c r="Y620" s="33" t="s">
        <v>349</v>
      </c>
      <c r="Z620" s="33"/>
      <c r="AA620" s="34">
        <v>4.0</v>
      </c>
      <c r="AB620" s="33"/>
      <c r="AC620" s="34">
        <v>10.0</v>
      </c>
      <c r="AD620" s="33"/>
      <c r="AE620" s="33"/>
      <c r="AF620" s="33"/>
      <c r="AG620" s="33"/>
      <c r="AH620" s="33" t="s">
        <v>523</v>
      </c>
      <c r="AI620" s="34">
        <v>1550.0</v>
      </c>
      <c r="AJ620" s="34">
        <v>2015.0</v>
      </c>
      <c r="AK620" s="6" t="s">
        <v>153</v>
      </c>
      <c r="AL620" s="6" t="s">
        <v>60</v>
      </c>
      <c r="AM620" s="6" t="s">
        <v>132</v>
      </c>
      <c r="AN620" s="6" t="s">
        <v>72</v>
      </c>
      <c r="AO620" s="33"/>
      <c r="AP620" s="39" t="s">
        <v>102</v>
      </c>
      <c r="AQ620" s="34">
        <v>50.0</v>
      </c>
      <c r="AR620" s="34">
        <v>2.0</v>
      </c>
      <c r="AS620" s="34">
        <v>25.0</v>
      </c>
      <c r="AT620" s="6" t="s">
        <v>76</v>
      </c>
      <c r="AU620" s="33"/>
      <c r="AV620" s="33"/>
      <c r="AW620" s="33"/>
      <c r="AX620" s="33" t="s">
        <v>2280</v>
      </c>
      <c r="AY620" s="40" t="s">
        <v>60</v>
      </c>
      <c r="AZ620" s="6" t="s">
        <v>60</v>
      </c>
      <c r="BA620" s="33"/>
      <c r="BB620" s="33">
        <f>VLOOKUP(O620,Eco_DEM_Data!$D$1:$AC$643,20,False)</f>
        <v>3417</v>
      </c>
      <c r="BC620" s="33">
        <f>VLOOKUP($O620,Eco_DEM_Data!$D$1:$AC$643,20,False)</f>
        <v>3417</v>
      </c>
      <c r="BD620" s="33">
        <f>VLOOKUP($O620,Eco_DEM_Data!$D$1:$AC$643,25,False)</f>
        <v>1566</v>
      </c>
      <c r="BE620" s="33">
        <f>VLOOKUP($O620,Eco_DEM_Data!$D$1:$AC$643,22,False)</f>
        <v>75</v>
      </c>
      <c r="BF620" s="33">
        <f>VLOOKUP($O620,Eco_DEM_Data!$D$1:$AC$643,23,False)</f>
        <v>258</v>
      </c>
      <c r="BG620" s="33">
        <f>VLOOKUP($O620,Eco_DEM_Data!$D$1:$AC$643,21,False)</f>
        <v>6710</v>
      </c>
      <c r="BH620" s="33">
        <f>VLOOKUP($O620,Eco_DEM_Data!$D$1:$AC$643,26,False)</f>
        <v>1520</v>
      </c>
      <c r="BI620" s="33" t="str">
        <f>VLOOKUP($O620,Eco_DEM_Data!$D$1:$AC$643,9,False)</f>
        <v>Central American pine-oak forests</v>
      </c>
      <c r="BJ620" s="33" t="str">
        <f>VLOOKUP($O620,Eco_DEM_Data!$D$1:$AC$643,11,False)</f>
        <v>Tropical &amp; Subtropical Coniferous Forests</v>
      </c>
    </row>
    <row r="621">
      <c r="A621" s="33" t="s">
        <v>1890</v>
      </c>
      <c r="B621" s="33" t="s">
        <v>2258</v>
      </c>
      <c r="C621" s="34">
        <v>4.0</v>
      </c>
      <c r="D621" s="33" t="s">
        <v>53</v>
      </c>
      <c r="E621" s="34">
        <v>2020.0</v>
      </c>
      <c r="F621" s="33" t="s">
        <v>1891</v>
      </c>
      <c r="G621" s="33" t="s">
        <v>1892</v>
      </c>
      <c r="H621" s="33" t="s">
        <v>1884</v>
      </c>
      <c r="I621" s="33" t="s">
        <v>1893</v>
      </c>
      <c r="J621" s="45" t="s">
        <v>1894</v>
      </c>
      <c r="K621" s="46"/>
      <c r="L621" s="46"/>
      <c r="M621" s="33"/>
      <c r="N621" s="35" t="s">
        <v>60</v>
      </c>
      <c r="O621" s="33" t="s">
        <v>1897</v>
      </c>
      <c r="P621" s="33" t="s">
        <v>62</v>
      </c>
      <c r="Q621" s="33" t="s">
        <v>167</v>
      </c>
      <c r="R621" s="33" t="s">
        <v>263</v>
      </c>
      <c r="S621" s="34">
        <v>16.000583</v>
      </c>
      <c r="T621" s="34">
        <v>-91.554216</v>
      </c>
      <c r="U621" s="33" t="s">
        <v>148</v>
      </c>
      <c r="V621" s="6" t="s">
        <v>321</v>
      </c>
      <c r="W621" s="33" t="s">
        <v>156</v>
      </c>
      <c r="X621" s="1" t="s">
        <v>82</v>
      </c>
      <c r="Y621" s="6" t="s">
        <v>158</v>
      </c>
      <c r="Z621" s="33"/>
      <c r="AA621" s="34">
        <v>4.0</v>
      </c>
      <c r="AB621" s="33"/>
      <c r="AC621" s="34">
        <v>10.0</v>
      </c>
      <c r="AD621" s="33"/>
      <c r="AE621" s="33"/>
      <c r="AF621" s="33"/>
      <c r="AG621" s="33"/>
      <c r="AH621" s="33" t="s">
        <v>523</v>
      </c>
      <c r="AI621" s="34">
        <v>1550.0</v>
      </c>
      <c r="AJ621" s="34">
        <v>2015.0</v>
      </c>
      <c r="AK621" s="6" t="s">
        <v>153</v>
      </c>
      <c r="AL621" s="6" t="s">
        <v>60</v>
      </c>
      <c r="AM621" s="6" t="s">
        <v>132</v>
      </c>
      <c r="AN621" s="6" t="s">
        <v>72</v>
      </c>
      <c r="AO621" s="33"/>
      <c r="AP621" s="39" t="s">
        <v>102</v>
      </c>
      <c r="AQ621" s="34">
        <v>50.0</v>
      </c>
      <c r="AR621" s="34">
        <v>2.0</v>
      </c>
      <c r="AS621" s="34">
        <v>25.0</v>
      </c>
      <c r="AT621" s="6" t="s">
        <v>76</v>
      </c>
      <c r="AU621" s="33"/>
      <c r="AV621" s="33"/>
      <c r="AW621" s="6" t="s">
        <v>76</v>
      </c>
      <c r="AX621" s="33" t="s">
        <v>2279</v>
      </c>
      <c r="AY621" s="40" t="s">
        <v>60</v>
      </c>
      <c r="AZ621" s="6" t="s">
        <v>60</v>
      </c>
      <c r="BA621" s="33"/>
      <c r="BB621" s="33">
        <f>VLOOKUP(O621,Eco_DEM_Data!$D$1:$AC$643,20,False)</f>
        <v>3417</v>
      </c>
      <c r="BC621" s="33">
        <f>VLOOKUP($O621,Eco_DEM_Data!$D$1:$AC$643,20,False)</f>
        <v>3417</v>
      </c>
      <c r="BD621" s="33">
        <f>VLOOKUP($O621,Eco_DEM_Data!$D$1:$AC$643,25,False)</f>
        <v>1566</v>
      </c>
      <c r="BE621" s="33">
        <f>VLOOKUP($O621,Eco_DEM_Data!$D$1:$AC$643,22,False)</f>
        <v>75</v>
      </c>
      <c r="BF621" s="33">
        <f>VLOOKUP($O621,Eco_DEM_Data!$D$1:$AC$643,23,False)</f>
        <v>258</v>
      </c>
      <c r="BG621" s="33">
        <f>VLOOKUP($O621,Eco_DEM_Data!$D$1:$AC$643,21,False)</f>
        <v>6710</v>
      </c>
      <c r="BH621" s="33">
        <f>VLOOKUP($O621,Eco_DEM_Data!$D$1:$AC$643,26,False)</f>
        <v>1520</v>
      </c>
      <c r="BI621" s="33" t="str">
        <f>VLOOKUP($O621,Eco_DEM_Data!$D$1:$AC$643,9,False)</f>
        <v>Central American pine-oak forests</v>
      </c>
      <c r="BJ621" s="33" t="str">
        <f>VLOOKUP($O621,Eco_DEM_Data!$D$1:$AC$643,11,False)</f>
        <v>Tropical &amp; Subtropical Coniferous Forests</v>
      </c>
    </row>
    <row r="622">
      <c r="A622" s="33" t="s">
        <v>1890</v>
      </c>
      <c r="B622" s="33" t="s">
        <v>2258</v>
      </c>
      <c r="C622" s="34">
        <v>4.0</v>
      </c>
      <c r="D622" s="33" t="s">
        <v>53</v>
      </c>
      <c r="E622" s="34">
        <v>2020.0</v>
      </c>
      <c r="F622" s="33" t="s">
        <v>1891</v>
      </c>
      <c r="G622" s="33" t="s">
        <v>1892</v>
      </c>
      <c r="H622" s="33" t="s">
        <v>1884</v>
      </c>
      <c r="I622" s="33" t="s">
        <v>1893</v>
      </c>
      <c r="J622" s="45" t="s">
        <v>1894</v>
      </c>
      <c r="K622" s="46"/>
      <c r="L622" s="46"/>
      <c r="M622" s="33"/>
      <c r="N622" s="35" t="s">
        <v>60</v>
      </c>
      <c r="O622" s="33" t="s">
        <v>1898</v>
      </c>
      <c r="P622" s="33" t="s">
        <v>62</v>
      </c>
      <c r="Q622" s="33" t="s">
        <v>167</v>
      </c>
      <c r="R622" s="33" t="s">
        <v>263</v>
      </c>
      <c r="S622" s="34">
        <v>16.000583</v>
      </c>
      <c r="T622" s="34">
        <v>-91.554216</v>
      </c>
      <c r="U622" s="33" t="s">
        <v>148</v>
      </c>
      <c r="V622" s="6" t="s">
        <v>352</v>
      </c>
      <c r="W622" s="33" t="s">
        <v>353</v>
      </c>
      <c r="X622" s="1" t="s">
        <v>344</v>
      </c>
      <c r="Y622" s="6" t="s">
        <v>355</v>
      </c>
      <c r="Z622" s="33"/>
      <c r="AA622" s="34">
        <v>4.0</v>
      </c>
      <c r="AB622" s="33"/>
      <c r="AC622" s="34">
        <v>10.0</v>
      </c>
      <c r="AD622" s="33"/>
      <c r="AE622" s="33"/>
      <c r="AF622" s="33"/>
      <c r="AG622" s="33"/>
      <c r="AH622" s="33" t="s">
        <v>523</v>
      </c>
      <c r="AI622" s="34">
        <v>1550.0</v>
      </c>
      <c r="AJ622" s="34">
        <v>2015.0</v>
      </c>
      <c r="AK622" s="6" t="s">
        <v>153</v>
      </c>
      <c r="AL622" s="6" t="s">
        <v>60</v>
      </c>
      <c r="AM622" s="6" t="s">
        <v>132</v>
      </c>
      <c r="AN622" s="6" t="s">
        <v>72</v>
      </c>
      <c r="AO622" s="33"/>
      <c r="AP622" s="39" t="s">
        <v>102</v>
      </c>
      <c r="AQ622" s="34">
        <v>50.0</v>
      </c>
      <c r="AR622" s="34">
        <v>2.0</v>
      </c>
      <c r="AS622" s="34">
        <v>25.0</v>
      </c>
      <c r="AT622" s="6" t="s">
        <v>76</v>
      </c>
      <c r="AU622" s="33"/>
      <c r="AV622" s="33"/>
      <c r="AW622" s="33"/>
      <c r="AX622" s="33"/>
      <c r="AY622" s="40" t="s">
        <v>60</v>
      </c>
      <c r="AZ622" s="6" t="s">
        <v>60</v>
      </c>
      <c r="BA622" s="33"/>
      <c r="BB622" s="33">
        <f>VLOOKUP(O622,Eco_DEM_Data!$D$1:$AC$643,20,False)</f>
        <v>3417</v>
      </c>
      <c r="BC622" s="33">
        <f>VLOOKUP($O622,Eco_DEM_Data!$D$1:$AC$643,20,False)</f>
        <v>3417</v>
      </c>
      <c r="BD622" s="33">
        <f>VLOOKUP($O622,Eco_DEM_Data!$D$1:$AC$643,25,False)</f>
        <v>1566</v>
      </c>
      <c r="BE622" s="33">
        <f>VLOOKUP($O622,Eco_DEM_Data!$D$1:$AC$643,22,False)</f>
        <v>75</v>
      </c>
      <c r="BF622" s="33">
        <f>VLOOKUP($O622,Eco_DEM_Data!$D$1:$AC$643,23,False)</f>
        <v>258</v>
      </c>
      <c r="BG622" s="33">
        <f>VLOOKUP($O622,Eco_DEM_Data!$D$1:$AC$643,21,False)</f>
        <v>6710</v>
      </c>
      <c r="BH622" s="33">
        <f>VLOOKUP($O622,Eco_DEM_Data!$D$1:$AC$643,26,False)</f>
        <v>1520</v>
      </c>
      <c r="BI622" s="33" t="str">
        <f>VLOOKUP($O622,Eco_DEM_Data!$D$1:$AC$643,9,False)</f>
        <v>Central American pine-oak forests</v>
      </c>
      <c r="BJ622" s="33" t="str">
        <f>VLOOKUP($O622,Eco_DEM_Data!$D$1:$AC$643,11,False)</f>
        <v>Tropical &amp; Subtropical Coniferous Forests</v>
      </c>
    </row>
    <row r="623">
      <c r="A623" s="33" t="s">
        <v>1049</v>
      </c>
      <c r="B623" s="33" t="s">
        <v>2259</v>
      </c>
      <c r="C623" s="70" t="e">
        <v>#N/A</v>
      </c>
      <c r="D623" s="33" t="s">
        <v>53</v>
      </c>
      <c r="E623" s="34">
        <v>2020.0</v>
      </c>
      <c r="F623" s="33" t="s">
        <v>1050</v>
      </c>
      <c r="G623" s="33" t="s">
        <v>1051</v>
      </c>
      <c r="H623" s="33" t="s">
        <v>732</v>
      </c>
      <c r="I623" s="33" t="s">
        <v>1052</v>
      </c>
      <c r="J623" s="33" t="s">
        <v>1053</v>
      </c>
      <c r="K623" s="34">
        <v>64.0</v>
      </c>
      <c r="L623" s="34">
        <v>1.0</v>
      </c>
      <c r="M623" s="6" t="s">
        <v>1054</v>
      </c>
      <c r="N623" s="35" t="s">
        <v>60</v>
      </c>
      <c r="O623" s="33" t="s">
        <v>1055</v>
      </c>
      <c r="P623" s="33" t="s">
        <v>62</v>
      </c>
      <c r="Q623" s="33" t="s">
        <v>112</v>
      </c>
      <c r="R623" s="33" t="s">
        <v>1056</v>
      </c>
      <c r="S623" s="34">
        <v>9.1122</v>
      </c>
      <c r="T623" s="34">
        <v>-83.448</v>
      </c>
      <c r="U623" s="33" t="s">
        <v>148</v>
      </c>
      <c r="V623" s="6" t="s">
        <v>321</v>
      </c>
      <c r="W623" s="33" t="s">
        <v>156</v>
      </c>
      <c r="X623" s="1" t="s">
        <v>264</v>
      </c>
      <c r="Y623" s="6" t="s">
        <v>355</v>
      </c>
      <c r="Z623" s="34">
        <v>1.0</v>
      </c>
      <c r="AA623" s="34">
        <v>4.0</v>
      </c>
      <c r="AB623" s="33"/>
      <c r="AC623" s="33"/>
      <c r="AD623" s="33"/>
      <c r="AE623" s="33"/>
      <c r="AF623" s="33"/>
      <c r="AG623" s="33"/>
      <c r="AH623" s="33" t="s">
        <v>1057</v>
      </c>
      <c r="AI623" s="34">
        <v>1150.0</v>
      </c>
      <c r="AJ623" s="34">
        <v>2014.0</v>
      </c>
      <c r="AK623" s="6" t="s">
        <v>100</v>
      </c>
      <c r="AL623" s="6" t="s">
        <v>72</v>
      </c>
      <c r="AM623" s="6" t="s">
        <v>132</v>
      </c>
      <c r="AN623" s="6" t="s">
        <v>72</v>
      </c>
      <c r="AO623" s="33"/>
      <c r="AP623" s="6" t="s">
        <v>102</v>
      </c>
      <c r="AQ623" s="33"/>
      <c r="AR623" s="33"/>
      <c r="AS623" s="33"/>
      <c r="AT623" s="6" t="s">
        <v>76</v>
      </c>
      <c r="AU623" s="33"/>
      <c r="AV623" s="33"/>
      <c r="AW623" s="33"/>
      <c r="AX623" s="33"/>
      <c r="AY623" s="40" t="s">
        <v>60</v>
      </c>
      <c r="AZ623" s="6" t="s">
        <v>76</v>
      </c>
      <c r="BA623" s="33"/>
      <c r="BB623" s="33">
        <f>VLOOKUP(O623,Eco_DEM_Data!$D$1:$AC$643,20,False)</f>
        <v>3163</v>
      </c>
      <c r="BC623" s="33">
        <f>VLOOKUP($O623,Eco_DEM_Data!$D$1:$AC$643,20,False)</f>
        <v>3163</v>
      </c>
      <c r="BD623" s="33">
        <f>VLOOKUP($O623,Eco_DEM_Data!$D$1:$AC$643,25,False)</f>
        <v>1321</v>
      </c>
      <c r="BE623" s="33">
        <f>VLOOKUP($O623,Eco_DEM_Data!$D$1:$AC$643,22,False)</f>
        <v>40</v>
      </c>
      <c r="BF623" s="33">
        <f>VLOOKUP($O623,Eco_DEM_Data!$D$1:$AC$643,23,False)</f>
        <v>143</v>
      </c>
      <c r="BG623" s="33">
        <f>VLOOKUP($O623,Eco_DEM_Data!$D$1:$AC$643,21,False)</f>
        <v>6146</v>
      </c>
      <c r="BH623" s="33">
        <f>VLOOKUP($O623,Eco_DEM_Data!$D$1:$AC$643,26,False)</f>
        <v>476</v>
      </c>
      <c r="BI623" s="33" t="str">
        <f>VLOOKUP($O623,Eco_DEM_Data!$D$1:$AC$643,9,False)</f>
        <v>Isthmian-Pacific moist forests</v>
      </c>
      <c r="BJ623" s="33" t="str">
        <f>VLOOKUP($O623,Eco_DEM_Data!$D$1:$AC$643,11,False)</f>
        <v>Tropical &amp; Subtropical Moist Broadleaf Forests</v>
      </c>
    </row>
    <row r="624">
      <c r="A624" s="33" t="s">
        <v>1049</v>
      </c>
      <c r="B624" s="33" t="s">
        <v>2259</v>
      </c>
      <c r="C624" s="70" t="e">
        <v>#N/A</v>
      </c>
      <c r="D624" s="33" t="s">
        <v>53</v>
      </c>
      <c r="E624" s="34">
        <v>2020.0</v>
      </c>
      <c r="F624" s="33" t="s">
        <v>1050</v>
      </c>
      <c r="G624" s="33" t="s">
        <v>1051</v>
      </c>
      <c r="H624" s="33" t="s">
        <v>732</v>
      </c>
      <c r="I624" s="33" t="s">
        <v>1052</v>
      </c>
      <c r="J624" s="33" t="s">
        <v>1053</v>
      </c>
      <c r="K624" s="34">
        <v>64.0</v>
      </c>
      <c r="L624" s="34">
        <v>1.0</v>
      </c>
      <c r="M624" s="6" t="s">
        <v>1054</v>
      </c>
      <c r="N624" s="35" t="s">
        <v>60</v>
      </c>
      <c r="O624" s="33" t="s">
        <v>1058</v>
      </c>
      <c r="P624" s="33" t="s">
        <v>62</v>
      </c>
      <c r="Q624" s="33" t="s">
        <v>112</v>
      </c>
      <c r="R624" s="33" t="s">
        <v>1056</v>
      </c>
      <c r="S624" s="34">
        <v>9.1122</v>
      </c>
      <c r="T624" s="34">
        <v>-83.448</v>
      </c>
      <c r="U624" s="33" t="s">
        <v>148</v>
      </c>
      <c r="V624" s="6" t="s">
        <v>388</v>
      </c>
      <c r="W624" s="5" t="s">
        <v>1909</v>
      </c>
      <c r="X624" s="7" t="s">
        <v>547</v>
      </c>
      <c r="Y624" s="41" t="s">
        <v>70</v>
      </c>
      <c r="Z624" s="68">
        <v>1.0</v>
      </c>
      <c r="AA624" s="68">
        <v>4.0</v>
      </c>
      <c r="AB624" s="41"/>
      <c r="AC624" s="41"/>
      <c r="AD624" s="41"/>
      <c r="AE624" s="41"/>
      <c r="AF624" s="41"/>
      <c r="AG624" s="41"/>
      <c r="AH624" s="41" t="s">
        <v>1057</v>
      </c>
      <c r="AI624" s="68">
        <v>1150.0</v>
      </c>
      <c r="AJ624" s="68">
        <v>2014.0</v>
      </c>
      <c r="AK624" s="5" t="s">
        <v>100</v>
      </c>
      <c r="AL624" s="5" t="s">
        <v>72</v>
      </c>
      <c r="AM624" s="6" t="s">
        <v>132</v>
      </c>
      <c r="AN624" s="5" t="s">
        <v>72</v>
      </c>
      <c r="AO624" s="41"/>
      <c r="AP624" s="5" t="s">
        <v>102</v>
      </c>
      <c r="AQ624" s="41"/>
      <c r="AR624" s="41"/>
      <c r="AS624" s="41"/>
      <c r="AT624" s="6" t="s">
        <v>76</v>
      </c>
      <c r="AU624" s="33"/>
      <c r="AV624" s="33"/>
      <c r="AW624" s="33"/>
      <c r="AX624" s="33"/>
      <c r="AY624" s="40" t="s">
        <v>60</v>
      </c>
      <c r="AZ624" s="6" t="s">
        <v>76</v>
      </c>
      <c r="BA624" s="33"/>
      <c r="BB624" s="33">
        <f>VLOOKUP(O624,Eco_DEM_Data!$D$1:$AC$643,20,False)</f>
        <v>3163</v>
      </c>
      <c r="BC624" s="33">
        <f>VLOOKUP($O624,Eco_DEM_Data!$D$1:$AC$643,20,False)</f>
        <v>3163</v>
      </c>
      <c r="BD624" s="33">
        <f>VLOOKUP($O624,Eco_DEM_Data!$D$1:$AC$643,25,False)</f>
        <v>1321</v>
      </c>
      <c r="BE624" s="33">
        <f>VLOOKUP($O624,Eco_DEM_Data!$D$1:$AC$643,22,False)</f>
        <v>40</v>
      </c>
      <c r="BF624" s="33">
        <f>VLOOKUP($O624,Eco_DEM_Data!$D$1:$AC$643,23,False)</f>
        <v>143</v>
      </c>
      <c r="BG624" s="33">
        <f>VLOOKUP($O624,Eco_DEM_Data!$D$1:$AC$643,21,False)</f>
        <v>6146</v>
      </c>
      <c r="BH624" s="33">
        <f>VLOOKUP($O624,Eco_DEM_Data!$D$1:$AC$643,26,False)</f>
        <v>476</v>
      </c>
      <c r="BI624" s="33" t="str">
        <f>VLOOKUP($O624,Eco_DEM_Data!$D$1:$AC$643,9,False)</f>
        <v>Isthmian-Pacific moist forests</v>
      </c>
      <c r="BJ624" s="33" t="str">
        <f>VLOOKUP($O624,Eco_DEM_Data!$D$1:$AC$643,11,False)</f>
        <v>Tropical &amp; Subtropical Moist Broadleaf Forests</v>
      </c>
    </row>
    <row r="625">
      <c r="A625" s="33" t="s">
        <v>1049</v>
      </c>
      <c r="B625" s="33" t="s">
        <v>2259</v>
      </c>
      <c r="C625" s="70" t="e">
        <v>#N/A</v>
      </c>
      <c r="D625" s="33" t="s">
        <v>53</v>
      </c>
      <c r="E625" s="34">
        <v>2020.0</v>
      </c>
      <c r="F625" s="33" t="s">
        <v>1050</v>
      </c>
      <c r="G625" s="33" t="s">
        <v>1051</v>
      </c>
      <c r="H625" s="33" t="s">
        <v>732</v>
      </c>
      <c r="I625" s="33" t="s">
        <v>1052</v>
      </c>
      <c r="J625" s="33" t="s">
        <v>1053</v>
      </c>
      <c r="K625" s="34">
        <v>64.0</v>
      </c>
      <c r="L625" s="34">
        <v>1.0</v>
      </c>
      <c r="M625" s="6" t="s">
        <v>1054</v>
      </c>
      <c r="N625" s="35" t="s">
        <v>60</v>
      </c>
      <c r="O625" s="33" t="s">
        <v>1061</v>
      </c>
      <c r="P625" s="33" t="s">
        <v>62</v>
      </c>
      <c r="Q625" s="33" t="s">
        <v>112</v>
      </c>
      <c r="R625" s="33" t="s">
        <v>1056</v>
      </c>
      <c r="S625" s="34">
        <v>9.1122</v>
      </c>
      <c r="T625" s="34">
        <v>-83.448</v>
      </c>
      <c r="U625" s="33" t="s">
        <v>148</v>
      </c>
      <c r="V625" s="6" t="s">
        <v>135</v>
      </c>
      <c r="W625" s="5" t="s">
        <v>1909</v>
      </c>
      <c r="X625" s="7" t="s">
        <v>547</v>
      </c>
      <c r="Y625" s="41" t="s">
        <v>70</v>
      </c>
      <c r="Z625" s="68">
        <v>1.0</v>
      </c>
      <c r="AA625" s="68">
        <v>4.0</v>
      </c>
      <c r="AB625" s="41"/>
      <c r="AC625" s="41"/>
      <c r="AD625" s="41"/>
      <c r="AE625" s="41"/>
      <c r="AF625" s="41"/>
      <c r="AG625" s="41"/>
      <c r="AH625" s="41" t="s">
        <v>1057</v>
      </c>
      <c r="AI625" s="68">
        <v>1150.0</v>
      </c>
      <c r="AJ625" s="68">
        <v>2014.0</v>
      </c>
      <c r="AK625" s="5" t="s">
        <v>100</v>
      </c>
      <c r="AL625" s="5" t="s">
        <v>72</v>
      </c>
      <c r="AM625" s="6" t="s">
        <v>132</v>
      </c>
      <c r="AN625" s="5" t="s">
        <v>72</v>
      </c>
      <c r="AO625" s="41"/>
      <c r="AP625" s="5" t="s">
        <v>102</v>
      </c>
      <c r="AQ625" s="41"/>
      <c r="AR625" s="41"/>
      <c r="AS625" s="41"/>
      <c r="AT625" s="6" t="s">
        <v>76</v>
      </c>
      <c r="AU625" s="33"/>
      <c r="AV625" s="33"/>
      <c r="AW625" s="33"/>
      <c r="AX625" s="33"/>
      <c r="AY625" s="40" t="s">
        <v>60</v>
      </c>
      <c r="AZ625" s="6" t="s">
        <v>76</v>
      </c>
      <c r="BA625" s="33"/>
      <c r="BB625" s="33">
        <f>VLOOKUP(O625,Eco_DEM_Data!$D$1:$AC$643,20,False)</f>
        <v>3163</v>
      </c>
      <c r="BC625" s="33">
        <f>VLOOKUP($O625,Eco_DEM_Data!$D$1:$AC$643,20,False)</f>
        <v>3163</v>
      </c>
      <c r="BD625" s="33">
        <f>VLOOKUP($O625,Eco_DEM_Data!$D$1:$AC$643,25,False)</f>
        <v>1321</v>
      </c>
      <c r="BE625" s="33">
        <f>VLOOKUP($O625,Eco_DEM_Data!$D$1:$AC$643,22,False)</f>
        <v>40</v>
      </c>
      <c r="BF625" s="33">
        <f>VLOOKUP($O625,Eco_DEM_Data!$D$1:$AC$643,23,False)</f>
        <v>143</v>
      </c>
      <c r="BG625" s="33">
        <f>VLOOKUP($O625,Eco_DEM_Data!$D$1:$AC$643,21,False)</f>
        <v>6146</v>
      </c>
      <c r="BH625" s="33">
        <f>VLOOKUP($O625,Eco_DEM_Data!$D$1:$AC$643,26,False)</f>
        <v>476</v>
      </c>
      <c r="BI625" s="33" t="str">
        <f>VLOOKUP($O625,Eco_DEM_Data!$D$1:$AC$643,9,False)</f>
        <v>Isthmian-Pacific moist forests</v>
      </c>
      <c r="BJ625" s="33" t="str">
        <f>VLOOKUP($O625,Eco_DEM_Data!$D$1:$AC$643,11,False)</f>
        <v>Tropical &amp; Subtropical Moist Broadleaf Forests</v>
      </c>
    </row>
    <row r="626">
      <c r="A626" s="33" t="s">
        <v>1049</v>
      </c>
      <c r="B626" s="33" t="s">
        <v>2259</v>
      </c>
      <c r="C626" s="70" t="e">
        <v>#N/A</v>
      </c>
      <c r="D626" s="33" t="s">
        <v>53</v>
      </c>
      <c r="E626" s="34">
        <v>2020.0</v>
      </c>
      <c r="F626" s="33" t="s">
        <v>1050</v>
      </c>
      <c r="G626" s="33" t="s">
        <v>1051</v>
      </c>
      <c r="H626" s="33" t="s">
        <v>732</v>
      </c>
      <c r="I626" s="33" t="s">
        <v>1052</v>
      </c>
      <c r="J626" s="33" t="s">
        <v>1053</v>
      </c>
      <c r="K626" s="34">
        <v>64.0</v>
      </c>
      <c r="L626" s="34">
        <v>1.0</v>
      </c>
      <c r="M626" s="6" t="s">
        <v>1054</v>
      </c>
      <c r="N626" s="35" t="s">
        <v>60</v>
      </c>
      <c r="O626" s="33" t="s">
        <v>1062</v>
      </c>
      <c r="P626" s="33" t="s">
        <v>62</v>
      </c>
      <c r="Q626" s="33" t="s">
        <v>112</v>
      </c>
      <c r="R626" s="33" t="s">
        <v>1063</v>
      </c>
      <c r="S626" s="34">
        <v>9.0669</v>
      </c>
      <c r="T626" s="55">
        <v>-83.3472</v>
      </c>
      <c r="U626" s="33" t="s">
        <v>148</v>
      </c>
      <c r="V626" s="6" t="s">
        <v>321</v>
      </c>
      <c r="W626" s="33" t="s">
        <v>156</v>
      </c>
      <c r="X626" s="1" t="s">
        <v>264</v>
      </c>
      <c r="Y626" s="6" t="s">
        <v>355</v>
      </c>
      <c r="Z626" s="34">
        <v>1.0</v>
      </c>
      <c r="AA626" s="34">
        <v>5.0</v>
      </c>
      <c r="AB626" s="33"/>
      <c r="AC626" s="33"/>
      <c r="AD626" s="33"/>
      <c r="AE626" s="33"/>
      <c r="AF626" s="33"/>
      <c r="AG626" s="33"/>
      <c r="AH626" s="33" t="s">
        <v>1064</v>
      </c>
      <c r="AI626" s="34">
        <v>1600.0</v>
      </c>
      <c r="AJ626" s="34">
        <v>2014.0</v>
      </c>
      <c r="AK626" s="6" t="s">
        <v>73</v>
      </c>
      <c r="AL626" s="6" t="s">
        <v>72</v>
      </c>
      <c r="AM626" s="6" t="s">
        <v>132</v>
      </c>
      <c r="AN626" s="6" t="s">
        <v>72</v>
      </c>
      <c r="AO626" s="33"/>
      <c r="AP626" s="6" t="s">
        <v>102</v>
      </c>
      <c r="AQ626" s="33"/>
      <c r="AR626" s="33"/>
      <c r="AS626" s="33"/>
      <c r="AT626" s="6" t="s">
        <v>76</v>
      </c>
      <c r="AU626" s="33"/>
      <c r="AV626" s="33"/>
      <c r="AW626" s="33"/>
      <c r="AX626" s="33"/>
      <c r="AY626" s="40" t="s">
        <v>60</v>
      </c>
      <c r="AZ626" s="6" t="s">
        <v>76</v>
      </c>
      <c r="BA626" s="33"/>
      <c r="BB626" s="33">
        <f>VLOOKUP(O626,Eco_DEM_Data!$D$1:$AC$643,20,False)</f>
        <v>2845</v>
      </c>
      <c r="BC626" s="33">
        <f>VLOOKUP($O626,Eco_DEM_Data!$D$1:$AC$643,20,False)</f>
        <v>2845</v>
      </c>
      <c r="BD626" s="33">
        <f>VLOOKUP($O626,Eco_DEM_Data!$D$1:$AC$643,25,False)</f>
        <v>1222</v>
      </c>
      <c r="BE626" s="33">
        <f>VLOOKUP($O626,Eco_DEM_Data!$D$1:$AC$643,22,False)</f>
        <v>15</v>
      </c>
      <c r="BF626" s="33">
        <f>VLOOKUP($O626,Eco_DEM_Data!$D$1:$AC$643,23,False)</f>
        <v>108</v>
      </c>
      <c r="BG626" s="33">
        <f>VLOOKUP($O626,Eco_DEM_Data!$D$1:$AC$643,21,False)</f>
        <v>6850</v>
      </c>
      <c r="BH626" s="33">
        <f>VLOOKUP($O626,Eco_DEM_Data!$D$1:$AC$643,26,False)</f>
        <v>356</v>
      </c>
      <c r="BI626" s="33" t="str">
        <f>VLOOKUP($O626,Eco_DEM_Data!$D$1:$AC$643,9,False)</f>
        <v>Isthmian-Pacific moist forests</v>
      </c>
      <c r="BJ626" s="33" t="str">
        <f>VLOOKUP($O626,Eco_DEM_Data!$D$1:$AC$643,11,False)</f>
        <v>Tropical &amp; Subtropical Moist Broadleaf Forests</v>
      </c>
    </row>
    <row r="627">
      <c r="A627" s="33" t="s">
        <v>1049</v>
      </c>
      <c r="B627" s="33" t="s">
        <v>2259</v>
      </c>
      <c r="C627" s="70" t="e">
        <v>#N/A</v>
      </c>
      <c r="D627" s="33" t="s">
        <v>53</v>
      </c>
      <c r="E627" s="34">
        <v>2020.0</v>
      </c>
      <c r="F627" s="33" t="s">
        <v>1050</v>
      </c>
      <c r="G627" s="33" t="s">
        <v>1051</v>
      </c>
      <c r="H627" s="33" t="s">
        <v>732</v>
      </c>
      <c r="I627" s="33" t="s">
        <v>1052</v>
      </c>
      <c r="J627" s="33" t="s">
        <v>1053</v>
      </c>
      <c r="K627" s="34">
        <v>64.0</v>
      </c>
      <c r="L627" s="34">
        <v>1.0</v>
      </c>
      <c r="M627" s="6" t="s">
        <v>1054</v>
      </c>
      <c r="N627" s="35" t="s">
        <v>60</v>
      </c>
      <c r="O627" s="33" t="s">
        <v>1065</v>
      </c>
      <c r="P627" s="33" t="s">
        <v>62</v>
      </c>
      <c r="Q627" s="33" t="s">
        <v>112</v>
      </c>
      <c r="R627" s="33" t="s">
        <v>1063</v>
      </c>
      <c r="S627" s="34">
        <v>9.0669</v>
      </c>
      <c r="T627" s="55">
        <v>-83.3472</v>
      </c>
      <c r="U627" s="33" t="s">
        <v>148</v>
      </c>
      <c r="V627" s="6" t="s">
        <v>388</v>
      </c>
      <c r="W627" s="5" t="s">
        <v>1909</v>
      </c>
      <c r="X627" s="7" t="s">
        <v>547</v>
      </c>
      <c r="Y627" s="41" t="s">
        <v>70</v>
      </c>
      <c r="Z627" s="68">
        <v>1.0</v>
      </c>
      <c r="AA627" s="68">
        <v>5.0</v>
      </c>
      <c r="AB627" s="41"/>
      <c r="AC627" s="41"/>
      <c r="AD627" s="41"/>
      <c r="AE627" s="41"/>
      <c r="AF627" s="41"/>
      <c r="AG627" s="41"/>
      <c r="AH627" s="41" t="s">
        <v>1064</v>
      </c>
      <c r="AI627" s="68">
        <v>1600.0</v>
      </c>
      <c r="AJ627" s="68">
        <v>2014.0</v>
      </c>
      <c r="AK627" s="5" t="s">
        <v>73</v>
      </c>
      <c r="AL627" s="5" t="s">
        <v>72</v>
      </c>
      <c r="AM627" s="6" t="s">
        <v>132</v>
      </c>
      <c r="AN627" s="5" t="s">
        <v>72</v>
      </c>
      <c r="AO627" s="41"/>
      <c r="AP627" s="5" t="s">
        <v>102</v>
      </c>
      <c r="AQ627" s="41"/>
      <c r="AR627" s="41"/>
      <c r="AS627" s="41"/>
      <c r="AT627" s="6" t="s">
        <v>76</v>
      </c>
      <c r="AU627" s="33"/>
      <c r="AV627" s="33"/>
      <c r="AW627" s="33"/>
      <c r="AX627" s="33"/>
      <c r="AY627" s="40" t="s">
        <v>60</v>
      </c>
      <c r="AZ627" s="6" t="s">
        <v>76</v>
      </c>
      <c r="BA627" s="33"/>
      <c r="BB627" s="33">
        <f>VLOOKUP(O627,Eco_DEM_Data!$D$1:$AC$643,20,False)</f>
        <v>2845</v>
      </c>
      <c r="BC627" s="33">
        <f>VLOOKUP($O627,Eco_DEM_Data!$D$1:$AC$643,20,False)</f>
        <v>2845</v>
      </c>
      <c r="BD627" s="33">
        <f>VLOOKUP($O627,Eco_DEM_Data!$D$1:$AC$643,25,False)</f>
        <v>1222</v>
      </c>
      <c r="BE627" s="33">
        <f>VLOOKUP($O627,Eco_DEM_Data!$D$1:$AC$643,22,False)</f>
        <v>15</v>
      </c>
      <c r="BF627" s="33">
        <f>VLOOKUP($O627,Eco_DEM_Data!$D$1:$AC$643,23,False)</f>
        <v>108</v>
      </c>
      <c r="BG627" s="33">
        <f>VLOOKUP($O627,Eco_DEM_Data!$D$1:$AC$643,21,False)</f>
        <v>6850</v>
      </c>
      <c r="BH627" s="33">
        <f>VLOOKUP($O627,Eco_DEM_Data!$D$1:$AC$643,26,False)</f>
        <v>356</v>
      </c>
      <c r="BI627" s="33" t="str">
        <f>VLOOKUP($O627,Eco_DEM_Data!$D$1:$AC$643,9,False)</f>
        <v>Isthmian-Pacific moist forests</v>
      </c>
      <c r="BJ627" s="33" t="str">
        <f>VLOOKUP($O627,Eco_DEM_Data!$D$1:$AC$643,11,False)</f>
        <v>Tropical &amp; Subtropical Moist Broadleaf Forests</v>
      </c>
    </row>
    <row r="628">
      <c r="A628" s="33" t="s">
        <v>1049</v>
      </c>
      <c r="B628" s="33" t="s">
        <v>2259</v>
      </c>
      <c r="C628" s="70" t="e">
        <v>#N/A</v>
      </c>
      <c r="D628" s="33" t="s">
        <v>53</v>
      </c>
      <c r="E628" s="34">
        <v>2020.0</v>
      </c>
      <c r="F628" s="33" t="s">
        <v>1050</v>
      </c>
      <c r="G628" s="33" t="s">
        <v>1051</v>
      </c>
      <c r="H628" s="33" t="s">
        <v>732</v>
      </c>
      <c r="I628" s="33" t="s">
        <v>1052</v>
      </c>
      <c r="J628" s="33" t="s">
        <v>1053</v>
      </c>
      <c r="K628" s="34">
        <v>64.0</v>
      </c>
      <c r="L628" s="34">
        <v>1.0</v>
      </c>
      <c r="M628" s="6" t="s">
        <v>1054</v>
      </c>
      <c r="N628" s="35" t="s">
        <v>60</v>
      </c>
      <c r="O628" s="33" t="s">
        <v>1066</v>
      </c>
      <c r="P628" s="33" t="s">
        <v>62</v>
      </c>
      <c r="Q628" s="33" t="s">
        <v>112</v>
      </c>
      <c r="R628" s="33" t="s">
        <v>1063</v>
      </c>
      <c r="S628" s="34">
        <v>9.0669</v>
      </c>
      <c r="T628" s="55">
        <v>-83.3472</v>
      </c>
      <c r="U628" s="33" t="s">
        <v>148</v>
      </c>
      <c r="V628" s="6" t="s">
        <v>135</v>
      </c>
      <c r="W628" s="5" t="s">
        <v>1909</v>
      </c>
      <c r="X628" s="7" t="s">
        <v>547</v>
      </c>
      <c r="Y628" s="41" t="s">
        <v>70</v>
      </c>
      <c r="Z628" s="68">
        <v>1.0</v>
      </c>
      <c r="AA628" s="68">
        <v>5.0</v>
      </c>
      <c r="AB628" s="41"/>
      <c r="AC628" s="41"/>
      <c r="AD628" s="41"/>
      <c r="AE628" s="41"/>
      <c r="AF628" s="41"/>
      <c r="AG628" s="41"/>
      <c r="AH628" s="41" t="s">
        <v>1064</v>
      </c>
      <c r="AI628" s="68">
        <v>1600.0</v>
      </c>
      <c r="AJ628" s="68">
        <v>2014.0</v>
      </c>
      <c r="AK628" s="5" t="s">
        <v>73</v>
      </c>
      <c r="AL628" s="5" t="s">
        <v>72</v>
      </c>
      <c r="AM628" s="6" t="s">
        <v>132</v>
      </c>
      <c r="AN628" s="5" t="s">
        <v>72</v>
      </c>
      <c r="AO628" s="41"/>
      <c r="AP628" s="5" t="s">
        <v>102</v>
      </c>
      <c r="AQ628" s="41"/>
      <c r="AR628" s="41"/>
      <c r="AS628" s="41"/>
      <c r="AT628" s="6" t="s">
        <v>76</v>
      </c>
      <c r="AU628" s="33"/>
      <c r="AV628" s="33"/>
      <c r="AW628" s="33"/>
      <c r="AX628" s="33"/>
      <c r="AY628" s="40" t="s">
        <v>60</v>
      </c>
      <c r="AZ628" s="6" t="s">
        <v>76</v>
      </c>
      <c r="BA628" s="33"/>
      <c r="BB628" s="33">
        <f>VLOOKUP(O628,Eco_DEM_Data!$D$1:$AC$643,20,False)</f>
        <v>2845</v>
      </c>
      <c r="BC628" s="33">
        <f>VLOOKUP($O628,Eco_DEM_Data!$D$1:$AC$643,20,False)</f>
        <v>2845</v>
      </c>
      <c r="BD628" s="33">
        <f>VLOOKUP($O628,Eco_DEM_Data!$D$1:$AC$643,25,False)</f>
        <v>1222</v>
      </c>
      <c r="BE628" s="33">
        <f>VLOOKUP($O628,Eco_DEM_Data!$D$1:$AC$643,22,False)</f>
        <v>15</v>
      </c>
      <c r="BF628" s="33">
        <f>VLOOKUP($O628,Eco_DEM_Data!$D$1:$AC$643,23,False)</f>
        <v>108</v>
      </c>
      <c r="BG628" s="33">
        <f>VLOOKUP($O628,Eco_DEM_Data!$D$1:$AC$643,21,False)</f>
        <v>6850</v>
      </c>
      <c r="BH628" s="33">
        <f>VLOOKUP($O628,Eco_DEM_Data!$D$1:$AC$643,26,False)</f>
        <v>356</v>
      </c>
      <c r="BI628" s="33" t="str">
        <f>VLOOKUP($O628,Eco_DEM_Data!$D$1:$AC$643,9,False)</f>
        <v>Isthmian-Pacific moist forests</v>
      </c>
      <c r="BJ628" s="33" t="str">
        <f>VLOOKUP($O628,Eco_DEM_Data!$D$1:$AC$643,11,False)</f>
        <v>Tropical &amp; Subtropical Moist Broadleaf Forests</v>
      </c>
    </row>
    <row r="629">
      <c r="A629" s="33" t="s">
        <v>1899</v>
      </c>
      <c r="B629" s="33" t="s">
        <v>2259</v>
      </c>
      <c r="C629" s="34">
        <v>4.0</v>
      </c>
      <c r="D629" s="33" t="s">
        <v>53</v>
      </c>
      <c r="E629" s="34">
        <v>2020.0</v>
      </c>
      <c r="F629" s="33" t="s">
        <v>1900</v>
      </c>
      <c r="G629" s="33" t="s">
        <v>1901</v>
      </c>
      <c r="H629" s="33" t="s">
        <v>1884</v>
      </c>
      <c r="I629" s="33" t="s">
        <v>1902</v>
      </c>
      <c r="J629" s="33" t="s">
        <v>1903</v>
      </c>
      <c r="K629" s="34">
        <v>29.0</v>
      </c>
      <c r="L629" s="34">
        <v>4.0</v>
      </c>
      <c r="M629" s="6" t="s">
        <v>1904</v>
      </c>
      <c r="N629" s="35" t="s">
        <v>60</v>
      </c>
      <c r="O629" s="33" t="s">
        <v>1905</v>
      </c>
      <c r="P629" s="33" t="s">
        <v>62</v>
      </c>
      <c r="Q629" s="33" t="s">
        <v>112</v>
      </c>
      <c r="R629" s="33" t="s">
        <v>798</v>
      </c>
      <c r="S629" s="34">
        <v>8.929</v>
      </c>
      <c r="T629" s="34">
        <v>-82.9257</v>
      </c>
      <c r="U629" s="33" t="s">
        <v>148</v>
      </c>
      <c r="V629" s="6" t="s">
        <v>189</v>
      </c>
      <c r="W629" s="33" t="s">
        <v>116</v>
      </c>
      <c r="X629" s="1" t="s">
        <v>284</v>
      </c>
      <c r="Y629" s="33" t="s">
        <v>70</v>
      </c>
      <c r="Z629" s="33"/>
      <c r="AA629" s="34">
        <v>6.0</v>
      </c>
      <c r="AB629" s="33"/>
      <c r="AC629" s="33"/>
      <c r="AD629" s="33"/>
      <c r="AE629" s="33"/>
      <c r="AF629" s="33"/>
      <c r="AG629" s="33"/>
      <c r="AH629" s="33" t="s">
        <v>1906</v>
      </c>
      <c r="AI629" s="34">
        <v>382.0</v>
      </c>
      <c r="AJ629" s="34">
        <v>2000.0</v>
      </c>
      <c r="AK629" s="6" t="s">
        <v>100</v>
      </c>
      <c r="AL629" s="6" t="s">
        <v>76</v>
      </c>
      <c r="AM629" s="6" t="s">
        <v>132</v>
      </c>
      <c r="AN629" s="6" t="s">
        <v>72</v>
      </c>
      <c r="AO629" s="33"/>
      <c r="AP629" s="6" t="s">
        <v>102</v>
      </c>
      <c r="AQ629" s="33"/>
      <c r="AR629" s="33"/>
      <c r="AS629" s="33"/>
      <c r="AT629" s="6" t="s">
        <v>76</v>
      </c>
      <c r="AU629" s="33"/>
      <c r="AV629" s="33"/>
      <c r="AW629" s="33"/>
      <c r="AX629" s="33"/>
      <c r="AY629" s="40" t="s">
        <v>60</v>
      </c>
      <c r="AZ629" s="6" t="s">
        <v>60</v>
      </c>
      <c r="BA629" s="33"/>
      <c r="BB629" s="33">
        <f>VLOOKUP(O629,Eco_DEM_Data!$D$1:$AC$643,20,False)</f>
        <v>2756</v>
      </c>
      <c r="BC629" s="33">
        <f>VLOOKUP($O629,Eco_DEM_Data!$D$1:$AC$643,20,False)</f>
        <v>2756</v>
      </c>
      <c r="BD629" s="33">
        <f>VLOOKUP($O629,Eco_DEM_Data!$D$1:$AC$643,25,False)</f>
        <v>1197</v>
      </c>
      <c r="BE629" s="33">
        <f>VLOOKUP($O629,Eco_DEM_Data!$D$1:$AC$643,22,False)</f>
        <v>40</v>
      </c>
      <c r="BF629" s="33">
        <f>VLOOKUP($O629,Eco_DEM_Data!$D$1:$AC$643,23,False)</f>
        <v>160</v>
      </c>
      <c r="BG629" s="33">
        <f>VLOOKUP($O629,Eco_DEM_Data!$D$1:$AC$643,21,False)</f>
        <v>6258</v>
      </c>
      <c r="BH629" s="33">
        <f>VLOOKUP($O629,Eco_DEM_Data!$D$1:$AC$643,26,False)</f>
        <v>1017</v>
      </c>
      <c r="BI629" s="33" t="str">
        <f>VLOOKUP($O629,Eco_DEM_Data!$D$1:$AC$643,9,False)</f>
        <v>Isthmian-Pacific moist forests</v>
      </c>
      <c r="BJ629" s="33" t="str">
        <f>VLOOKUP($O629,Eco_DEM_Data!$D$1:$AC$643,11,False)</f>
        <v>Tropical &amp; Subtropical Moist Broadleaf Forests</v>
      </c>
    </row>
    <row r="630">
      <c r="A630" s="33" t="s">
        <v>1899</v>
      </c>
      <c r="B630" s="33" t="s">
        <v>2259</v>
      </c>
      <c r="C630" s="34">
        <v>4.0</v>
      </c>
      <c r="D630" s="33" t="s">
        <v>53</v>
      </c>
      <c r="E630" s="34">
        <v>2020.0</v>
      </c>
      <c r="F630" s="33" t="s">
        <v>1900</v>
      </c>
      <c r="G630" s="33" t="s">
        <v>1901</v>
      </c>
      <c r="H630" s="33" t="s">
        <v>1884</v>
      </c>
      <c r="I630" s="33" t="s">
        <v>1902</v>
      </c>
      <c r="J630" s="33" t="s">
        <v>1903</v>
      </c>
      <c r="K630" s="34">
        <v>29.0</v>
      </c>
      <c r="L630" s="34">
        <v>4.0</v>
      </c>
      <c r="M630" s="6" t="s">
        <v>1904</v>
      </c>
      <c r="N630" s="35" t="s">
        <v>60</v>
      </c>
      <c r="O630" s="33" t="s">
        <v>1907</v>
      </c>
      <c r="P630" s="33" t="s">
        <v>62</v>
      </c>
      <c r="Q630" s="33" t="s">
        <v>112</v>
      </c>
      <c r="R630" s="33" t="s">
        <v>798</v>
      </c>
      <c r="S630" s="34">
        <v>8.929</v>
      </c>
      <c r="T630" s="34">
        <v>-82.9257</v>
      </c>
      <c r="U630" s="33" t="s">
        <v>148</v>
      </c>
      <c r="V630" s="38" t="s">
        <v>194</v>
      </c>
      <c r="W630" s="33" t="s">
        <v>116</v>
      </c>
      <c r="X630" s="1" t="s">
        <v>286</v>
      </c>
      <c r="Y630" s="33" t="s">
        <v>70</v>
      </c>
      <c r="Z630" s="33"/>
      <c r="AA630" s="34">
        <v>6.0</v>
      </c>
      <c r="AB630" s="33"/>
      <c r="AC630" s="33"/>
      <c r="AD630" s="33"/>
      <c r="AE630" s="33"/>
      <c r="AF630" s="33"/>
      <c r="AG630" s="33"/>
      <c r="AH630" s="33" t="s">
        <v>1906</v>
      </c>
      <c r="AI630" s="34">
        <v>382.0</v>
      </c>
      <c r="AJ630" s="34">
        <v>2000.0</v>
      </c>
      <c r="AK630" s="6" t="s">
        <v>100</v>
      </c>
      <c r="AL630" s="6" t="s">
        <v>76</v>
      </c>
      <c r="AM630" s="6" t="s">
        <v>132</v>
      </c>
      <c r="AN630" s="6" t="s">
        <v>72</v>
      </c>
      <c r="AO630" s="33"/>
      <c r="AP630" s="6" t="s">
        <v>102</v>
      </c>
      <c r="AQ630" s="33"/>
      <c r="AR630" s="33"/>
      <c r="AS630" s="33"/>
      <c r="AT630" s="6" t="s">
        <v>76</v>
      </c>
      <c r="AU630" s="33"/>
      <c r="AV630" s="33"/>
      <c r="AW630" s="33"/>
      <c r="AX630" s="33"/>
      <c r="AY630" s="40" t="s">
        <v>60</v>
      </c>
      <c r="AZ630" s="6" t="s">
        <v>60</v>
      </c>
      <c r="BA630" s="33"/>
      <c r="BB630" s="33">
        <f>VLOOKUP(O630,Eco_DEM_Data!$D$1:$AC$643,20,False)</f>
        <v>2756</v>
      </c>
      <c r="BC630" s="33">
        <f>VLOOKUP($O630,Eco_DEM_Data!$D$1:$AC$643,20,False)</f>
        <v>2756</v>
      </c>
      <c r="BD630" s="33">
        <f>VLOOKUP($O630,Eco_DEM_Data!$D$1:$AC$643,25,False)</f>
        <v>1197</v>
      </c>
      <c r="BE630" s="33">
        <f>VLOOKUP($O630,Eco_DEM_Data!$D$1:$AC$643,22,False)</f>
        <v>40</v>
      </c>
      <c r="BF630" s="33">
        <f>VLOOKUP($O630,Eco_DEM_Data!$D$1:$AC$643,23,False)</f>
        <v>160</v>
      </c>
      <c r="BG630" s="33">
        <f>VLOOKUP($O630,Eco_DEM_Data!$D$1:$AC$643,21,False)</f>
        <v>6258</v>
      </c>
      <c r="BH630" s="33">
        <f>VLOOKUP($O630,Eco_DEM_Data!$D$1:$AC$643,26,False)</f>
        <v>1017</v>
      </c>
      <c r="BI630" s="33" t="str">
        <f>VLOOKUP($O630,Eco_DEM_Data!$D$1:$AC$643,9,False)</f>
        <v>Isthmian-Pacific moist forests</v>
      </c>
      <c r="BJ630" s="33" t="str">
        <f>VLOOKUP($O630,Eco_DEM_Data!$D$1:$AC$643,11,False)</f>
        <v>Tropical &amp; Subtropical Moist Broadleaf Forests</v>
      </c>
    </row>
    <row r="631">
      <c r="A631" s="33" t="s">
        <v>1899</v>
      </c>
      <c r="B631" s="33" t="s">
        <v>2259</v>
      </c>
      <c r="C631" s="34">
        <v>4.0</v>
      </c>
      <c r="D631" s="33" t="s">
        <v>53</v>
      </c>
      <c r="E631" s="34">
        <v>2020.0</v>
      </c>
      <c r="F631" s="33" t="s">
        <v>1900</v>
      </c>
      <c r="G631" s="33" t="s">
        <v>1901</v>
      </c>
      <c r="H631" s="33" t="s">
        <v>1884</v>
      </c>
      <c r="I631" s="33" t="s">
        <v>1902</v>
      </c>
      <c r="J631" s="33" t="s">
        <v>1903</v>
      </c>
      <c r="K631" s="34">
        <v>29.0</v>
      </c>
      <c r="L631" s="34">
        <v>4.0</v>
      </c>
      <c r="M631" s="6" t="s">
        <v>1904</v>
      </c>
      <c r="N631" s="35" t="s">
        <v>60</v>
      </c>
      <c r="O631" s="33" t="s">
        <v>1908</v>
      </c>
      <c r="P631" s="33" t="s">
        <v>62</v>
      </c>
      <c r="Q631" s="33" t="s">
        <v>112</v>
      </c>
      <c r="R631" s="33" t="s">
        <v>798</v>
      </c>
      <c r="S631" s="34">
        <v>8.929</v>
      </c>
      <c r="T631" s="34">
        <v>-82.9257</v>
      </c>
      <c r="U631" s="33" t="s">
        <v>148</v>
      </c>
      <c r="V631" s="6" t="s">
        <v>388</v>
      </c>
      <c r="W631" s="5" t="s">
        <v>1909</v>
      </c>
      <c r="X631" s="7" t="s">
        <v>1910</v>
      </c>
      <c r="Y631" s="41" t="s">
        <v>483</v>
      </c>
      <c r="Z631" s="41"/>
      <c r="AA631" s="68">
        <v>6.0</v>
      </c>
      <c r="AB631" s="41"/>
      <c r="AC631" s="41"/>
      <c r="AD631" s="41"/>
      <c r="AE631" s="41"/>
      <c r="AF631" s="41"/>
      <c r="AG631" s="41"/>
      <c r="AH631" s="41" t="s">
        <v>1906</v>
      </c>
      <c r="AI631" s="68">
        <v>382.0</v>
      </c>
      <c r="AJ631" s="68">
        <v>2000.0</v>
      </c>
      <c r="AK631" s="5" t="s">
        <v>100</v>
      </c>
      <c r="AL631" s="5" t="s">
        <v>76</v>
      </c>
      <c r="AM631" s="6" t="s">
        <v>132</v>
      </c>
      <c r="AN631" s="5" t="s">
        <v>72</v>
      </c>
      <c r="AO631" s="41"/>
      <c r="AP631" s="5" t="s">
        <v>102</v>
      </c>
      <c r="AQ631" s="41"/>
      <c r="AR631" s="41"/>
      <c r="AS631" s="41"/>
      <c r="AT631" s="6" t="s">
        <v>76</v>
      </c>
      <c r="AU631" s="33"/>
      <c r="AV631" s="33"/>
      <c r="AW631" s="33"/>
      <c r="AX631" s="33"/>
      <c r="AY631" s="40" t="s">
        <v>60</v>
      </c>
      <c r="AZ631" s="6" t="s">
        <v>60</v>
      </c>
      <c r="BA631" s="33"/>
      <c r="BB631" s="33">
        <f>VLOOKUP(O631,Eco_DEM_Data!$D$1:$AC$643,20,False)</f>
        <v>2756</v>
      </c>
      <c r="BC631" s="33">
        <f>VLOOKUP($O631,Eco_DEM_Data!$D$1:$AC$643,20,False)</f>
        <v>2756</v>
      </c>
      <c r="BD631" s="33">
        <f>VLOOKUP($O631,Eco_DEM_Data!$D$1:$AC$643,25,False)</f>
        <v>1197</v>
      </c>
      <c r="BE631" s="33">
        <f>VLOOKUP($O631,Eco_DEM_Data!$D$1:$AC$643,22,False)</f>
        <v>40</v>
      </c>
      <c r="BF631" s="33">
        <f>VLOOKUP($O631,Eco_DEM_Data!$D$1:$AC$643,23,False)</f>
        <v>160</v>
      </c>
      <c r="BG631" s="33">
        <f>VLOOKUP($O631,Eco_DEM_Data!$D$1:$AC$643,21,False)</f>
        <v>6258</v>
      </c>
      <c r="BH631" s="33">
        <f>VLOOKUP($O631,Eco_DEM_Data!$D$1:$AC$643,26,False)</f>
        <v>1017</v>
      </c>
      <c r="BI631" s="33" t="str">
        <f>VLOOKUP($O631,Eco_DEM_Data!$D$1:$AC$643,9,False)</f>
        <v>Isthmian-Pacific moist forests</v>
      </c>
      <c r="BJ631" s="33" t="str">
        <f>VLOOKUP($O631,Eco_DEM_Data!$D$1:$AC$643,11,False)</f>
        <v>Tropical &amp; Subtropical Moist Broadleaf Forests</v>
      </c>
    </row>
    <row r="632">
      <c r="A632" s="33" t="s">
        <v>1899</v>
      </c>
      <c r="B632" s="33" t="s">
        <v>2259</v>
      </c>
      <c r="C632" s="34">
        <v>4.0</v>
      </c>
      <c r="D632" s="33" t="s">
        <v>53</v>
      </c>
      <c r="E632" s="34">
        <v>2020.0</v>
      </c>
      <c r="F632" s="33" t="s">
        <v>1900</v>
      </c>
      <c r="G632" s="33" t="s">
        <v>1901</v>
      </c>
      <c r="H632" s="33" t="s">
        <v>1884</v>
      </c>
      <c r="I632" s="33" t="s">
        <v>1902</v>
      </c>
      <c r="J632" s="33" t="s">
        <v>1903</v>
      </c>
      <c r="K632" s="34">
        <v>29.0</v>
      </c>
      <c r="L632" s="34">
        <v>4.0</v>
      </c>
      <c r="M632" s="6" t="s">
        <v>1904</v>
      </c>
      <c r="N632" s="35" t="s">
        <v>60</v>
      </c>
      <c r="O632" s="33" t="s">
        <v>1911</v>
      </c>
      <c r="P632" s="33" t="s">
        <v>62</v>
      </c>
      <c r="Q632" s="33" t="s">
        <v>112</v>
      </c>
      <c r="R632" s="33" t="s">
        <v>798</v>
      </c>
      <c r="S632" s="34">
        <v>8.929</v>
      </c>
      <c r="T632" s="34">
        <v>-82.9257</v>
      </c>
      <c r="U632" s="33" t="s">
        <v>148</v>
      </c>
      <c r="V632" s="6" t="s">
        <v>135</v>
      </c>
      <c r="W632" s="5" t="s">
        <v>1909</v>
      </c>
      <c r="X632" s="7" t="s">
        <v>1910</v>
      </c>
      <c r="Y632" s="41" t="s">
        <v>483</v>
      </c>
      <c r="Z632" s="41"/>
      <c r="AA632" s="68">
        <v>6.0</v>
      </c>
      <c r="AB632" s="41"/>
      <c r="AC632" s="41"/>
      <c r="AD632" s="41"/>
      <c r="AE632" s="41"/>
      <c r="AF632" s="41"/>
      <c r="AG632" s="41"/>
      <c r="AH632" s="41" t="s">
        <v>1906</v>
      </c>
      <c r="AI632" s="68">
        <v>382.0</v>
      </c>
      <c r="AJ632" s="68">
        <v>2000.0</v>
      </c>
      <c r="AK632" s="5" t="s">
        <v>100</v>
      </c>
      <c r="AL632" s="5" t="s">
        <v>76</v>
      </c>
      <c r="AM632" s="6" t="s">
        <v>132</v>
      </c>
      <c r="AN632" s="5" t="s">
        <v>72</v>
      </c>
      <c r="AO632" s="41"/>
      <c r="AP632" s="5" t="s">
        <v>102</v>
      </c>
      <c r="AQ632" s="41"/>
      <c r="AR632" s="41"/>
      <c r="AS632" s="41"/>
      <c r="AT632" s="6" t="s">
        <v>76</v>
      </c>
      <c r="AU632" s="33"/>
      <c r="AV632" s="33"/>
      <c r="AW632" s="33"/>
      <c r="AX632" s="33"/>
      <c r="AY632" s="40" t="s">
        <v>60</v>
      </c>
      <c r="AZ632" s="6" t="s">
        <v>60</v>
      </c>
      <c r="BA632" s="33"/>
      <c r="BB632" s="33">
        <f>VLOOKUP(O632,Eco_DEM_Data!$D$1:$AC$643,20,False)</f>
        <v>2756</v>
      </c>
      <c r="BC632" s="33">
        <f>VLOOKUP($O632,Eco_DEM_Data!$D$1:$AC$643,20,False)</f>
        <v>2756</v>
      </c>
      <c r="BD632" s="33">
        <f>VLOOKUP($O632,Eco_DEM_Data!$D$1:$AC$643,25,False)</f>
        <v>1197</v>
      </c>
      <c r="BE632" s="33">
        <f>VLOOKUP($O632,Eco_DEM_Data!$D$1:$AC$643,22,False)</f>
        <v>40</v>
      </c>
      <c r="BF632" s="33">
        <f>VLOOKUP($O632,Eco_DEM_Data!$D$1:$AC$643,23,False)</f>
        <v>160</v>
      </c>
      <c r="BG632" s="33">
        <f>VLOOKUP($O632,Eco_DEM_Data!$D$1:$AC$643,21,False)</f>
        <v>6258</v>
      </c>
      <c r="BH632" s="33">
        <f>VLOOKUP($O632,Eco_DEM_Data!$D$1:$AC$643,26,False)</f>
        <v>1017</v>
      </c>
      <c r="BI632" s="33" t="str">
        <f>VLOOKUP($O632,Eco_DEM_Data!$D$1:$AC$643,9,False)</f>
        <v>Isthmian-Pacific moist forests</v>
      </c>
      <c r="BJ632" s="33" t="str">
        <f>VLOOKUP($O632,Eco_DEM_Data!$D$1:$AC$643,11,False)</f>
        <v>Tropical &amp; Subtropical Moist Broadleaf Forests</v>
      </c>
    </row>
    <row r="633">
      <c r="A633" s="33" t="s">
        <v>475</v>
      </c>
      <c r="B633" s="33" t="s">
        <v>2258</v>
      </c>
      <c r="C633" s="34">
        <v>1.0</v>
      </c>
      <c r="D633" s="33" t="s">
        <v>53</v>
      </c>
      <c r="E633" s="34">
        <v>2020.0</v>
      </c>
      <c r="F633" s="33" t="s">
        <v>476</v>
      </c>
      <c r="G633" s="33" t="s">
        <v>477</v>
      </c>
      <c r="H633" s="33" t="s">
        <v>462</v>
      </c>
      <c r="I633" s="33" t="s">
        <v>478</v>
      </c>
      <c r="J633" s="33" t="s">
        <v>479</v>
      </c>
      <c r="K633" s="34">
        <v>285.0</v>
      </c>
      <c r="L633" s="33"/>
      <c r="M633" s="6" t="s">
        <v>480</v>
      </c>
      <c r="N633" s="35" t="s">
        <v>76</v>
      </c>
      <c r="O633" s="33" t="s">
        <v>475</v>
      </c>
      <c r="P633" s="33" t="s">
        <v>62</v>
      </c>
      <c r="Q633" s="33" t="s">
        <v>92</v>
      </c>
      <c r="R633" s="33" t="s">
        <v>481</v>
      </c>
      <c r="S633" s="34">
        <v>20.35244</v>
      </c>
      <c r="T633" s="34">
        <v>-87.8042</v>
      </c>
      <c r="U633" s="33" t="s">
        <v>94</v>
      </c>
      <c r="V633" s="6" t="s">
        <v>95</v>
      </c>
      <c r="W633" s="6" t="s">
        <v>96</v>
      </c>
      <c r="X633" s="1" t="s">
        <v>482</v>
      </c>
      <c r="Y633" s="33" t="s">
        <v>483</v>
      </c>
      <c r="Z633" s="33"/>
      <c r="AA633" s="33"/>
      <c r="AB633" s="33"/>
      <c r="AC633" s="33"/>
      <c r="AD633" s="33"/>
      <c r="AE633" s="33"/>
      <c r="AF633" s="33"/>
      <c r="AG633" s="33"/>
      <c r="AH633" s="33"/>
      <c r="AI633" s="34">
        <v>2014.0</v>
      </c>
      <c r="AJ633" s="34">
        <v>2019.0</v>
      </c>
      <c r="AK633" s="6" t="s">
        <v>153</v>
      </c>
      <c r="AL633" s="6" t="s">
        <v>60</v>
      </c>
      <c r="AM633" s="5" t="s">
        <v>72</v>
      </c>
      <c r="AN633" s="6" t="s">
        <v>72</v>
      </c>
      <c r="AO633" s="33" t="s">
        <v>484</v>
      </c>
      <c r="AP633" s="6" t="s">
        <v>102</v>
      </c>
      <c r="AQ633" s="33"/>
      <c r="AR633" s="33"/>
      <c r="AS633" s="33"/>
      <c r="AT633" s="6" t="s">
        <v>76</v>
      </c>
      <c r="AU633" s="33"/>
      <c r="AV633" s="33"/>
      <c r="AW633" s="33"/>
      <c r="AX633" s="33"/>
      <c r="AY633" s="40" t="s">
        <v>60</v>
      </c>
      <c r="AZ633" s="6" t="s">
        <v>60</v>
      </c>
      <c r="BA633" s="33"/>
      <c r="BB633" s="33">
        <f>VLOOKUP(O633,Eco_DEM_Data!$D$1:$AC$643,20,False)</f>
        <v>1155</v>
      </c>
      <c r="BC633" s="33">
        <f>VLOOKUP($O633,Eco_DEM_Data!$D$1:$AC$643,20,False)</f>
        <v>1155</v>
      </c>
      <c r="BD633" s="33">
        <f>VLOOKUP($O633,Eco_DEM_Data!$D$1:$AC$643,25,False)</f>
        <v>497</v>
      </c>
      <c r="BE633" s="33">
        <f>VLOOKUP($O633,Eco_DEM_Data!$D$1:$AC$643,22,False)</f>
        <v>41</v>
      </c>
      <c r="BF633" s="33">
        <f>VLOOKUP($O633,Eco_DEM_Data!$D$1:$AC$643,23,False)</f>
        <v>128</v>
      </c>
      <c r="BG633" s="33">
        <f>VLOOKUP($O633,Eco_DEM_Data!$D$1:$AC$643,21,False)</f>
        <v>5543</v>
      </c>
      <c r="BH633" s="33">
        <f>VLOOKUP($O633,Eco_DEM_Data!$D$1:$AC$643,26,False)</f>
        <v>16</v>
      </c>
      <c r="BI633" s="33" t="str">
        <f>VLOOKUP($O633,Eco_DEM_Data!$D$1:$AC$643,9,False)</f>
        <v>Yucatán moist forests</v>
      </c>
      <c r="BJ633" s="33" t="str">
        <f>VLOOKUP($O633,Eco_DEM_Data!$D$1:$AC$643,11,False)</f>
        <v>Tropical &amp; Subtropical Moist Broadleaf Forests</v>
      </c>
    </row>
    <row r="634">
      <c r="A634" s="33" t="s">
        <v>257</v>
      </c>
      <c r="B634" s="33" t="s">
        <v>2259</v>
      </c>
      <c r="C634" s="34">
        <v>2.0</v>
      </c>
      <c r="D634" s="33" t="s">
        <v>53</v>
      </c>
      <c r="E634" s="34">
        <v>2020.0</v>
      </c>
      <c r="F634" s="33" t="s">
        <v>258</v>
      </c>
      <c r="G634" s="33" t="s">
        <v>259</v>
      </c>
      <c r="H634" s="33" t="s">
        <v>251</v>
      </c>
      <c r="I634" s="33" t="s">
        <v>260</v>
      </c>
      <c r="J634" s="33" t="s">
        <v>261</v>
      </c>
      <c r="K634" s="34">
        <v>542.0</v>
      </c>
      <c r="L634" s="33"/>
      <c r="M634" s="33"/>
      <c r="N634" s="35" t="s">
        <v>60</v>
      </c>
      <c r="O634" s="33" t="s">
        <v>262</v>
      </c>
      <c r="P634" s="33" t="s">
        <v>62</v>
      </c>
      <c r="Q634" s="33" t="s">
        <v>167</v>
      </c>
      <c r="R634" s="33" t="s">
        <v>263</v>
      </c>
      <c r="S634" s="34">
        <v>16.000583</v>
      </c>
      <c r="T634" s="34">
        <v>-91.554216</v>
      </c>
      <c r="U634" s="33" t="s">
        <v>148</v>
      </c>
      <c r="V634" s="6" t="s">
        <v>95</v>
      </c>
      <c r="W634" s="6" t="s">
        <v>96</v>
      </c>
      <c r="X634" s="1" t="s">
        <v>264</v>
      </c>
      <c r="Y634" s="33" t="s">
        <v>265</v>
      </c>
      <c r="Z634" s="33"/>
      <c r="AA634" s="34">
        <v>41.0</v>
      </c>
      <c r="AB634" s="33"/>
      <c r="AC634" s="34">
        <v>10.0</v>
      </c>
      <c r="AD634" s="33"/>
      <c r="AE634" s="33"/>
      <c r="AF634" s="33"/>
      <c r="AG634" s="33"/>
      <c r="AH634" s="33" t="s">
        <v>266</v>
      </c>
      <c r="AI634" s="34">
        <v>-4000.0</v>
      </c>
      <c r="AJ634" s="34">
        <v>2015.0</v>
      </c>
      <c r="AK634" s="6" t="s">
        <v>153</v>
      </c>
      <c r="AL634" s="6" t="s">
        <v>60</v>
      </c>
      <c r="AM634" s="6" t="s">
        <v>132</v>
      </c>
      <c r="AN634" s="6" t="s">
        <v>72</v>
      </c>
      <c r="AO634" s="33"/>
      <c r="AP634" s="6" t="s">
        <v>102</v>
      </c>
      <c r="AQ634" s="33"/>
      <c r="AR634" s="33"/>
      <c r="AS634" s="33"/>
      <c r="AT634" s="6" t="s">
        <v>76</v>
      </c>
      <c r="AU634" s="33"/>
      <c r="AV634" s="33"/>
      <c r="AW634" s="33"/>
      <c r="AX634" s="33"/>
      <c r="AY634" s="40" t="s">
        <v>60</v>
      </c>
      <c r="AZ634" s="6" t="s">
        <v>76</v>
      </c>
      <c r="BA634" s="33"/>
      <c r="BB634" s="33">
        <f>VLOOKUP(O634,Eco_DEM_Data!$D$1:$AC$643,20,False)</f>
        <v>3417</v>
      </c>
      <c r="BC634" s="33">
        <f>VLOOKUP($O634,Eco_DEM_Data!$D$1:$AC$643,20,False)</f>
        <v>3417</v>
      </c>
      <c r="BD634" s="33">
        <f>VLOOKUP($O634,Eco_DEM_Data!$D$1:$AC$643,25,False)</f>
        <v>1566</v>
      </c>
      <c r="BE634" s="33">
        <f>VLOOKUP($O634,Eco_DEM_Data!$D$1:$AC$643,22,False)</f>
        <v>75</v>
      </c>
      <c r="BF634" s="33">
        <f>VLOOKUP($O634,Eco_DEM_Data!$D$1:$AC$643,23,False)</f>
        <v>258</v>
      </c>
      <c r="BG634" s="33">
        <f>VLOOKUP($O634,Eco_DEM_Data!$D$1:$AC$643,21,False)</f>
        <v>6710</v>
      </c>
      <c r="BH634" s="33">
        <f>VLOOKUP($O634,Eco_DEM_Data!$D$1:$AC$643,26,False)</f>
        <v>1520</v>
      </c>
      <c r="BI634" s="33" t="str">
        <f>VLOOKUP($O634,Eco_DEM_Data!$D$1:$AC$643,9,False)</f>
        <v>Central American pine-oak forests</v>
      </c>
      <c r="BJ634" s="33" t="str">
        <f>VLOOKUP($O634,Eco_DEM_Data!$D$1:$AC$643,11,False)</f>
        <v>Tropical &amp; Subtropical Coniferous Forests</v>
      </c>
    </row>
    <row r="635">
      <c r="A635" s="33" t="s">
        <v>257</v>
      </c>
      <c r="B635" s="33" t="s">
        <v>2259</v>
      </c>
      <c r="C635" s="34">
        <v>2.0</v>
      </c>
      <c r="D635" s="33" t="s">
        <v>53</v>
      </c>
      <c r="E635" s="34">
        <v>2020.0</v>
      </c>
      <c r="F635" s="33" t="s">
        <v>258</v>
      </c>
      <c r="G635" s="33" t="s">
        <v>259</v>
      </c>
      <c r="H635" s="33" t="s">
        <v>251</v>
      </c>
      <c r="I635" s="33" t="s">
        <v>260</v>
      </c>
      <c r="J635" s="33" t="s">
        <v>261</v>
      </c>
      <c r="K635" s="34">
        <v>542.0</v>
      </c>
      <c r="L635" s="33"/>
      <c r="M635" s="33"/>
      <c r="N635" s="35" t="s">
        <v>60</v>
      </c>
      <c r="O635" s="33" t="s">
        <v>282</v>
      </c>
      <c r="P635" s="33" t="s">
        <v>62</v>
      </c>
      <c r="Q635" s="33" t="s">
        <v>167</v>
      </c>
      <c r="R635" s="33" t="s">
        <v>263</v>
      </c>
      <c r="S635" s="34">
        <v>16.000583</v>
      </c>
      <c r="T635" s="34">
        <v>-91.554216</v>
      </c>
      <c r="U635" s="33" t="s">
        <v>148</v>
      </c>
      <c r="V635" s="6" t="s">
        <v>135</v>
      </c>
      <c r="W635" s="6" t="s">
        <v>96</v>
      </c>
      <c r="X635" s="1" t="s">
        <v>264</v>
      </c>
      <c r="Y635" s="33" t="s">
        <v>265</v>
      </c>
      <c r="Z635" s="33"/>
      <c r="AA635" s="34">
        <v>41.0</v>
      </c>
      <c r="AB635" s="33"/>
      <c r="AC635" s="34">
        <v>10.0</v>
      </c>
      <c r="AD635" s="33"/>
      <c r="AE635" s="33"/>
      <c r="AF635" s="33"/>
      <c r="AG635" s="33"/>
      <c r="AH635" s="33" t="s">
        <v>266</v>
      </c>
      <c r="AI635" s="34">
        <v>-4000.0</v>
      </c>
      <c r="AJ635" s="34">
        <v>2015.0</v>
      </c>
      <c r="AK635" s="6" t="s">
        <v>153</v>
      </c>
      <c r="AL635" s="6" t="s">
        <v>60</v>
      </c>
      <c r="AM635" s="6" t="s">
        <v>132</v>
      </c>
      <c r="AN635" s="6" t="s">
        <v>72</v>
      </c>
      <c r="AO635" s="33"/>
      <c r="AP635" s="6" t="s">
        <v>102</v>
      </c>
      <c r="AQ635" s="33"/>
      <c r="AR635" s="33"/>
      <c r="AS635" s="33"/>
      <c r="AT635" s="6" t="s">
        <v>76</v>
      </c>
      <c r="AU635" s="33"/>
      <c r="AV635" s="33"/>
      <c r="AW635" s="33"/>
      <c r="AX635" s="33"/>
      <c r="AY635" s="40" t="s">
        <v>60</v>
      </c>
      <c r="AZ635" s="6" t="s">
        <v>76</v>
      </c>
      <c r="BA635" s="33"/>
      <c r="BB635" s="33">
        <f>VLOOKUP(O635,Eco_DEM_Data!$D$1:$AC$643,20,False)</f>
        <v>3417</v>
      </c>
      <c r="BC635" s="33">
        <f>VLOOKUP($O635,Eco_DEM_Data!$D$1:$AC$643,20,False)</f>
        <v>3417</v>
      </c>
      <c r="BD635" s="33">
        <f>VLOOKUP($O635,Eco_DEM_Data!$D$1:$AC$643,25,False)</f>
        <v>1566</v>
      </c>
      <c r="BE635" s="33">
        <f>VLOOKUP($O635,Eco_DEM_Data!$D$1:$AC$643,22,False)</f>
        <v>75</v>
      </c>
      <c r="BF635" s="33">
        <f>VLOOKUP($O635,Eco_DEM_Data!$D$1:$AC$643,23,False)</f>
        <v>258</v>
      </c>
      <c r="BG635" s="33">
        <f>VLOOKUP($O635,Eco_DEM_Data!$D$1:$AC$643,21,False)</f>
        <v>6710</v>
      </c>
      <c r="BH635" s="33">
        <f>VLOOKUP($O635,Eco_DEM_Data!$D$1:$AC$643,26,False)</f>
        <v>1520</v>
      </c>
      <c r="BI635" s="33" t="str">
        <f>VLOOKUP($O635,Eco_DEM_Data!$D$1:$AC$643,9,False)</f>
        <v>Central American pine-oak forests</v>
      </c>
      <c r="BJ635" s="33" t="str">
        <f>VLOOKUP($O635,Eco_DEM_Data!$D$1:$AC$643,11,False)</f>
        <v>Tropical &amp; Subtropical Coniferous Forests</v>
      </c>
    </row>
    <row r="636">
      <c r="A636" s="33" t="s">
        <v>257</v>
      </c>
      <c r="B636" s="33" t="s">
        <v>2259</v>
      </c>
      <c r="C636" s="34">
        <v>2.0</v>
      </c>
      <c r="D636" s="33" t="s">
        <v>53</v>
      </c>
      <c r="E636" s="34">
        <v>2020.0</v>
      </c>
      <c r="F636" s="33" t="s">
        <v>258</v>
      </c>
      <c r="G636" s="33" t="s">
        <v>259</v>
      </c>
      <c r="H636" s="33" t="s">
        <v>251</v>
      </c>
      <c r="I636" s="33" t="s">
        <v>260</v>
      </c>
      <c r="J636" s="33" t="s">
        <v>261</v>
      </c>
      <c r="K636" s="34">
        <v>542.0</v>
      </c>
      <c r="L636" s="33"/>
      <c r="M636" s="33"/>
      <c r="N636" s="35" t="s">
        <v>60</v>
      </c>
      <c r="O636" s="33" t="s">
        <v>283</v>
      </c>
      <c r="P636" s="33" t="s">
        <v>62</v>
      </c>
      <c r="Q636" s="33" t="s">
        <v>167</v>
      </c>
      <c r="R636" s="33" t="s">
        <v>263</v>
      </c>
      <c r="S636" s="34">
        <v>16.000583</v>
      </c>
      <c r="T636" s="34">
        <v>-91.554216</v>
      </c>
      <c r="U636" s="33" t="s">
        <v>148</v>
      </c>
      <c r="V636" s="6" t="s">
        <v>189</v>
      </c>
      <c r="W636" s="33" t="s">
        <v>116</v>
      </c>
      <c r="X636" s="1" t="s">
        <v>284</v>
      </c>
      <c r="Y636" s="33" t="s">
        <v>70</v>
      </c>
      <c r="Z636" s="33"/>
      <c r="AA636" s="34">
        <v>41.0</v>
      </c>
      <c r="AB636" s="33"/>
      <c r="AC636" s="34">
        <v>10.0</v>
      </c>
      <c r="AD636" s="33"/>
      <c r="AE636" s="33"/>
      <c r="AF636" s="33"/>
      <c r="AG636" s="33"/>
      <c r="AH636" s="33" t="s">
        <v>266</v>
      </c>
      <c r="AI636" s="34">
        <v>-4000.0</v>
      </c>
      <c r="AJ636" s="34">
        <v>2015.0</v>
      </c>
      <c r="AK636" s="6" t="s">
        <v>153</v>
      </c>
      <c r="AL636" s="6" t="s">
        <v>60</v>
      </c>
      <c r="AM636" s="6" t="s">
        <v>132</v>
      </c>
      <c r="AN636" s="6" t="s">
        <v>72</v>
      </c>
      <c r="AO636" s="33"/>
      <c r="AP636" s="6" t="s">
        <v>102</v>
      </c>
      <c r="AQ636" s="33"/>
      <c r="AR636" s="33"/>
      <c r="AS636" s="33"/>
      <c r="AT636" s="6" t="s">
        <v>76</v>
      </c>
      <c r="AU636" s="33"/>
      <c r="AV636" s="33"/>
      <c r="AW636" s="33"/>
      <c r="AX636" s="33"/>
      <c r="AY636" s="40" t="s">
        <v>60</v>
      </c>
      <c r="AZ636" s="6" t="s">
        <v>76</v>
      </c>
      <c r="BA636" s="33"/>
      <c r="BB636" s="33">
        <f>VLOOKUP(O636,Eco_DEM_Data!$D$1:$AC$643,20,False)</f>
        <v>3417</v>
      </c>
      <c r="BC636" s="33">
        <f>VLOOKUP($O636,Eco_DEM_Data!$D$1:$AC$643,20,False)</f>
        <v>3417</v>
      </c>
      <c r="BD636" s="33">
        <f>VLOOKUP($O636,Eco_DEM_Data!$D$1:$AC$643,25,False)</f>
        <v>1566</v>
      </c>
      <c r="BE636" s="33">
        <f>VLOOKUP($O636,Eco_DEM_Data!$D$1:$AC$643,22,False)</f>
        <v>75</v>
      </c>
      <c r="BF636" s="33">
        <f>VLOOKUP($O636,Eco_DEM_Data!$D$1:$AC$643,23,False)</f>
        <v>258</v>
      </c>
      <c r="BG636" s="33">
        <f>VLOOKUP($O636,Eco_DEM_Data!$D$1:$AC$643,21,False)</f>
        <v>6710</v>
      </c>
      <c r="BH636" s="33">
        <f>VLOOKUP($O636,Eco_DEM_Data!$D$1:$AC$643,26,False)</f>
        <v>1520</v>
      </c>
      <c r="BI636" s="33" t="str">
        <f>VLOOKUP($O636,Eco_DEM_Data!$D$1:$AC$643,9,False)</f>
        <v>Central American pine-oak forests</v>
      </c>
      <c r="BJ636" s="33" t="str">
        <f>VLOOKUP($O636,Eco_DEM_Data!$D$1:$AC$643,11,False)</f>
        <v>Tropical &amp; Subtropical Coniferous Forests</v>
      </c>
    </row>
    <row r="637">
      <c r="A637" s="33" t="s">
        <v>257</v>
      </c>
      <c r="B637" s="33" t="s">
        <v>2259</v>
      </c>
      <c r="C637" s="34">
        <v>2.0</v>
      </c>
      <c r="D637" s="33" t="s">
        <v>53</v>
      </c>
      <c r="E637" s="34">
        <v>2020.0</v>
      </c>
      <c r="F637" s="33" t="s">
        <v>258</v>
      </c>
      <c r="G637" s="33" t="s">
        <v>259</v>
      </c>
      <c r="H637" s="33" t="s">
        <v>251</v>
      </c>
      <c r="I637" s="33" t="s">
        <v>260</v>
      </c>
      <c r="J637" s="33" t="s">
        <v>261</v>
      </c>
      <c r="K637" s="34">
        <v>542.0</v>
      </c>
      <c r="L637" s="33"/>
      <c r="M637" s="33"/>
      <c r="N637" s="35" t="s">
        <v>60</v>
      </c>
      <c r="O637" s="33" t="s">
        <v>285</v>
      </c>
      <c r="P637" s="33" t="s">
        <v>62</v>
      </c>
      <c r="Q637" s="33" t="s">
        <v>167</v>
      </c>
      <c r="R637" s="33" t="s">
        <v>263</v>
      </c>
      <c r="S637" s="34">
        <v>16.000583</v>
      </c>
      <c r="T637" s="34">
        <v>-91.554216</v>
      </c>
      <c r="U637" s="33" t="s">
        <v>148</v>
      </c>
      <c r="V637" s="38" t="s">
        <v>194</v>
      </c>
      <c r="W637" s="33" t="s">
        <v>116</v>
      </c>
      <c r="X637" s="1" t="s">
        <v>286</v>
      </c>
      <c r="Y637" s="33" t="s">
        <v>70</v>
      </c>
      <c r="Z637" s="33"/>
      <c r="AA637" s="34">
        <v>41.0</v>
      </c>
      <c r="AB637" s="33"/>
      <c r="AC637" s="34">
        <v>10.0</v>
      </c>
      <c r="AD637" s="33"/>
      <c r="AE637" s="33"/>
      <c r="AF637" s="33"/>
      <c r="AG637" s="33"/>
      <c r="AH637" s="33" t="s">
        <v>266</v>
      </c>
      <c r="AI637" s="34">
        <v>-4000.0</v>
      </c>
      <c r="AJ637" s="34">
        <v>2015.0</v>
      </c>
      <c r="AK637" s="6" t="s">
        <v>153</v>
      </c>
      <c r="AL637" s="6" t="s">
        <v>60</v>
      </c>
      <c r="AM637" s="6" t="s">
        <v>132</v>
      </c>
      <c r="AN637" s="6" t="s">
        <v>72</v>
      </c>
      <c r="AO637" s="33"/>
      <c r="AP637" s="6" t="s">
        <v>102</v>
      </c>
      <c r="AQ637" s="33"/>
      <c r="AR637" s="33"/>
      <c r="AS637" s="33"/>
      <c r="AT637" s="6" t="s">
        <v>76</v>
      </c>
      <c r="AU637" s="33"/>
      <c r="AV637" s="33"/>
      <c r="AW637" s="33"/>
      <c r="AX637" s="33"/>
      <c r="AY637" s="40" t="s">
        <v>60</v>
      </c>
      <c r="AZ637" s="6" t="s">
        <v>76</v>
      </c>
      <c r="BA637" s="33"/>
      <c r="BB637" s="33">
        <f>VLOOKUP(O637,Eco_DEM_Data!$D$1:$AC$643,20,False)</f>
        <v>3417</v>
      </c>
      <c r="BC637" s="33">
        <f>VLOOKUP($O637,Eco_DEM_Data!$D$1:$AC$643,20,False)</f>
        <v>3417</v>
      </c>
      <c r="BD637" s="33">
        <f>VLOOKUP($O637,Eco_DEM_Data!$D$1:$AC$643,25,False)</f>
        <v>1566</v>
      </c>
      <c r="BE637" s="33">
        <f>VLOOKUP($O637,Eco_DEM_Data!$D$1:$AC$643,22,False)</f>
        <v>75</v>
      </c>
      <c r="BF637" s="33">
        <f>VLOOKUP($O637,Eco_DEM_Data!$D$1:$AC$643,23,False)</f>
        <v>258</v>
      </c>
      <c r="BG637" s="33">
        <f>VLOOKUP($O637,Eco_DEM_Data!$D$1:$AC$643,21,False)</f>
        <v>6710</v>
      </c>
      <c r="BH637" s="33">
        <f>VLOOKUP($O637,Eco_DEM_Data!$D$1:$AC$643,26,False)</f>
        <v>1520</v>
      </c>
      <c r="BI637" s="33" t="str">
        <f>VLOOKUP($O637,Eco_DEM_Data!$D$1:$AC$643,9,False)</f>
        <v>Central American pine-oak forests</v>
      </c>
      <c r="BJ637" s="33" t="str">
        <f>VLOOKUP($O637,Eco_DEM_Data!$D$1:$AC$643,11,False)</f>
        <v>Tropical &amp; Subtropical Coniferous Forests</v>
      </c>
    </row>
    <row r="638">
      <c r="A638" s="33" t="s">
        <v>2219</v>
      </c>
      <c r="B638" s="33" t="s">
        <v>2259</v>
      </c>
      <c r="C638" s="34">
        <v>6.0</v>
      </c>
      <c r="D638" s="33" t="s">
        <v>53</v>
      </c>
      <c r="E638" s="34">
        <v>2020.0</v>
      </c>
      <c r="F638" s="33" t="s">
        <v>2220</v>
      </c>
      <c r="G638" s="33" t="s">
        <v>2221</v>
      </c>
      <c r="H638" s="33" t="s">
        <v>1610</v>
      </c>
      <c r="I638" s="33" t="s">
        <v>2222</v>
      </c>
      <c r="J638" s="33" t="s">
        <v>2223</v>
      </c>
      <c r="K638" s="34">
        <v>93.0</v>
      </c>
      <c r="L638" s="34">
        <v>1.0</v>
      </c>
      <c r="M638" s="6" t="s">
        <v>2224</v>
      </c>
      <c r="N638" s="35" t="s">
        <v>60</v>
      </c>
      <c r="O638" s="33" t="s">
        <v>2225</v>
      </c>
      <c r="P638" s="33" t="s">
        <v>62</v>
      </c>
      <c r="Q638" s="33" t="s">
        <v>112</v>
      </c>
      <c r="R638" s="33" t="s">
        <v>308</v>
      </c>
      <c r="S638" s="34">
        <v>9.494658</v>
      </c>
      <c r="T638" s="34">
        <v>-83.485118</v>
      </c>
      <c r="U638" s="33" t="s">
        <v>148</v>
      </c>
      <c r="V638" s="6" t="s">
        <v>321</v>
      </c>
      <c r="W638" s="33" t="s">
        <v>156</v>
      </c>
      <c r="X638" s="1" t="s">
        <v>1351</v>
      </c>
      <c r="Y638" s="6" t="s">
        <v>928</v>
      </c>
      <c r="Z638" s="33"/>
      <c r="AA638" s="34">
        <v>5.0</v>
      </c>
      <c r="AB638" s="33"/>
      <c r="AC638" s="33"/>
      <c r="AD638" s="33"/>
      <c r="AE638" s="33"/>
      <c r="AF638" s="33"/>
      <c r="AG638" s="33"/>
      <c r="AH638" s="33" t="s">
        <v>523</v>
      </c>
      <c r="AI638" s="34">
        <v>300.0</v>
      </c>
      <c r="AJ638" s="34">
        <v>2014.0</v>
      </c>
      <c r="AK638" s="6" t="s">
        <v>73</v>
      </c>
      <c r="AL638" s="6" t="s">
        <v>72</v>
      </c>
      <c r="AM638" s="6" t="s">
        <v>132</v>
      </c>
      <c r="AN638" s="6" t="s">
        <v>72</v>
      </c>
      <c r="AO638" s="33"/>
      <c r="AP638" s="6" t="s">
        <v>576</v>
      </c>
      <c r="AQ638" s="33"/>
      <c r="AR638" s="33"/>
      <c r="AS638" s="33"/>
      <c r="AT638" s="6" t="s">
        <v>76</v>
      </c>
      <c r="AU638" s="33"/>
      <c r="AV638" s="33"/>
      <c r="AW638" s="33"/>
      <c r="AX638" s="33"/>
      <c r="AY638" s="40" t="s">
        <v>60</v>
      </c>
      <c r="AZ638" s="6" t="s">
        <v>76</v>
      </c>
      <c r="BA638" s="33"/>
      <c r="BB638" s="33">
        <f>VLOOKUP(O638,Eco_DEM_Data!$D$1:$AC$643,20,False)</f>
        <v>2202</v>
      </c>
      <c r="BC638" s="33">
        <f>VLOOKUP($O638,Eco_DEM_Data!$D$1:$AC$643,20,False)</f>
        <v>2202</v>
      </c>
      <c r="BD638" s="33">
        <f>VLOOKUP($O638,Eco_DEM_Data!$D$1:$AC$643,25,False)</f>
        <v>957</v>
      </c>
      <c r="BE638" s="33">
        <f>VLOOKUP($O638,Eco_DEM_Data!$D$1:$AC$643,22,False)</f>
        <v>11</v>
      </c>
      <c r="BF638" s="33">
        <f>VLOOKUP($O638,Eco_DEM_Data!$D$1:$AC$643,23,False)</f>
        <v>65</v>
      </c>
      <c r="BG638" s="33">
        <f>VLOOKUP($O638,Eco_DEM_Data!$D$1:$AC$643,21,False)</f>
        <v>7181</v>
      </c>
      <c r="BH638" s="33">
        <f>VLOOKUP($O638,Eco_DEM_Data!$D$1:$AC$643,26,False)</f>
        <v>3509</v>
      </c>
      <c r="BI638" s="33" t="str">
        <f>VLOOKUP($O638,Eco_DEM_Data!$D$1:$AC$643,9,False)</f>
        <v>Talamancan montane forests</v>
      </c>
      <c r="BJ638" s="33" t="str">
        <f>VLOOKUP($O638,Eco_DEM_Data!$D$1:$AC$643,11,False)</f>
        <v>Tropical &amp; Subtropical Moist Broadleaf Forests</v>
      </c>
    </row>
    <row r="639">
      <c r="A639" s="33" t="s">
        <v>2219</v>
      </c>
      <c r="B639" s="33" t="s">
        <v>2259</v>
      </c>
      <c r="C639" s="34">
        <v>6.0</v>
      </c>
      <c r="D639" s="33" t="s">
        <v>53</v>
      </c>
      <c r="E639" s="34">
        <v>2020.0</v>
      </c>
      <c r="F639" s="33" t="s">
        <v>2220</v>
      </c>
      <c r="G639" s="33" t="s">
        <v>2221</v>
      </c>
      <c r="H639" s="33" t="s">
        <v>1610</v>
      </c>
      <c r="I639" s="33" t="s">
        <v>2222</v>
      </c>
      <c r="J639" s="33" t="s">
        <v>2223</v>
      </c>
      <c r="K639" s="34">
        <v>93.0</v>
      </c>
      <c r="L639" s="34">
        <v>1.0</v>
      </c>
      <c r="M639" s="6" t="s">
        <v>2224</v>
      </c>
      <c r="N639" s="35" t="s">
        <v>60</v>
      </c>
      <c r="O639" s="33" t="s">
        <v>2227</v>
      </c>
      <c r="P639" s="33" t="s">
        <v>62</v>
      </c>
      <c r="Q639" s="33" t="s">
        <v>112</v>
      </c>
      <c r="R639" s="33" t="s">
        <v>308</v>
      </c>
      <c r="S639" s="34">
        <v>9.494658</v>
      </c>
      <c r="T639" s="34">
        <v>-83.485118</v>
      </c>
      <c r="U639" s="33" t="s">
        <v>148</v>
      </c>
      <c r="V639" s="6" t="s">
        <v>388</v>
      </c>
      <c r="W639" s="12" t="s">
        <v>173</v>
      </c>
      <c r="X639" s="1" t="s">
        <v>2228</v>
      </c>
      <c r="Y639" s="33" t="s">
        <v>483</v>
      </c>
      <c r="Z639" s="33"/>
      <c r="AA639" s="34">
        <v>5.0</v>
      </c>
      <c r="AB639" s="33"/>
      <c r="AC639" s="33"/>
      <c r="AD639" s="33"/>
      <c r="AE639" s="33"/>
      <c r="AF639" s="33"/>
      <c r="AG639" s="33"/>
      <c r="AH639" s="33" t="s">
        <v>523</v>
      </c>
      <c r="AI639" s="34">
        <v>300.0</v>
      </c>
      <c r="AJ639" s="34">
        <v>2014.0</v>
      </c>
      <c r="AK639" s="6" t="s">
        <v>73</v>
      </c>
      <c r="AL639" s="6" t="s">
        <v>72</v>
      </c>
      <c r="AM639" s="6" t="s">
        <v>132</v>
      </c>
      <c r="AN639" s="6" t="s">
        <v>72</v>
      </c>
      <c r="AO639" s="33"/>
      <c r="AP639" s="6" t="s">
        <v>576</v>
      </c>
      <c r="AQ639" s="33"/>
      <c r="AR639" s="33"/>
      <c r="AS639" s="33"/>
      <c r="AT639" s="6" t="s">
        <v>76</v>
      </c>
      <c r="AU639" s="33"/>
      <c r="AV639" s="33"/>
      <c r="AW639" s="33"/>
      <c r="AX639" s="33"/>
      <c r="AY639" s="40" t="s">
        <v>60</v>
      </c>
      <c r="AZ639" s="6" t="s">
        <v>76</v>
      </c>
      <c r="BA639" s="33"/>
      <c r="BB639" s="33">
        <f>VLOOKUP(O639,Eco_DEM_Data!$D$1:$AC$643,20,False)</f>
        <v>2202</v>
      </c>
      <c r="BC639" s="33">
        <f>VLOOKUP($O639,Eco_DEM_Data!$D$1:$AC$643,20,False)</f>
        <v>2202</v>
      </c>
      <c r="BD639" s="33">
        <f>VLOOKUP($O639,Eco_DEM_Data!$D$1:$AC$643,25,False)</f>
        <v>957</v>
      </c>
      <c r="BE639" s="33">
        <f>VLOOKUP($O639,Eco_DEM_Data!$D$1:$AC$643,22,False)</f>
        <v>11</v>
      </c>
      <c r="BF639" s="33">
        <f>VLOOKUP($O639,Eco_DEM_Data!$D$1:$AC$643,23,False)</f>
        <v>65</v>
      </c>
      <c r="BG639" s="33">
        <f>VLOOKUP($O639,Eco_DEM_Data!$D$1:$AC$643,21,False)</f>
        <v>7181</v>
      </c>
      <c r="BH639" s="33">
        <f>VLOOKUP($O639,Eco_DEM_Data!$D$1:$AC$643,26,False)</f>
        <v>3509</v>
      </c>
      <c r="BI639" s="33" t="str">
        <f>VLOOKUP($O639,Eco_DEM_Data!$D$1:$AC$643,9,False)</f>
        <v>Talamancan montane forests</v>
      </c>
      <c r="BJ639" s="33" t="str">
        <f>VLOOKUP($O639,Eco_DEM_Data!$D$1:$AC$643,11,False)</f>
        <v>Tropical &amp; Subtropical Moist Broadleaf Forests</v>
      </c>
    </row>
    <row r="640">
      <c r="A640" s="33" t="s">
        <v>2219</v>
      </c>
      <c r="B640" s="33" t="s">
        <v>2259</v>
      </c>
      <c r="C640" s="34">
        <v>6.0</v>
      </c>
      <c r="D640" s="33" t="s">
        <v>53</v>
      </c>
      <c r="E640" s="34">
        <v>2020.0</v>
      </c>
      <c r="F640" s="33" t="s">
        <v>2220</v>
      </c>
      <c r="G640" s="33" t="s">
        <v>2221</v>
      </c>
      <c r="H640" s="33" t="s">
        <v>1610</v>
      </c>
      <c r="I640" s="33" t="s">
        <v>2222</v>
      </c>
      <c r="J640" s="33" t="s">
        <v>2223</v>
      </c>
      <c r="K640" s="34">
        <v>93.0</v>
      </c>
      <c r="L640" s="34">
        <v>1.0</v>
      </c>
      <c r="M640" s="6" t="s">
        <v>2224</v>
      </c>
      <c r="N640" s="35" t="s">
        <v>60</v>
      </c>
      <c r="O640" s="33" t="s">
        <v>2229</v>
      </c>
      <c r="P640" s="33" t="s">
        <v>62</v>
      </c>
      <c r="Q640" s="33" t="s">
        <v>112</v>
      </c>
      <c r="R640" s="33" t="s">
        <v>308</v>
      </c>
      <c r="S640" s="34">
        <v>9.494658</v>
      </c>
      <c r="T640" s="34">
        <v>-83.485118</v>
      </c>
      <c r="U640" s="33" t="s">
        <v>148</v>
      </c>
      <c r="V640" s="6" t="s">
        <v>135</v>
      </c>
      <c r="W640" s="41" t="s">
        <v>823</v>
      </c>
      <c r="X640" s="7" t="s">
        <v>2228</v>
      </c>
      <c r="Y640" s="41" t="s">
        <v>483</v>
      </c>
      <c r="Z640" s="41"/>
      <c r="AA640" s="68">
        <v>5.0</v>
      </c>
      <c r="AB640" s="41"/>
      <c r="AC640" s="41"/>
      <c r="AD640" s="41"/>
      <c r="AE640" s="41"/>
      <c r="AF640" s="41"/>
      <c r="AG640" s="41"/>
      <c r="AH640" s="41" t="s">
        <v>523</v>
      </c>
      <c r="AI640" s="68">
        <v>300.0</v>
      </c>
      <c r="AJ640" s="68">
        <v>2014.0</v>
      </c>
      <c r="AK640" s="5" t="s">
        <v>73</v>
      </c>
      <c r="AL640" s="5" t="s">
        <v>72</v>
      </c>
      <c r="AM640" s="6" t="s">
        <v>132</v>
      </c>
      <c r="AN640" s="5" t="s">
        <v>72</v>
      </c>
      <c r="AO640" s="41"/>
      <c r="AP640" s="5" t="s">
        <v>576</v>
      </c>
      <c r="AQ640" s="41"/>
      <c r="AR640" s="41"/>
      <c r="AS640" s="41"/>
      <c r="AT640" s="5" t="s">
        <v>76</v>
      </c>
      <c r="AU640" s="33"/>
      <c r="AV640" s="33"/>
      <c r="AW640" s="33"/>
      <c r="AX640" s="33"/>
      <c r="AY640" s="40" t="s">
        <v>60</v>
      </c>
      <c r="AZ640" s="6" t="s">
        <v>76</v>
      </c>
      <c r="BA640" s="33"/>
      <c r="BB640" s="33">
        <f>VLOOKUP(O640,Eco_DEM_Data!$D$1:$AC$643,20,False)</f>
        <v>2202</v>
      </c>
      <c r="BC640" s="33">
        <f>VLOOKUP($O640,Eco_DEM_Data!$D$1:$AC$643,20,False)</f>
        <v>2202</v>
      </c>
      <c r="BD640" s="33">
        <f>VLOOKUP($O640,Eco_DEM_Data!$D$1:$AC$643,25,False)</f>
        <v>957</v>
      </c>
      <c r="BE640" s="33">
        <f>VLOOKUP($O640,Eco_DEM_Data!$D$1:$AC$643,22,False)</f>
        <v>11</v>
      </c>
      <c r="BF640" s="33">
        <f>VLOOKUP($O640,Eco_DEM_Data!$D$1:$AC$643,23,False)</f>
        <v>65</v>
      </c>
      <c r="BG640" s="33">
        <f>VLOOKUP($O640,Eco_DEM_Data!$D$1:$AC$643,21,False)</f>
        <v>7181</v>
      </c>
      <c r="BH640" s="33">
        <f>VLOOKUP($O640,Eco_DEM_Data!$D$1:$AC$643,26,False)</f>
        <v>3509</v>
      </c>
      <c r="BI640" s="33" t="str">
        <f>VLOOKUP($O640,Eco_DEM_Data!$D$1:$AC$643,9,False)</f>
        <v>Talamancan montane forests</v>
      </c>
      <c r="BJ640" s="33" t="str">
        <f>VLOOKUP($O640,Eco_DEM_Data!$D$1:$AC$643,11,False)</f>
        <v>Tropical &amp; Subtropical Moist Broadleaf Forests</v>
      </c>
    </row>
    <row r="641">
      <c r="A641" s="33" t="s">
        <v>2219</v>
      </c>
      <c r="B641" s="33" t="s">
        <v>2259</v>
      </c>
      <c r="C641" s="34">
        <v>6.0</v>
      </c>
      <c r="D641" s="33" t="s">
        <v>53</v>
      </c>
      <c r="E641" s="34">
        <v>2020.0</v>
      </c>
      <c r="F641" s="33" t="s">
        <v>2220</v>
      </c>
      <c r="G641" s="33" t="s">
        <v>2221</v>
      </c>
      <c r="H641" s="33" t="s">
        <v>1610</v>
      </c>
      <c r="I641" s="33" t="s">
        <v>2222</v>
      </c>
      <c r="J641" s="33" t="s">
        <v>2223</v>
      </c>
      <c r="K641" s="34">
        <v>93.0</v>
      </c>
      <c r="L641" s="34">
        <v>1.0</v>
      </c>
      <c r="M641" s="6" t="s">
        <v>2224</v>
      </c>
      <c r="N641" s="35" t="s">
        <v>60</v>
      </c>
      <c r="O641" s="55" t="s">
        <v>2230</v>
      </c>
      <c r="P641" s="33" t="s">
        <v>62</v>
      </c>
      <c r="Q641" s="33" t="s">
        <v>112</v>
      </c>
      <c r="R641" s="33" t="s">
        <v>1350</v>
      </c>
      <c r="S641" s="34">
        <v>9.468532</v>
      </c>
      <c r="T641" s="71">
        <v>-83.480059</v>
      </c>
      <c r="U641" s="33" t="s">
        <v>148</v>
      </c>
      <c r="V641" s="6" t="s">
        <v>321</v>
      </c>
      <c r="W641" s="33" t="s">
        <v>156</v>
      </c>
      <c r="X641" s="1" t="s">
        <v>1351</v>
      </c>
      <c r="Y641" s="6" t="s">
        <v>928</v>
      </c>
      <c r="Z641" s="33"/>
      <c r="AA641" s="34">
        <v>4.0</v>
      </c>
      <c r="AB641" s="33"/>
      <c r="AC641" s="33"/>
      <c r="AD641" s="33"/>
      <c r="AE641" s="33"/>
      <c r="AF641" s="33"/>
      <c r="AG641" s="33"/>
      <c r="AH641" s="33" t="s">
        <v>2231</v>
      </c>
      <c r="AI641" s="34">
        <v>300.0</v>
      </c>
      <c r="AJ641" s="34">
        <v>2014.0</v>
      </c>
      <c r="AK641" s="6" t="s">
        <v>73</v>
      </c>
      <c r="AL641" s="6" t="s">
        <v>72</v>
      </c>
      <c r="AM641" s="6" t="s">
        <v>132</v>
      </c>
      <c r="AN641" s="6" t="s">
        <v>72</v>
      </c>
      <c r="AO641" s="33"/>
      <c r="AP641" s="6" t="s">
        <v>576</v>
      </c>
      <c r="AQ641" s="33"/>
      <c r="AR641" s="33"/>
      <c r="AS641" s="33"/>
      <c r="AT641" s="6" t="s">
        <v>76</v>
      </c>
      <c r="AU641" s="33"/>
      <c r="AV641" s="33"/>
      <c r="AW641" s="33"/>
      <c r="AX641" s="33"/>
      <c r="AY641" s="40" t="s">
        <v>60</v>
      </c>
      <c r="AZ641" s="6" t="s">
        <v>76</v>
      </c>
      <c r="BA641" s="33"/>
      <c r="BB641" s="33">
        <f>VLOOKUP(O641,Eco_DEM_Data!$D$1:$AC$643,20,False)</f>
        <v>2510</v>
      </c>
      <c r="BC641" s="33">
        <f>VLOOKUP($O641,Eco_DEM_Data!$D$1:$AC$643,20,False)</f>
        <v>2510</v>
      </c>
      <c r="BD641" s="33">
        <f>VLOOKUP($O641,Eco_DEM_Data!$D$1:$AC$643,25,False)</f>
        <v>1054</v>
      </c>
      <c r="BE641" s="33">
        <f>VLOOKUP($O641,Eco_DEM_Data!$D$1:$AC$643,22,False)</f>
        <v>28</v>
      </c>
      <c r="BF641" s="33">
        <f>VLOOKUP($O641,Eco_DEM_Data!$D$1:$AC$643,23,False)</f>
        <v>87</v>
      </c>
      <c r="BG641" s="33">
        <f>VLOOKUP($O641,Eco_DEM_Data!$D$1:$AC$643,21,False)</f>
        <v>6856</v>
      </c>
      <c r="BH641" s="33">
        <f>VLOOKUP($O641,Eco_DEM_Data!$D$1:$AC$643,26,False)</f>
        <v>3450</v>
      </c>
      <c r="BI641" s="33" t="str">
        <f>VLOOKUP($O641,Eco_DEM_Data!$D$1:$AC$643,9,False)</f>
        <v>Talamancan montane forests</v>
      </c>
      <c r="BJ641" s="33" t="str">
        <f>VLOOKUP($O641,Eco_DEM_Data!$D$1:$AC$643,11,False)</f>
        <v>Tropical &amp; Subtropical Moist Broadleaf Forests</v>
      </c>
    </row>
    <row r="642">
      <c r="A642" s="33" t="s">
        <v>2219</v>
      </c>
      <c r="B642" s="33" t="s">
        <v>2259</v>
      </c>
      <c r="C642" s="34">
        <v>6.0</v>
      </c>
      <c r="D642" s="33" t="s">
        <v>53</v>
      </c>
      <c r="E642" s="34">
        <v>2020.0</v>
      </c>
      <c r="F642" s="33" t="s">
        <v>2220</v>
      </c>
      <c r="G642" s="33" t="s">
        <v>2221</v>
      </c>
      <c r="H642" s="33" t="s">
        <v>1610</v>
      </c>
      <c r="I642" s="33" t="s">
        <v>2222</v>
      </c>
      <c r="J642" s="33" t="s">
        <v>2223</v>
      </c>
      <c r="K642" s="34">
        <v>93.0</v>
      </c>
      <c r="L642" s="34">
        <v>1.0</v>
      </c>
      <c r="M642" s="6" t="s">
        <v>2224</v>
      </c>
      <c r="N642" s="35" t="s">
        <v>60</v>
      </c>
      <c r="O642" s="33" t="s">
        <v>2232</v>
      </c>
      <c r="P642" s="33" t="s">
        <v>62</v>
      </c>
      <c r="Q642" s="33" t="s">
        <v>112</v>
      </c>
      <c r="R642" s="33" t="s">
        <v>1350</v>
      </c>
      <c r="S642" s="34">
        <v>9.468532</v>
      </c>
      <c r="T642" s="55">
        <v>-83.480059</v>
      </c>
      <c r="U642" s="33" t="s">
        <v>148</v>
      </c>
      <c r="V642" s="6" t="s">
        <v>388</v>
      </c>
      <c r="W642" s="33" t="s">
        <v>156</v>
      </c>
      <c r="X642" s="1" t="s">
        <v>2228</v>
      </c>
      <c r="Y642" s="33" t="s">
        <v>483</v>
      </c>
      <c r="Z642" s="33"/>
      <c r="AA642" s="34">
        <v>4.0</v>
      </c>
      <c r="AB642" s="33"/>
      <c r="AC642" s="33"/>
      <c r="AD642" s="33"/>
      <c r="AE642" s="33"/>
      <c r="AF642" s="33"/>
      <c r="AG642" s="33"/>
      <c r="AH642" s="33" t="s">
        <v>2231</v>
      </c>
      <c r="AI642" s="34">
        <v>300.0</v>
      </c>
      <c r="AJ642" s="34">
        <v>2014.0</v>
      </c>
      <c r="AK642" s="6" t="s">
        <v>73</v>
      </c>
      <c r="AL642" s="6" t="s">
        <v>72</v>
      </c>
      <c r="AM642" s="6" t="s">
        <v>132</v>
      </c>
      <c r="AN642" s="6" t="s">
        <v>72</v>
      </c>
      <c r="AO642" s="33"/>
      <c r="AP642" s="6" t="s">
        <v>576</v>
      </c>
      <c r="AQ642" s="33"/>
      <c r="AR642" s="33"/>
      <c r="AS642" s="33"/>
      <c r="AT642" s="6" t="s">
        <v>76</v>
      </c>
      <c r="AU642" s="33"/>
      <c r="AV642" s="33"/>
      <c r="AW642" s="33"/>
      <c r="AX642" s="33"/>
      <c r="AY642" s="40" t="s">
        <v>60</v>
      </c>
      <c r="AZ642" s="6" t="s">
        <v>76</v>
      </c>
      <c r="BA642" s="33"/>
      <c r="BB642" s="33">
        <f>VLOOKUP(O642,Eco_DEM_Data!$D$1:$AC$643,20,False)</f>
        <v>2510</v>
      </c>
      <c r="BC642" s="33">
        <f>VLOOKUP($O642,Eco_DEM_Data!$D$1:$AC$643,20,False)</f>
        <v>2510</v>
      </c>
      <c r="BD642" s="33">
        <f>VLOOKUP($O642,Eco_DEM_Data!$D$1:$AC$643,25,False)</f>
        <v>1054</v>
      </c>
      <c r="BE642" s="33">
        <f>VLOOKUP($O642,Eco_DEM_Data!$D$1:$AC$643,22,False)</f>
        <v>28</v>
      </c>
      <c r="BF642" s="33">
        <f>VLOOKUP($O642,Eco_DEM_Data!$D$1:$AC$643,23,False)</f>
        <v>87</v>
      </c>
      <c r="BG642" s="33">
        <f>VLOOKUP($O642,Eco_DEM_Data!$D$1:$AC$643,21,False)</f>
        <v>6856</v>
      </c>
      <c r="BH642" s="33">
        <f>VLOOKUP($O642,Eco_DEM_Data!$D$1:$AC$643,26,False)</f>
        <v>3450</v>
      </c>
      <c r="BI642" s="33" t="str">
        <f>VLOOKUP($O642,Eco_DEM_Data!$D$1:$AC$643,9,False)</f>
        <v>Talamancan montane forests</v>
      </c>
      <c r="BJ642" s="33" t="str">
        <f>VLOOKUP($O642,Eco_DEM_Data!$D$1:$AC$643,11,False)</f>
        <v>Tropical &amp; Subtropical Moist Broadleaf Forests</v>
      </c>
    </row>
    <row r="643">
      <c r="A643" s="33" t="s">
        <v>2219</v>
      </c>
      <c r="B643" s="33" t="s">
        <v>2259</v>
      </c>
      <c r="C643" s="34">
        <v>6.0</v>
      </c>
      <c r="D643" s="33" t="s">
        <v>53</v>
      </c>
      <c r="E643" s="34">
        <v>2020.0</v>
      </c>
      <c r="F643" s="33" t="s">
        <v>2220</v>
      </c>
      <c r="G643" s="33" t="s">
        <v>2221</v>
      </c>
      <c r="H643" s="33" t="s">
        <v>1610</v>
      </c>
      <c r="I643" s="33" t="s">
        <v>2222</v>
      </c>
      <c r="J643" s="33" t="s">
        <v>2223</v>
      </c>
      <c r="K643" s="34">
        <v>93.0</v>
      </c>
      <c r="L643" s="34">
        <v>1.0</v>
      </c>
      <c r="M643" s="6" t="s">
        <v>2224</v>
      </c>
      <c r="N643" s="35" t="s">
        <v>60</v>
      </c>
      <c r="O643" s="33" t="s">
        <v>2233</v>
      </c>
      <c r="P643" s="33" t="s">
        <v>62</v>
      </c>
      <c r="Q643" s="33" t="s">
        <v>112</v>
      </c>
      <c r="R643" s="33" t="s">
        <v>1350</v>
      </c>
      <c r="S643" s="34">
        <v>9.468532</v>
      </c>
      <c r="T643" s="55">
        <v>-83.480059</v>
      </c>
      <c r="U643" s="33" t="s">
        <v>148</v>
      </c>
      <c r="V643" s="6" t="s">
        <v>135</v>
      </c>
      <c r="W643" s="33" t="s">
        <v>156</v>
      </c>
      <c r="X643" s="1" t="s">
        <v>2228</v>
      </c>
      <c r="Y643" s="33" t="s">
        <v>483</v>
      </c>
      <c r="Z643" s="33"/>
      <c r="AA643" s="34">
        <v>4.0</v>
      </c>
      <c r="AB643" s="33"/>
      <c r="AC643" s="33"/>
      <c r="AD643" s="33"/>
      <c r="AE643" s="33"/>
      <c r="AF643" s="33"/>
      <c r="AG643" s="33"/>
      <c r="AH643" s="33" t="s">
        <v>2231</v>
      </c>
      <c r="AI643" s="34">
        <v>300.0</v>
      </c>
      <c r="AJ643" s="34">
        <v>2014.0</v>
      </c>
      <c r="AK643" s="6" t="s">
        <v>73</v>
      </c>
      <c r="AL643" s="6" t="s">
        <v>72</v>
      </c>
      <c r="AM643" s="6" t="s">
        <v>132</v>
      </c>
      <c r="AN643" s="6" t="s">
        <v>72</v>
      </c>
      <c r="AO643" s="33"/>
      <c r="AP643" s="6" t="s">
        <v>576</v>
      </c>
      <c r="AQ643" s="33"/>
      <c r="AR643" s="33"/>
      <c r="AS643" s="33"/>
      <c r="AT643" s="6" t="s">
        <v>76</v>
      </c>
      <c r="AU643" s="33"/>
      <c r="AV643" s="33"/>
      <c r="AW643" s="33"/>
      <c r="AX643" s="33"/>
      <c r="AY643" s="40" t="s">
        <v>60</v>
      </c>
      <c r="AZ643" s="6" t="s">
        <v>76</v>
      </c>
      <c r="BA643" s="33"/>
      <c r="BB643" s="33">
        <f>VLOOKUP(O643,Eco_DEM_Data!$D$1:$AC$643,20,False)</f>
        <v>2510</v>
      </c>
      <c r="BC643" s="33">
        <f>VLOOKUP($O643,Eco_DEM_Data!$D$1:$AC$643,20,False)</f>
        <v>2510</v>
      </c>
      <c r="BD643" s="33">
        <f>VLOOKUP($O643,Eco_DEM_Data!$D$1:$AC$643,25,False)</f>
        <v>1054</v>
      </c>
      <c r="BE643" s="33">
        <f>VLOOKUP($O643,Eco_DEM_Data!$D$1:$AC$643,22,False)</f>
        <v>28</v>
      </c>
      <c r="BF643" s="33">
        <f>VLOOKUP($O643,Eco_DEM_Data!$D$1:$AC$643,23,False)</f>
        <v>87</v>
      </c>
      <c r="BG643" s="33">
        <f>VLOOKUP($O643,Eco_DEM_Data!$D$1:$AC$643,21,False)</f>
        <v>6856</v>
      </c>
      <c r="BH643" s="33">
        <f>VLOOKUP($O643,Eco_DEM_Data!$D$1:$AC$643,26,False)</f>
        <v>3450</v>
      </c>
      <c r="BI643" s="33" t="str">
        <f>VLOOKUP($O643,Eco_DEM_Data!$D$1:$AC$643,9,False)</f>
        <v>Talamancan montane forests</v>
      </c>
      <c r="BJ643" s="33" t="str">
        <f>VLOOKUP($O643,Eco_DEM_Data!$D$1:$AC$643,11,False)</f>
        <v>Tropical &amp; Subtropical Moist Broadleaf Forests</v>
      </c>
    </row>
    <row r="644">
      <c r="W644" s="41"/>
      <c r="X644" s="41"/>
      <c r="Y644" s="7"/>
      <c r="Z644" s="7"/>
      <c r="AA644" s="7"/>
      <c r="AB644" s="7"/>
      <c r="AC644" s="7"/>
      <c r="AD644" s="7"/>
      <c r="AE644" s="7"/>
      <c r="AF644" s="7"/>
      <c r="AG644" s="7"/>
      <c r="AH644" s="7"/>
      <c r="AI644" s="7"/>
      <c r="AJ644" s="7"/>
      <c r="AK644" s="7"/>
      <c r="AL644" s="7"/>
      <c r="AM644" s="7"/>
      <c r="AN644" s="7"/>
      <c r="AO644" s="7"/>
      <c r="AP644" s="7"/>
      <c r="AQ644" s="7"/>
      <c r="AR644" s="7"/>
      <c r="AS644" s="7"/>
      <c r="AT644" s="7"/>
    </row>
    <row r="645">
      <c r="W645" s="41"/>
      <c r="X645" s="41"/>
      <c r="Y645" s="7"/>
      <c r="Z645" s="7"/>
      <c r="AA645" s="7"/>
      <c r="AB645" s="7"/>
      <c r="AC645" s="7"/>
      <c r="AD645" s="7"/>
      <c r="AE645" s="7"/>
      <c r="AF645" s="7"/>
      <c r="AG645" s="7"/>
      <c r="AH645" s="7"/>
      <c r="AI645" s="7"/>
      <c r="AJ645" s="7"/>
      <c r="AK645" s="7"/>
      <c r="AL645" s="7"/>
      <c r="AM645" s="7"/>
      <c r="AN645" s="7"/>
      <c r="AO645" s="7"/>
      <c r="AP645" s="7"/>
      <c r="AQ645" s="7"/>
      <c r="AR645" s="7"/>
      <c r="AS645" s="7"/>
      <c r="AT645" s="7"/>
    </row>
    <row r="646">
      <c r="W646" s="41"/>
      <c r="X646" s="41"/>
      <c r="Y646" s="7"/>
      <c r="Z646" s="7"/>
      <c r="AA646" s="7"/>
      <c r="AB646" s="7"/>
      <c r="AC646" s="7"/>
      <c r="AD646" s="7"/>
      <c r="AE646" s="7"/>
      <c r="AF646" s="7"/>
      <c r="AG646" s="7"/>
      <c r="AH646" s="7"/>
      <c r="AI646" s="7"/>
      <c r="AJ646" s="7"/>
      <c r="AK646" s="7"/>
      <c r="AL646" s="7"/>
      <c r="AM646" s="7"/>
      <c r="AN646" s="7"/>
      <c r="AO646" s="7"/>
      <c r="AP646" s="7"/>
      <c r="AQ646" s="7"/>
      <c r="AR646" s="7"/>
      <c r="AS646" s="7"/>
      <c r="AT646" s="7"/>
    </row>
    <row r="647">
      <c r="W647" s="41"/>
      <c r="X647" s="41"/>
      <c r="Y647" s="7"/>
      <c r="Z647" s="7"/>
      <c r="AA647" s="7"/>
      <c r="AB647" s="7"/>
      <c r="AC647" s="7"/>
      <c r="AD647" s="7"/>
      <c r="AE647" s="7"/>
      <c r="AF647" s="7"/>
      <c r="AG647" s="7"/>
      <c r="AH647" s="7"/>
      <c r="AI647" s="7"/>
      <c r="AJ647" s="7"/>
      <c r="AK647" s="7"/>
      <c r="AL647" s="7"/>
      <c r="AM647" s="7"/>
      <c r="AN647" s="7"/>
      <c r="AO647" s="7"/>
      <c r="AP647" s="7"/>
      <c r="AQ647" s="7"/>
      <c r="AR647" s="7"/>
      <c r="AS647" s="7"/>
      <c r="AT647" s="7"/>
    </row>
    <row r="648">
      <c r="W648" s="41"/>
      <c r="X648" s="41"/>
      <c r="Y648" s="7"/>
      <c r="Z648" s="7"/>
      <c r="AA648" s="7"/>
      <c r="AB648" s="7"/>
      <c r="AC648" s="7"/>
      <c r="AD648" s="7"/>
      <c r="AE648" s="7"/>
      <c r="AF648" s="7"/>
      <c r="AG648" s="7"/>
      <c r="AH648" s="7"/>
      <c r="AI648" s="7"/>
      <c r="AJ648" s="7"/>
      <c r="AK648" s="7"/>
      <c r="AL648" s="7"/>
      <c r="AM648" s="7"/>
      <c r="AN648" s="7"/>
      <c r="AO648" s="7"/>
      <c r="AP648" s="7"/>
      <c r="AQ648" s="7"/>
      <c r="AR648" s="7"/>
      <c r="AS648" s="7"/>
      <c r="AT648" s="7"/>
    </row>
    <row r="649">
      <c r="W649" s="41"/>
      <c r="X649" s="41"/>
      <c r="Y649" s="7"/>
      <c r="Z649" s="7"/>
      <c r="AA649" s="7"/>
      <c r="AB649" s="7"/>
      <c r="AC649" s="7"/>
      <c r="AD649" s="7"/>
      <c r="AE649" s="7"/>
      <c r="AF649" s="7"/>
      <c r="AG649" s="7"/>
      <c r="AH649" s="7"/>
      <c r="AI649" s="7"/>
      <c r="AJ649" s="7"/>
      <c r="AK649" s="7"/>
      <c r="AL649" s="7"/>
      <c r="AM649" s="7"/>
      <c r="AN649" s="7"/>
      <c r="AO649" s="7"/>
      <c r="AP649" s="7"/>
      <c r="AQ649" s="7"/>
      <c r="AR649" s="7"/>
      <c r="AS649" s="7"/>
      <c r="AT649" s="7"/>
    </row>
    <row r="650">
      <c r="W650" s="41"/>
      <c r="X650" s="41"/>
      <c r="Y650" s="7"/>
      <c r="Z650" s="7"/>
      <c r="AA650" s="7"/>
      <c r="AB650" s="7"/>
      <c r="AC650" s="7"/>
      <c r="AD650" s="7"/>
      <c r="AE650" s="7"/>
      <c r="AF650" s="7"/>
      <c r="AG650" s="7"/>
      <c r="AH650" s="7"/>
      <c r="AI650" s="7"/>
      <c r="AJ650" s="7"/>
      <c r="AK650" s="7"/>
      <c r="AL650" s="7"/>
      <c r="AM650" s="7"/>
      <c r="AN650" s="7"/>
      <c r="AO650" s="7"/>
      <c r="AP650" s="7"/>
      <c r="AQ650" s="7"/>
      <c r="AR650" s="7"/>
      <c r="AS650" s="7"/>
      <c r="AT650" s="7"/>
    </row>
    <row r="651">
      <c r="W651" s="41"/>
      <c r="X651" s="41"/>
      <c r="Y651" s="7"/>
      <c r="Z651" s="7"/>
      <c r="AA651" s="7"/>
      <c r="AB651" s="7"/>
      <c r="AC651" s="7"/>
      <c r="AD651" s="7"/>
      <c r="AE651" s="7"/>
      <c r="AF651" s="7"/>
      <c r="AG651" s="7"/>
      <c r="AH651" s="7"/>
      <c r="AI651" s="7"/>
      <c r="AJ651" s="7"/>
      <c r="AK651" s="7"/>
      <c r="AL651" s="7"/>
      <c r="AM651" s="7"/>
      <c r="AN651" s="7"/>
      <c r="AO651" s="7"/>
      <c r="AP651" s="7"/>
      <c r="AQ651" s="7"/>
      <c r="AR651" s="7"/>
      <c r="AS651" s="7"/>
      <c r="AT651" s="7"/>
    </row>
    <row r="652">
      <c r="W652" s="41"/>
      <c r="X652" s="41"/>
      <c r="Y652" s="7"/>
      <c r="Z652" s="7"/>
      <c r="AA652" s="7"/>
      <c r="AB652" s="7"/>
      <c r="AC652" s="7"/>
      <c r="AD652" s="7"/>
      <c r="AE652" s="7"/>
      <c r="AF652" s="7"/>
      <c r="AG652" s="7"/>
      <c r="AH652" s="7"/>
      <c r="AI652" s="7"/>
      <c r="AJ652" s="7"/>
      <c r="AK652" s="7"/>
      <c r="AL652" s="7"/>
      <c r="AM652" s="7"/>
      <c r="AN652" s="7"/>
      <c r="AO652" s="7"/>
      <c r="AP652" s="7"/>
      <c r="AQ652" s="7"/>
      <c r="AR652" s="7"/>
      <c r="AS652" s="7"/>
      <c r="AT652" s="7"/>
    </row>
    <row r="653">
      <c r="W653" s="41"/>
      <c r="X653" s="41"/>
      <c r="Y653" s="7"/>
      <c r="Z653" s="7"/>
      <c r="AA653" s="7"/>
      <c r="AB653" s="7"/>
      <c r="AC653" s="7"/>
      <c r="AD653" s="7"/>
      <c r="AE653" s="7"/>
      <c r="AF653" s="7"/>
      <c r="AG653" s="7"/>
      <c r="AH653" s="7"/>
      <c r="AI653" s="7"/>
      <c r="AJ653" s="7"/>
      <c r="AK653" s="7"/>
      <c r="AL653" s="7"/>
      <c r="AM653" s="7"/>
      <c r="AN653" s="7"/>
      <c r="AO653" s="7"/>
      <c r="AP653" s="7"/>
      <c r="AQ653" s="7"/>
      <c r="AR653" s="7"/>
      <c r="AS653" s="7"/>
      <c r="AT653" s="7"/>
    </row>
    <row r="654">
      <c r="W654" s="41"/>
      <c r="X654" s="41"/>
      <c r="Y654" s="7"/>
      <c r="Z654" s="7"/>
      <c r="AA654" s="7"/>
      <c r="AB654" s="7"/>
      <c r="AC654" s="7"/>
      <c r="AD654" s="7"/>
      <c r="AE654" s="7"/>
      <c r="AF654" s="7"/>
      <c r="AG654" s="7"/>
      <c r="AH654" s="7"/>
      <c r="AI654" s="7"/>
      <c r="AJ654" s="7"/>
      <c r="AK654" s="7"/>
      <c r="AL654" s="7"/>
      <c r="AM654" s="7"/>
      <c r="AN654" s="7"/>
      <c r="AO654" s="7"/>
      <c r="AP654" s="7"/>
      <c r="AQ654" s="7"/>
      <c r="AR654" s="7"/>
      <c r="AS654" s="7"/>
      <c r="AT654" s="7"/>
    </row>
    <row r="655">
      <c r="W655" s="41"/>
      <c r="X655" s="41"/>
      <c r="Y655" s="7"/>
      <c r="Z655" s="7"/>
      <c r="AA655" s="7"/>
      <c r="AB655" s="7"/>
      <c r="AC655" s="7"/>
      <c r="AD655" s="7"/>
      <c r="AE655" s="7"/>
      <c r="AF655" s="7"/>
      <c r="AG655" s="7"/>
      <c r="AH655" s="7"/>
      <c r="AI655" s="7"/>
      <c r="AJ655" s="7"/>
      <c r="AK655" s="7"/>
      <c r="AL655" s="7"/>
      <c r="AM655" s="7"/>
      <c r="AN655" s="7"/>
      <c r="AO655" s="7"/>
      <c r="AP655" s="7"/>
      <c r="AQ655" s="7"/>
      <c r="AR655" s="7"/>
      <c r="AS655" s="7"/>
      <c r="AT655" s="7"/>
    </row>
    <row r="656">
      <c r="W656" s="41"/>
      <c r="X656" s="41"/>
      <c r="Y656" s="7"/>
      <c r="Z656" s="7"/>
      <c r="AA656" s="7"/>
      <c r="AB656" s="7"/>
      <c r="AC656" s="7"/>
      <c r="AD656" s="7"/>
      <c r="AE656" s="7"/>
      <c r="AF656" s="7"/>
      <c r="AG656" s="7"/>
      <c r="AH656" s="7"/>
      <c r="AI656" s="7"/>
      <c r="AJ656" s="7"/>
      <c r="AK656" s="7"/>
      <c r="AL656" s="7"/>
      <c r="AM656" s="7"/>
      <c r="AN656" s="7"/>
      <c r="AO656" s="7"/>
      <c r="AP656" s="7"/>
      <c r="AQ656" s="7"/>
      <c r="AR656" s="7"/>
      <c r="AS656" s="7"/>
      <c r="AT656" s="7"/>
    </row>
    <row r="657">
      <c r="W657" s="41"/>
      <c r="X657" s="41"/>
      <c r="Y657" s="7"/>
      <c r="Z657" s="7"/>
      <c r="AA657" s="7"/>
      <c r="AB657" s="7"/>
      <c r="AC657" s="7"/>
      <c r="AD657" s="7"/>
      <c r="AE657" s="7"/>
      <c r="AF657" s="7"/>
      <c r="AG657" s="7"/>
      <c r="AH657" s="7"/>
      <c r="AI657" s="7"/>
      <c r="AJ657" s="7"/>
      <c r="AK657" s="7"/>
      <c r="AL657" s="7"/>
      <c r="AM657" s="7"/>
      <c r="AN657" s="7"/>
      <c r="AO657" s="7"/>
      <c r="AP657" s="7"/>
      <c r="AQ657" s="7"/>
      <c r="AR657" s="7"/>
      <c r="AS657" s="7"/>
      <c r="AT657" s="7"/>
    </row>
    <row r="658">
      <c r="W658" s="41"/>
      <c r="X658" s="41"/>
      <c r="Y658" s="7"/>
      <c r="Z658" s="7"/>
      <c r="AA658" s="7"/>
      <c r="AB658" s="7"/>
      <c r="AC658" s="7"/>
      <c r="AD658" s="7"/>
      <c r="AE658" s="7"/>
      <c r="AF658" s="7"/>
      <c r="AG658" s="7"/>
      <c r="AH658" s="7"/>
      <c r="AI658" s="7"/>
      <c r="AJ658" s="7"/>
      <c r="AK658" s="7"/>
      <c r="AL658" s="7"/>
      <c r="AM658" s="7"/>
      <c r="AN658" s="7"/>
      <c r="AO658" s="7"/>
      <c r="AP658" s="7"/>
      <c r="AQ658" s="7"/>
      <c r="AR658" s="7"/>
      <c r="AS658" s="7"/>
      <c r="AT658" s="7"/>
    </row>
    <row r="659">
      <c r="W659" s="41"/>
      <c r="X659" s="41"/>
      <c r="Y659" s="7"/>
      <c r="Z659" s="7"/>
      <c r="AA659" s="7"/>
      <c r="AB659" s="7"/>
      <c r="AC659" s="7"/>
      <c r="AD659" s="7"/>
      <c r="AE659" s="7"/>
      <c r="AF659" s="7"/>
      <c r="AG659" s="7"/>
      <c r="AH659" s="7"/>
      <c r="AI659" s="7"/>
      <c r="AJ659" s="7"/>
      <c r="AK659" s="7"/>
      <c r="AL659" s="7"/>
      <c r="AM659" s="7"/>
      <c r="AN659" s="7"/>
      <c r="AO659" s="7"/>
      <c r="AP659" s="7"/>
      <c r="AQ659" s="7"/>
      <c r="AR659" s="7"/>
      <c r="AS659" s="7"/>
      <c r="AT659" s="7"/>
    </row>
    <row r="660">
      <c r="W660" s="41"/>
      <c r="X660" s="41"/>
      <c r="Y660" s="7"/>
      <c r="Z660" s="7"/>
      <c r="AA660" s="7"/>
      <c r="AB660" s="7"/>
      <c r="AC660" s="7"/>
      <c r="AD660" s="7"/>
      <c r="AE660" s="7"/>
      <c r="AF660" s="7"/>
      <c r="AG660" s="7"/>
      <c r="AH660" s="7"/>
      <c r="AI660" s="7"/>
      <c r="AJ660" s="7"/>
      <c r="AK660" s="7"/>
      <c r="AL660" s="7"/>
      <c r="AM660" s="7"/>
      <c r="AN660" s="7"/>
      <c r="AO660" s="7"/>
      <c r="AP660" s="7"/>
      <c r="AQ660" s="7"/>
      <c r="AR660" s="7"/>
      <c r="AS660" s="7"/>
      <c r="AT660" s="7"/>
    </row>
    <row r="661">
      <c r="W661" s="41"/>
      <c r="X661" s="41"/>
      <c r="Y661" s="7"/>
      <c r="Z661" s="7"/>
      <c r="AA661" s="7"/>
      <c r="AB661" s="7"/>
      <c r="AC661" s="7"/>
      <c r="AD661" s="7"/>
      <c r="AE661" s="7"/>
      <c r="AF661" s="7"/>
      <c r="AG661" s="7"/>
      <c r="AH661" s="7"/>
      <c r="AI661" s="7"/>
      <c r="AJ661" s="7"/>
      <c r="AK661" s="7"/>
      <c r="AL661" s="7"/>
      <c r="AM661" s="7"/>
      <c r="AN661" s="7"/>
      <c r="AO661" s="7"/>
      <c r="AP661" s="7"/>
      <c r="AQ661" s="7"/>
      <c r="AR661" s="7"/>
      <c r="AS661" s="7"/>
      <c r="AT661" s="7"/>
    </row>
    <row r="662">
      <c r="W662" s="41"/>
      <c r="X662" s="41"/>
      <c r="Y662" s="7"/>
      <c r="Z662" s="7"/>
      <c r="AA662" s="7"/>
      <c r="AB662" s="7"/>
      <c r="AC662" s="7"/>
      <c r="AD662" s="7"/>
      <c r="AE662" s="7"/>
      <c r="AF662" s="7"/>
      <c r="AG662" s="7"/>
      <c r="AH662" s="7"/>
      <c r="AI662" s="7"/>
      <c r="AJ662" s="7"/>
      <c r="AK662" s="7"/>
      <c r="AL662" s="7"/>
      <c r="AM662" s="7"/>
      <c r="AN662" s="7"/>
      <c r="AO662" s="7"/>
      <c r="AP662" s="7"/>
      <c r="AQ662" s="7"/>
      <c r="AR662" s="7"/>
      <c r="AS662" s="7"/>
      <c r="AT662" s="7"/>
    </row>
    <row r="663">
      <c r="W663" s="41"/>
      <c r="X663" s="41"/>
      <c r="Y663" s="7"/>
      <c r="Z663" s="7"/>
      <c r="AA663" s="7"/>
      <c r="AB663" s="7"/>
      <c r="AC663" s="7"/>
      <c r="AD663" s="7"/>
      <c r="AE663" s="7"/>
      <c r="AF663" s="7"/>
      <c r="AG663" s="7"/>
      <c r="AH663" s="7"/>
      <c r="AI663" s="7"/>
      <c r="AJ663" s="7"/>
      <c r="AK663" s="7"/>
      <c r="AL663" s="7"/>
      <c r="AM663" s="7"/>
      <c r="AN663" s="7"/>
      <c r="AO663" s="7"/>
      <c r="AP663" s="7"/>
      <c r="AQ663" s="7"/>
      <c r="AR663" s="7"/>
      <c r="AS663" s="7"/>
      <c r="AT663" s="7"/>
    </row>
    <row r="664">
      <c r="W664" s="41"/>
      <c r="X664" s="41"/>
      <c r="Y664" s="7"/>
      <c r="Z664" s="7"/>
      <c r="AA664" s="7"/>
      <c r="AB664" s="7"/>
      <c r="AC664" s="7"/>
      <c r="AD664" s="7"/>
      <c r="AE664" s="7"/>
      <c r="AF664" s="7"/>
      <c r="AG664" s="7"/>
      <c r="AH664" s="7"/>
      <c r="AI664" s="7"/>
      <c r="AJ664" s="7"/>
      <c r="AK664" s="7"/>
      <c r="AL664" s="7"/>
      <c r="AM664" s="7"/>
      <c r="AN664" s="7"/>
      <c r="AO664" s="7"/>
      <c r="AP664" s="7"/>
      <c r="AQ664" s="7"/>
      <c r="AR664" s="7"/>
      <c r="AS664" s="7"/>
      <c r="AT664" s="7"/>
    </row>
    <row r="665">
      <c r="W665" s="41"/>
      <c r="X665" s="41"/>
      <c r="Y665" s="7"/>
      <c r="Z665" s="7"/>
      <c r="AA665" s="7"/>
      <c r="AB665" s="7"/>
      <c r="AC665" s="7"/>
      <c r="AD665" s="7"/>
      <c r="AE665" s="7"/>
      <c r="AF665" s="7"/>
      <c r="AG665" s="7"/>
      <c r="AH665" s="7"/>
      <c r="AI665" s="7"/>
      <c r="AJ665" s="7"/>
      <c r="AK665" s="7"/>
      <c r="AL665" s="7"/>
      <c r="AM665" s="7"/>
      <c r="AN665" s="7"/>
      <c r="AO665" s="7"/>
      <c r="AP665" s="7"/>
      <c r="AQ665" s="7"/>
      <c r="AR665" s="7"/>
      <c r="AS665" s="7"/>
      <c r="AT665" s="7"/>
    </row>
    <row r="666">
      <c r="W666" s="41"/>
      <c r="X666" s="41"/>
      <c r="Y666" s="7"/>
      <c r="Z666" s="7"/>
      <c r="AA666" s="7"/>
      <c r="AB666" s="7"/>
      <c r="AC666" s="7"/>
      <c r="AD666" s="7"/>
      <c r="AE666" s="7"/>
      <c r="AF666" s="7"/>
      <c r="AG666" s="7"/>
      <c r="AH666" s="7"/>
      <c r="AI666" s="7"/>
      <c r="AJ666" s="7"/>
      <c r="AK666" s="7"/>
      <c r="AL666" s="7"/>
      <c r="AM666" s="7"/>
      <c r="AN666" s="7"/>
      <c r="AO666" s="7"/>
      <c r="AP666" s="7"/>
      <c r="AQ666" s="7"/>
      <c r="AR666" s="7"/>
      <c r="AS666" s="7"/>
      <c r="AT666" s="7"/>
    </row>
    <row r="667">
      <c r="W667" s="41"/>
      <c r="X667" s="41"/>
      <c r="Y667" s="7"/>
      <c r="Z667" s="7"/>
      <c r="AA667" s="7"/>
      <c r="AB667" s="7"/>
      <c r="AC667" s="7"/>
      <c r="AD667" s="7"/>
      <c r="AE667" s="7"/>
      <c r="AF667" s="7"/>
      <c r="AG667" s="7"/>
      <c r="AH667" s="7"/>
      <c r="AI667" s="7"/>
      <c r="AJ667" s="7"/>
      <c r="AK667" s="7"/>
      <c r="AL667" s="7"/>
      <c r="AM667" s="7"/>
      <c r="AN667" s="7"/>
      <c r="AO667" s="7"/>
      <c r="AP667" s="7"/>
      <c r="AQ667" s="7"/>
      <c r="AR667" s="7"/>
      <c r="AS667" s="7"/>
      <c r="AT667" s="7"/>
    </row>
    <row r="668">
      <c r="W668" s="41"/>
      <c r="X668" s="41"/>
      <c r="Y668" s="7"/>
      <c r="Z668" s="7"/>
      <c r="AA668" s="7"/>
      <c r="AB668" s="7"/>
      <c r="AC668" s="7"/>
      <c r="AD668" s="7"/>
      <c r="AE668" s="7"/>
      <c r="AF668" s="7"/>
      <c r="AG668" s="7"/>
      <c r="AH668" s="7"/>
      <c r="AI668" s="7"/>
      <c r="AJ668" s="7"/>
      <c r="AK668" s="7"/>
      <c r="AL668" s="7"/>
      <c r="AM668" s="7"/>
      <c r="AN668" s="7"/>
      <c r="AO668" s="7"/>
      <c r="AP668" s="7"/>
      <c r="AQ668" s="7"/>
      <c r="AR668" s="7"/>
      <c r="AS668" s="7"/>
      <c r="AT668" s="7"/>
    </row>
    <row r="669">
      <c r="W669" s="41"/>
      <c r="X669" s="41"/>
      <c r="Y669" s="7"/>
      <c r="Z669" s="7"/>
      <c r="AA669" s="7"/>
      <c r="AB669" s="7"/>
      <c r="AC669" s="7"/>
      <c r="AD669" s="7"/>
      <c r="AE669" s="7"/>
      <c r="AF669" s="7"/>
      <c r="AG669" s="7"/>
      <c r="AH669" s="7"/>
      <c r="AI669" s="7"/>
      <c r="AJ669" s="7"/>
      <c r="AK669" s="7"/>
      <c r="AL669" s="7"/>
      <c r="AM669" s="7"/>
      <c r="AN669" s="7"/>
      <c r="AO669" s="7"/>
      <c r="AP669" s="7"/>
      <c r="AQ669" s="7"/>
      <c r="AR669" s="7"/>
      <c r="AS669" s="7"/>
      <c r="AT669" s="7"/>
    </row>
    <row r="670">
      <c r="W670" s="41"/>
      <c r="X670" s="41"/>
      <c r="Y670" s="7"/>
      <c r="Z670" s="7"/>
      <c r="AA670" s="7"/>
      <c r="AB670" s="7"/>
      <c r="AC670" s="7"/>
      <c r="AD670" s="7"/>
      <c r="AE670" s="7"/>
      <c r="AF670" s="7"/>
      <c r="AG670" s="7"/>
      <c r="AH670" s="7"/>
      <c r="AI670" s="7"/>
      <c r="AJ670" s="7"/>
      <c r="AK670" s="7"/>
      <c r="AL670" s="7"/>
      <c r="AM670" s="7"/>
      <c r="AN670" s="7"/>
      <c r="AO670" s="7"/>
      <c r="AP670" s="7"/>
      <c r="AQ670" s="7"/>
      <c r="AR670" s="7"/>
      <c r="AS670" s="7"/>
      <c r="AT670" s="7"/>
    </row>
    <row r="671">
      <c r="W671" s="41"/>
      <c r="X671" s="41"/>
      <c r="Y671" s="7"/>
      <c r="Z671" s="7"/>
      <c r="AA671" s="7"/>
      <c r="AB671" s="7"/>
      <c r="AC671" s="7"/>
      <c r="AD671" s="7"/>
      <c r="AE671" s="7"/>
      <c r="AF671" s="7"/>
      <c r="AG671" s="7"/>
      <c r="AH671" s="7"/>
      <c r="AI671" s="7"/>
      <c r="AJ671" s="7"/>
      <c r="AK671" s="7"/>
      <c r="AL671" s="7"/>
      <c r="AM671" s="7"/>
      <c r="AN671" s="7"/>
      <c r="AO671" s="7"/>
      <c r="AP671" s="7"/>
      <c r="AQ671" s="7"/>
      <c r="AR671" s="7"/>
      <c r="AS671" s="7"/>
      <c r="AT671" s="7"/>
    </row>
    <row r="672">
      <c r="W672" s="41"/>
      <c r="X672" s="41"/>
      <c r="Y672" s="7"/>
      <c r="Z672" s="7"/>
      <c r="AA672" s="7"/>
      <c r="AB672" s="7"/>
      <c r="AC672" s="7"/>
      <c r="AD672" s="7"/>
      <c r="AE672" s="7"/>
      <c r="AF672" s="7"/>
      <c r="AG672" s="7"/>
      <c r="AH672" s="7"/>
      <c r="AI672" s="7"/>
      <c r="AJ672" s="7"/>
      <c r="AK672" s="7"/>
      <c r="AL672" s="7"/>
      <c r="AM672" s="7"/>
      <c r="AN672" s="7"/>
      <c r="AO672" s="7"/>
      <c r="AP672" s="7"/>
      <c r="AQ672" s="7"/>
      <c r="AR672" s="7"/>
      <c r="AS672" s="7"/>
      <c r="AT672" s="7"/>
    </row>
    <row r="673">
      <c r="W673" s="41"/>
      <c r="X673" s="41"/>
      <c r="Y673" s="7"/>
      <c r="Z673" s="7"/>
      <c r="AA673" s="7"/>
      <c r="AB673" s="7"/>
      <c r="AC673" s="7"/>
      <c r="AD673" s="7"/>
      <c r="AE673" s="7"/>
      <c r="AF673" s="7"/>
      <c r="AG673" s="7"/>
      <c r="AH673" s="7"/>
      <c r="AI673" s="7"/>
      <c r="AJ673" s="7"/>
      <c r="AK673" s="7"/>
      <c r="AL673" s="7"/>
      <c r="AM673" s="7"/>
      <c r="AN673" s="7"/>
      <c r="AO673" s="7"/>
      <c r="AP673" s="7"/>
      <c r="AQ673" s="7"/>
      <c r="AR673" s="7"/>
      <c r="AS673" s="7"/>
      <c r="AT673" s="7"/>
    </row>
    <row r="674">
      <c r="W674" s="41"/>
      <c r="X674" s="41"/>
      <c r="Y674" s="7"/>
      <c r="Z674" s="7"/>
      <c r="AA674" s="7"/>
      <c r="AB674" s="7"/>
      <c r="AC674" s="7"/>
      <c r="AD674" s="7"/>
      <c r="AE674" s="7"/>
      <c r="AF674" s="7"/>
      <c r="AG674" s="7"/>
      <c r="AH674" s="7"/>
      <c r="AI674" s="7"/>
      <c r="AJ674" s="7"/>
      <c r="AK674" s="7"/>
      <c r="AL674" s="7"/>
      <c r="AM674" s="7"/>
      <c r="AN674" s="7"/>
      <c r="AO674" s="7"/>
      <c r="AP674" s="7"/>
      <c r="AQ674" s="7"/>
      <c r="AR674" s="7"/>
      <c r="AS674" s="7"/>
      <c r="AT674" s="7"/>
    </row>
    <row r="675">
      <c r="W675" s="41"/>
      <c r="X675" s="41"/>
      <c r="Y675" s="7"/>
      <c r="Z675" s="7"/>
      <c r="AA675" s="7"/>
      <c r="AB675" s="7"/>
      <c r="AC675" s="7"/>
      <c r="AD675" s="7"/>
      <c r="AE675" s="7"/>
      <c r="AF675" s="7"/>
      <c r="AG675" s="7"/>
      <c r="AH675" s="7"/>
      <c r="AI675" s="7"/>
      <c r="AJ675" s="7"/>
      <c r="AK675" s="7"/>
      <c r="AL675" s="7"/>
      <c r="AM675" s="7"/>
      <c r="AN675" s="7"/>
      <c r="AO675" s="7"/>
      <c r="AP675" s="7"/>
      <c r="AQ675" s="7"/>
      <c r="AR675" s="7"/>
      <c r="AS675" s="7"/>
      <c r="AT675" s="7"/>
    </row>
    <row r="676">
      <c r="W676" s="41"/>
      <c r="X676" s="41"/>
      <c r="Y676" s="7"/>
      <c r="Z676" s="7"/>
      <c r="AA676" s="7"/>
      <c r="AB676" s="7"/>
      <c r="AC676" s="7"/>
      <c r="AD676" s="7"/>
      <c r="AE676" s="7"/>
      <c r="AF676" s="7"/>
      <c r="AG676" s="7"/>
      <c r="AH676" s="7"/>
      <c r="AI676" s="7"/>
      <c r="AJ676" s="7"/>
      <c r="AK676" s="7"/>
      <c r="AL676" s="7"/>
      <c r="AM676" s="7"/>
      <c r="AN676" s="7"/>
      <c r="AO676" s="7"/>
      <c r="AP676" s="7"/>
      <c r="AQ676" s="7"/>
      <c r="AR676" s="7"/>
      <c r="AS676" s="7"/>
      <c r="AT676" s="7"/>
    </row>
    <row r="677">
      <c r="W677" s="41"/>
      <c r="X677" s="41"/>
      <c r="Y677" s="7"/>
      <c r="Z677" s="7"/>
      <c r="AA677" s="7"/>
      <c r="AB677" s="7"/>
      <c r="AC677" s="7"/>
      <c r="AD677" s="7"/>
      <c r="AE677" s="7"/>
      <c r="AF677" s="7"/>
      <c r="AG677" s="7"/>
      <c r="AH677" s="7"/>
      <c r="AI677" s="7"/>
      <c r="AJ677" s="7"/>
      <c r="AK677" s="7"/>
      <c r="AL677" s="7"/>
      <c r="AM677" s="7"/>
      <c r="AN677" s="7"/>
      <c r="AO677" s="7"/>
      <c r="AP677" s="7"/>
      <c r="AQ677" s="7"/>
      <c r="AR677" s="7"/>
      <c r="AS677" s="7"/>
      <c r="AT677" s="7"/>
    </row>
    <row r="678">
      <c r="W678" s="41"/>
      <c r="X678" s="41"/>
      <c r="Y678" s="7"/>
      <c r="Z678" s="7"/>
      <c r="AA678" s="7"/>
      <c r="AB678" s="7"/>
      <c r="AC678" s="7"/>
      <c r="AD678" s="7"/>
      <c r="AE678" s="7"/>
      <c r="AF678" s="7"/>
      <c r="AG678" s="7"/>
      <c r="AH678" s="7"/>
      <c r="AI678" s="7"/>
      <c r="AJ678" s="7"/>
      <c r="AK678" s="7"/>
      <c r="AL678" s="7"/>
      <c r="AM678" s="7"/>
      <c r="AN678" s="7"/>
      <c r="AO678" s="7"/>
      <c r="AP678" s="7"/>
      <c r="AQ678" s="7"/>
      <c r="AR678" s="7"/>
      <c r="AS678" s="7"/>
      <c r="AT678" s="7"/>
    </row>
    <row r="679">
      <c r="W679" s="41"/>
      <c r="X679" s="41"/>
      <c r="Y679" s="7"/>
      <c r="Z679" s="7"/>
      <c r="AA679" s="7"/>
      <c r="AB679" s="7"/>
      <c r="AC679" s="7"/>
      <c r="AD679" s="7"/>
      <c r="AE679" s="7"/>
      <c r="AF679" s="7"/>
      <c r="AG679" s="7"/>
      <c r="AH679" s="7"/>
      <c r="AI679" s="7"/>
      <c r="AJ679" s="7"/>
      <c r="AK679" s="7"/>
      <c r="AL679" s="7"/>
      <c r="AM679" s="7"/>
      <c r="AN679" s="7"/>
      <c r="AO679" s="7"/>
      <c r="AP679" s="7"/>
      <c r="AQ679" s="7"/>
      <c r="AR679" s="7"/>
      <c r="AS679" s="7"/>
      <c r="AT679" s="7"/>
    </row>
    <row r="680">
      <c r="W680" s="41"/>
      <c r="X680" s="41"/>
      <c r="Y680" s="7"/>
      <c r="Z680" s="7"/>
      <c r="AA680" s="7"/>
      <c r="AB680" s="7"/>
      <c r="AC680" s="7"/>
      <c r="AD680" s="7"/>
      <c r="AE680" s="7"/>
      <c r="AF680" s="7"/>
      <c r="AG680" s="7"/>
      <c r="AH680" s="7"/>
      <c r="AI680" s="7"/>
      <c r="AJ680" s="7"/>
      <c r="AK680" s="7"/>
      <c r="AL680" s="7"/>
      <c r="AM680" s="7"/>
      <c r="AN680" s="7"/>
      <c r="AO680" s="7"/>
      <c r="AP680" s="7"/>
      <c r="AQ680" s="7"/>
      <c r="AR680" s="7"/>
      <c r="AS680" s="7"/>
      <c r="AT680" s="7"/>
    </row>
    <row r="681">
      <c r="W681" s="41"/>
      <c r="X681" s="41"/>
      <c r="Y681" s="7"/>
      <c r="Z681" s="7"/>
      <c r="AA681" s="7"/>
      <c r="AB681" s="7"/>
      <c r="AC681" s="7"/>
      <c r="AD681" s="7"/>
      <c r="AE681" s="7"/>
      <c r="AF681" s="7"/>
      <c r="AG681" s="7"/>
      <c r="AH681" s="7"/>
      <c r="AI681" s="7"/>
      <c r="AJ681" s="7"/>
      <c r="AK681" s="7"/>
      <c r="AL681" s="7"/>
      <c r="AM681" s="7"/>
      <c r="AN681" s="7"/>
      <c r="AO681" s="7"/>
      <c r="AP681" s="7"/>
      <c r="AQ681" s="7"/>
      <c r="AR681" s="7"/>
      <c r="AS681" s="7"/>
      <c r="AT681" s="7"/>
    </row>
    <row r="682">
      <c r="W682" s="41"/>
      <c r="X682" s="41"/>
      <c r="Y682" s="7"/>
      <c r="Z682" s="7"/>
      <c r="AA682" s="7"/>
      <c r="AB682" s="7"/>
      <c r="AC682" s="7"/>
      <c r="AD682" s="7"/>
      <c r="AE682" s="7"/>
      <c r="AF682" s="7"/>
      <c r="AG682" s="7"/>
      <c r="AH682" s="7"/>
      <c r="AI682" s="7"/>
      <c r="AJ682" s="7"/>
      <c r="AK682" s="7"/>
      <c r="AL682" s="7"/>
      <c r="AM682" s="7"/>
      <c r="AN682" s="7"/>
      <c r="AO682" s="7"/>
      <c r="AP682" s="7"/>
      <c r="AQ682" s="7"/>
      <c r="AR682" s="7"/>
      <c r="AS682" s="7"/>
      <c r="AT682" s="7"/>
    </row>
    <row r="683">
      <c r="W683" s="41"/>
      <c r="X683" s="41"/>
      <c r="Y683" s="7"/>
      <c r="Z683" s="7"/>
      <c r="AA683" s="7"/>
      <c r="AB683" s="7"/>
      <c r="AC683" s="7"/>
      <c r="AD683" s="7"/>
      <c r="AE683" s="7"/>
      <c r="AF683" s="7"/>
      <c r="AG683" s="7"/>
      <c r="AH683" s="7"/>
      <c r="AI683" s="7"/>
      <c r="AJ683" s="7"/>
      <c r="AK683" s="7"/>
      <c r="AL683" s="7"/>
      <c r="AM683" s="7"/>
      <c r="AN683" s="7"/>
      <c r="AO683" s="7"/>
      <c r="AP683" s="7"/>
      <c r="AQ683" s="7"/>
      <c r="AR683" s="7"/>
      <c r="AS683" s="7"/>
      <c r="AT683" s="7"/>
    </row>
    <row r="684">
      <c r="W684" s="41"/>
      <c r="X684" s="41"/>
      <c r="Y684" s="7"/>
      <c r="Z684" s="7"/>
      <c r="AA684" s="7"/>
      <c r="AB684" s="7"/>
      <c r="AC684" s="7"/>
      <c r="AD684" s="7"/>
      <c r="AE684" s="7"/>
      <c r="AF684" s="7"/>
      <c r="AG684" s="7"/>
      <c r="AH684" s="7"/>
      <c r="AI684" s="7"/>
      <c r="AJ684" s="7"/>
      <c r="AK684" s="7"/>
      <c r="AL684" s="7"/>
      <c r="AM684" s="7"/>
      <c r="AN684" s="7"/>
      <c r="AO684" s="7"/>
      <c r="AP684" s="7"/>
      <c r="AQ684" s="7"/>
      <c r="AR684" s="7"/>
      <c r="AS684" s="7"/>
      <c r="AT684" s="7"/>
    </row>
    <row r="685">
      <c r="W685" s="41"/>
      <c r="X685" s="41"/>
      <c r="Y685" s="7"/>
      <c r="Z685" s="7"/>
      <c r="AA685" s="7"/>
      <c r="AB685" s="7"/>
      <c r="AC685" s="7"/>
      <c r="AD685" s="7"/>
      <c r="AE685" s="7"/>
      <c r="AF685" s="7"/>
      <c r="AG685" s="7"/>
      <c r="AH685" s="7"/>
      <c r="AI685" s="7"/>
      <c r="AJ685" s="7"/>
      <c r="AK685" s="7"/>
      <c r="AL685" s="7"/>
      <c r="AM685" s="7"/>
      <c r="AN685" s="7"/>
      <c r="AO685" s="7"/>
      <c r="AP685" s="7"/>
      <c r="AQ685" s="7"/>
      <c r="AR685" s="7"/>
      <c r="AS685" s="7"/>
      <c r="AT685" s="7"/>
    </row>
    <row r="686">
      <c r="W686" s="41"/>
      <c r="X686" s="41"/>
      <c r="Y686" s="7"/>
      <c r="Z686" s="7"/>
      <c r="AA686" s="7"/>
      <c r="AB686" s="7"/>
      <c r="AC686" s="7"/>
      <c r="AD686" s="7"/>
      <c r="AE686" s="7"/>
      <c r="AF686" s="7"/>
      <c r="AG686" s="7"/>
      <c r="AH686" s="7"/>
      <c r="AI686" s="7"/>
      <c r="AJ686" s="7"/>
      <c r="AK686" s="7"/>
      <c r="AL686" s="7"/>
      <c r="AM686" s="7"/>
      <c r="AN686" s="7"/>
      <c r="AO686" s="7"/>
      <c r="AP686" s="7"/>
      <c r="AQ686" s="7"/>
      <c r="AR686" s="7"/>
      <c r="AS686" s="7"/>
      <c r="AT686" s="7"/>
    </row>
    <row r="687">
      <c r="W687" s="41"/>
      <c r="X687" s="41"/>
      <c r="Y687" s="7"/>
      <c r="Z687" s="7"/>
      <c r="AA687" s="7"/>
      <c r="AB687" s="7"/>
      <c r="AC687" s="7"/>
      <c r="AD687" s="7"/>
      <c r="AE687" s="7"/>
      <c r="AF687" s="7"/>
      <c r="AG687" s="7"/>
      <c r="AH687" s="7"/>
      <c r="AI687" s="7"/>
      <c r="AJ687" s="7"/>
      <c r="AK687" s="7"/>
      <c r="AL687" s="7"/>
      <c r="AM687" s="7"/>
      <c r="AN687" s="7"/>
      <c r="AO687" s="7"/>
      <c r="AP687" s="7"/>
      <c r="AQ687" s="7"/>
      <c r="AR687" s="7"/>
      <c r="AS687" s="7"/>
      <c r="AT687" s="7"/>
    </row>
    <row r="688">
      <c r="W688" s="41"/>
      <c r="X688" s="41"/>
      <c r="Y688" s="7"/>
      <c r="Z688" s="7"/>
      <c r="AA688" s="7"/>
      <c r="AB688" s="7"/>
      <c r="AC688" s="7"/>
      <c r="AD688" s="7"/>
      <c r="AE688" s="7"/>
      <c r="AF688" s="7"/>
      <c r="AG688" s="7"/>
      <c r="AH688" s="7"/>
      <c r="AI688" s="7"/>
      <c r="AJ688" s="7"/>
      <c r="AK688" s="7"/>
      <c r="AL688" s="7"/>
      <c r="AM688" s="7"/>
      <c r="AN688" s="7"/>
      <c r="AO688" s="7"/>
      <c r="AP688" s="7"/>
      <c r="AQ688" s="7"/>
      <c r="AR688" s="7"/>
      <c r="AS688" s="7"/>
      <c r="AT688" s="7"/>
    </row>
    <row r="689">
      <c r="W689" s="41"/>
      <c r="X689" s="41"/>
      <c r="Y689" s="7"/>
      <c r="Z689" s="7"/>
      <c r="AA689" s="7"/>
      <c r="AB689" s="7"/>
      <c r="AC689" s="7"/>
      <c r="AD689" s="7"/>
      <c r="AE689" s="7"/>
      <c r="AF689" s="7"/>
      <c r="AG689" s="7"/>
      <c r="AH689" s="7"/>
      <c r="AI689" s="7"/>
      <c r="AJ689" s="7"/>
      <c r="AK689" s="7"/>
      <c r="AL689" s="7"/>
      <c r="AM689" s="7"/>
      <c r="AN689" s="7"/>
      <c r="AO689" s="7"/>
      <c r="AP689" s="7"/>
      <c r="AQ689" s="7"/>
      <c r="AR689" s="7"/>
      <c r="AS689" s="7"/>
      <c r="AT689" s="7"/>
    </row>
    <row r="690">
      <c r="W690" s="41"/>
      <c r="X690" s="41"/>
      <c r="Y690" s="7"/>
      <c r="Z690" s="7"/>
      <c r="AA690" s="7"/>
      <c r="AB690" s="7"/>
      <c r="AC690" s="7"/>
      <c r="AD690" s="7"/>
      <c r="AE690" s="7"/>
      <c r="AF690" s="7"/>
      <c r="AG690" s="7"/>
      <c r="AH690" s="7"/>
      <c r="AI690" s="7"/>
      <c r="AJ690" s="7"/>
      <c r="AK690" s="7"/>
      <c r="AL690" s="7"/>
      <c r="AM690" s="7"/>
      <c r="AN690" s="7"/>
      <c r="AO690" s="7"/>
      <c r="AP690" s="7"/>
      <c r="AQ690" s="7"/>
      <c r="AR690" s="7"/>
      <c r="AS690" s="7"/>
      <c r="AT690" s="7"/>
    </row>
    <row r="691">
      <c r="W691" s="41"/>
      <c r="X691" s="41"/>
      <c r="Y691" s="7"/>
      <c r="Z691" s="7"/>
      <c r="AA691" s="7"/>
      <c r="AB691" s="7"/>
      <c r="AC691" s="7"/>
      <c r="AD691" s="7"/>
      <c r="AE691" s="7"/>
      <c r="AF691" s="7"/>
      <c r="AG691" s="7"/>
      <c r="AH691" s="7"/>
      <c r="AI691" s="7"/>
      <c r="AJ691" s="7"/>
      <c r="AK691" s="7"/>
      <c r="AL691" s="7"/>
      <c r="AM691" s="7"/>
      <c r="AN691" s="7"/>
      <c r="AO691" s="7"/>
      <c r="AP691" s="7"/>
      <c r="AQ691" s="7"/>
      <c r="AR691" s="7"/>
      <c r="AS691" s="7"/>
      <c r="AT691" s="7"/>
    </row>
    <row r="692">
      <c r="W692" s="41"/>
      <c r="X692" s="41"/>
      <c r="Y692" s="7"/>
      <c r="Z692" s="7"/>
      <c r="AA692" s="7"/>
      <c r="AB692" s="7"/>
      <c r="AC692" s="7"/>
      <c r="AD692" s="7"/>
      <c r="AE692" s="7"/>
      <c r="AF692" s="7"/>
      <c r="AG692" s="7"/>
      <c r="AH692" s="7"/>
      <c r="AI692" s="7"/>
      <c r="AJ692" s="7"/>
      <c r="AK692" s="7"/>
      <c r="AL692" s="7"/>
      <c r="AM692" s="7"/>
      <c r="AN692" s="7"/>
      <c r="AO692" s="7"/>
      <c r="AP692" s="7"/>
      <c r="AQ692" s="7"/>
      <c r="AR692" s="7"/>
      <c r="AS692" s="7"/>
      <c r="AT692" s="7"/>
    </row>
    <row r="693">
      <c r="W693" s="41"/>
      <c r="X693" s="41"/>
      <c r="Y693" s="7"/>
      <c r="Z693" s="7"/>
      <c r="AA693" s="7"/>
      <c r="AB693" s="7"/>
      <c r="AC693" s="7"/>
      <c r="AD693" s="7"/>
      <c r="AE693" s="7"/>
      <c r="AF693" s="7"/>
      <c r="AG693" s="7"/>
      <c r="AH693" s="7"/>
      <c r="AI693" s="7"/>
      <c r="AJ693" s="7"/>
      <c r="AK693" s="7"/>
      <c r="AL693" s="7"/>
      <c r="AM693" s="7"/>
      <c r="AN693" s="7"/>
      <c r="AO693" s="7"/>
      <c r="AP693" s="7"/>
      <c r="AQ693" s="7"/>
      <c r="AR693" s="7"/>
      <c r="AS693" s="7"/>
      <c r="AT693" s="7"/>
    </row>
    <row r="694">
      <c r="W694" s="41"/>
      <c r="X694" s="41"/>
      <c r="Y694" s="7"/>
      <c r="Z694" s="7"/>
      <c r="AA694" s="7"/>
      <c r="AB694" s="7"/>
      <c r="AC694" s="7"/>
      <c r="AD694" s="7"/>
      <c r="AE694" s="7"/>
      <c r="AF694" s="7"/>
      <c r="AG694" s="7"/>
      <c r="AH694" s="7"/>
      <c r="AI694" s="7"/>
      <c r="AJ694" s="7"/>
      <c r="AK694" s="7"/>
      <c r="AL694" s="7"/>
      <c r="AM694" s="7"/>
      <c r="AN694" s="7"/>
      <c r="AO694" s="7"/>
      <c r="AP694" s="7"/>
      <c r="AQ694" s="7"/>
      <c r="AR694" s="7"/>
      <c r="AS694" s="7"/>
      <c r="AT694" s="7"/>
    </row>
    <row r="695">
      <c r="W695" s="41"/>
      <c r="X695" s="41"/>
      <c r="Y695" s="7"/>
      <c r="Z695" s="7"/>
      <c r="AA695" s="7"/>
      <c r="AB695" s="7"/>
      <c r="AC695" s="7"/>
      <c r="AD695" s="7"/>
      <c r="AE695" s="7"/>
      <c r="AF695" s="7"/>
      <c r="AG695" s="7"/>
      <c r="AH695" s="7"/>
      <c r="AI695" s="7"/>
      <c r="AJ695" s="7"/>
      <c r="AK695" s="7"/>
      <c r="AL695" s="7"/>
      <c r="AM695" s="7"/>
      <c r="AN695" s="7"/>
      <c r="AO695" s="7"/>
      <c r="AP695" s="7"/>
      <c r="AQ695" s="7"/>
      <c r="AR695" s="7"/>
      <c r="AS695" s="7"/>
      <c r="AT695" s="7"/>
    </row>
    <row r="696">
      <c r="W696" s="41"/>
      <c r="X696" s="41"/>
      <c r="Y696" s="7"/>
      <c r="Z696" s="7"/>
      <c r="AA696" s="7"/>
      <c r="AB696" s="7"/>
      <c r="AC696" s="7"/>
      <c r="AD696" s="7"/>
      <c r="AE696" s="7"/>
      <c r="AF696" s="7"/>
      <c r="AG696" s="7"/>
      <c r="AH696" s="7"/>
      <c r="AI696" s="7"/>
      <c r="AJ696" s="7"/>
      <c r="AK696" s="7"/>
      <c r="AL696" s="7"/>
      <c r="AM696" s="7"/>
      <c r="AN696" s="7"/>
      <c r="AO696" s="7"/>
      <c r="AP696" s="7"/>
      <c r="AQ696" s="7"/>
      <c r="AR696" s="7"/>
      <c r="AS696" s="7"/>
      <c r="AT696" s="7"/>
    </row>
    <row r="697">
      <c r="W697" s="41"/>
      <c r="X697" s="41"/>
      <c r="Y697" s="7"/>
      <c r="Z697" s="7"/>
      <c r="AA697" s="7"/>
      <c r="AB697" s="7"/>
      <c r="AC697" s="7"/>
      <c r="AD697" s="7"/>
      <c r="AE697" s="7"/>
      <c r="AF697" s="7"/>
      <c r="AG697" s="7"/>
      <c r="AH697" s="7"/>
      <c r="AI697" s="7"/>
      <c r="AJ697" s="7"/>
      <c r="AK697" s="7"/>
      <c r="AL697" s="7"/>
      <c r="AM697" s="7"/>
      <c r="AN697" s="7"/>
      <c r="AO697" s="7"/>
      <c r="AP697" s="7"/>
      <c r="AQ697" s="7"/>
      <c r="AR697" s="7"/>
      <c r="AS697" s="7"/>
      <c r="AT697" s="7"/>
    </row>
    <row r="698">
      <c r="W698" s="41"/>
      <c r="X698" s="41"/>
      <c r="Y698" s="7"/>
      <c r="Z698" s="7"/>
      <c r="AA698" s="7"/>
      <c r="AB698" s="7"/>
      <c r="AC698" s="7"/>
      <c r="AD698" s="7"/>
      <c r="AE698" s="7"/>
      <c r="AF698" s="7"/>
      <c r="AG698" s="7"/>
      <c r="AH698" s="7"/>
      <c r="AI698" s="7"/>
      <c r="AJ698" s="7"/>
      <c r="AK698" s="7"/>
      <c r="AL698" s="7"/>
      <c r="AM698" s="7"/>
      <c r="AN698" s="7"/>
      <c r="AO698" s="7"/>
      <c r="AP698" s="7"/>
      <c r="AQ698" s="7"/>
      <c r="AR698" s="7"/>
      <c r="AS698" s="7"/>
      <c r="AT698" s="7"/>
    </row>
    <row r="699">
      <c r="W699" s="41"/>
      <c r="X699" s="41"/>
      <c r="Y699" s="7"/>
      <c r="Z699" s="7"/>
      <c r="AA699" s="7"/>
      <c r="AB699" s="7"/>
      <c r="AC699" s="7"/>
      <c r="AD699" s="7"/>
      <c r="AE699" s="7"/>
      <c r="AF699" s="7"/>
      <c r="AG699" s="7"/>
      <c r="AH699" s="7"/>
      <c r="AI699" s="7"/>
      <c r="AJ699" s="7"/>
      <c r="AK699" s="7"/>
      <c r="AL699" s="7"/>
      <c r="AM699" s="7"/>
      <c r="AN699" s="7"/>
      <c r="AO699" s="7"/>
      <c r="AP699" s="7"/>
      <c r="AQ699" s="7"/>
      <c r="AR699" s="7"/>
      <c r="AS699" s="7"/>
      <c r="AT699" s="7"/>
    </row>
    <row r="700">
      <c r="W700" s="41"/>
      <c r="X700" s="41"/>
      <c r="Y700" s="7"/>
      <c r="Z700" s="7"/>
      <c r="AA700" s="7"/>
      <c r="AB700" s="7"/>
      <c r="AC700" s="7"/>
      <c r="AD700" s="7"/>
      <c r="AE700" s="7"/>
      <c r="AF700" s="7"/>
      <c r="AG700" s="7"/>
      <c r="AH700" s="7"/>
      <c r="AI700" s="7"/>
      <c r="AJ700" s="7"/>
      <c r="AK700" s="7"/>
      <c r="AL700" s="7"/>
      <c r="AM700" s="7"/>
      <c r="AN700" s="7"/>
      <c r="AO700" s="7"/>
      <c r="AP700" s="7"/>
      <c r="AQ700" s="7"/>
      <c r="AR700" s="7"/>
      <c r="AS700" s="7"/>
      <c r="AT700" s="7"/>
    </row>
    <row r="701">
      <c r="W701" s="41"/>
      <c r="X701" s="41"/>
      <c r="Y701" s="7"/>
      <c r="Z701" s="7"/>
      <c r="AA701" s="7"/>
      <c r="AB701" s="7"/>
      <c r="AC701" s="7"/>
      <c r="AD701" s="7"/>
      <c r="AE701" s="7"/>
      <c r="AF701" s="7"/>
      <c r="AG701" s="7"/>
      <c r="AH701" s="7"/>
      <c r="AI701" s="7"/>
      <c r="AJ701" s="7"/>
      <c r="AK701" s="7"/>
      <c r="AL701" s="7"/>
      <c r="AM701" s="7"/>
      <c r="AN701" s="7"/>
      <c r="AO701" s="7"/>
      <c r="AP701" s="7"/>
      <c r="AQ701" s="7"/>
      <c r="AR701" s="7"/>
      <c r="AS701" s="7"/>
      <c r="AT701" s="7"/>
    </row>
    <row r="702">
      <c r="W702" s="41"/>
      <c r="X702" s="41"/>
      <c r="Y702" s="7"/>
      <c r="Z702" s="7"/>
      <c r="AA702" s="7"/>
      <c r="AB702" s="7"/>
      <c r="AC702" s="7"/>
      <c r="AD702" s="7"/>
      <c r="AE702" s="7"/>
      <c r="AF702" s="7"/>
      <c r="AG702" s="7"/>
      <c r="AH702" s="7"/>
      <c r="AI702" s="7"/>
      <c r="AJ702" s="7"/>
      <c r="AK702" s="7"/>
      <c r="AL702" s="7"/>
      <c r="AM702" s="7"/>
      <c r="AN702" s="7"/>
      <c r="AO702" s="7"/>
      <c r="AP702" s="7"/>
      <c r="AQ702" s="7"/>
      <c r="AR702" s="7"/>
      <c r="AS702" s="7"/>
      <c r="AT702" s="7"/>
    </row>
    <row r="703">
      <c r="W703" s="41"/>
      <c r="X703" s="41"/>
      <c r="Y703" s="7"/>
      <c r="Z703" s="7"/>
      <c r="AA703" s="7"/>
      <c r="AB703" s="7"/>
      <c r="AC703" s="7"/>
      <c r="AD703" s="7"/>
      <c r="AE703" s="7"/>
      <c r="AF703" s="7"/>
      <c r="AG703" s="7"/>
      <c r="AH703" s="7"/>
      <c r="AI703" s="7"/>
      <c r="AJ703" s="7"/>
      <c r="AK703" s="7"/>
      <c r="AL703" s="7"/>
      <c r="AM703" s="7"/>
      <c r="AN703" s="7"/>
      <c r="AO703" s="7"/>
      <c r="AP703" s="7"/>
      <c r="AQ703" s="7"/>
      <c r="AR703" s="7"/>
      <c r="AS703" s="7"/>
      <c r="AT703" s="7"/>
    </row>
    <row r="704">
      <c r="W704" s="41"/>
      <c r="X704" s="41"/>
      <c r="Y704" s="7"/>
      <c r="Z704" s="7"/>
      <c r="AA704" s="7"/>
      <c r="AB704" s="7"/>
      <c r="AC704" s="7"/>
      <c r="AD704" s="7"/>
      <c r="AE704" s="7"/>
      <c r="AF704" s="7"/>
      <c r="AG704" s="7"/>
      <c r="AH704" s="7"/>
      <c r="AI704" s="7"/>
      <c r="AJ704" s="7"/>
      <c r="AK704" s="7"/>
      <c r="AL704" s="7"/>
      <c r="AM704" s="7"/>
      <c r="AN704" s="7"/>
      <c r="AO704" s="7"/>
      <c r="AP704" s="7"/>
      <c r="AQ704" s="7"/>
      <c r="AR704" s="7"/>
      <c r="AS704" s="7"/>
      <c r="AT704" s="7"/>
    </row>
    <row r="705">
      <c r="W705" s="41"/>
      <c r="X705" s="41"/>
      <c r="Y705" s="7"/>
      <c r="Z705" s="7"/>
      <c r="AA705" s="7"/>
      <c r="AB705" s="7"/>
      <c r="AC705" s="7"/>
      <c r="AD705" s="7"/>
      <c r="AE705" s="7"/>
      <c r="AF705" s="7"/>
      <c r="AG705" s="7"/>
      <c r="AH705" s="7"/>
      <c r="AI705" s="7"/>
      <c r="AJ705" s="7"/>
      <c r="AK705" s="7"/>
      <c r="AL705" s="7"/>
      <c r="AM705" s="7"/>
      <c r="AN705" s="7"/>
      <c r="AO705" s="7"/>
      <c r="AP705" s="7"/>
      <c r="AQ705" s="7"/>
      <c r="AR705" s="7"/>
      <c r="AS705" s="7"/>
      <c r="AT705" s="7"/>
    </row>
    <row r="706">
      <c r="W706" s="41"/>
      <c r="X706" s="41"/>
      <c r="Y706" s="7"/>
      <c r="Z706" s="7"/>
      <c r="AA706" s="7"/>
      <c r="AB706" s="7"/>
      <c r="AC706" s="7"/>
      <c r="AD706" s="7"/>
      <c r="AE706" s="7"/>
      <c r="AF706" s="7"/>
      <c r="AG706" s="7"/>
      <c r="AH706" s="7"/>
      <c r="AI706" s="7"/>
      <c r="AJ706" s="7"/>
      <c r="AK706" s="7"/>
      <c r="AL706" s="7"/>
      <c r="AM706" s="7"/>
      <c r="AN706" s="7"/>
      <c r="AO706" s="7"/>
      <c r="AP706" s="7"/>
      <c r="AQ706" s="7"/>
      <c r="AR706" s="7"/>
      <c r="AS706" s="7"/>
      <c r="AT706" s="7"/>
    </row>
    <row r="707">
      <c r="W707" s="41"/>
      <c r="X707" s="41"/>
      <c r="Y707" s="7"/>
      <c r="Z707" s="7"/>
      <c r="AA707" s="7"/>
      <c r="AB707" s="7"/>
      <c r="AC707" s="7"/>
      <c r="AD707" s="7"/>
      <c r="AE707" s="7"/>
      <c r="AF707" s="7"/>
      <c r="AG707" s="7"/>
      <c r="AH707" s="7"/>
      <c r="AI707" s="7"/>
      <c r="AJ707" s="7"/>
      <c r="AK707" s="7"/>
      <c r="AL707" s="7"/>
      <c r="AM707" s="7"/>
      <c r="AN707" s="7"/>
      <c r="AO707" s="7"/>
      <c r="AP707" s="7"/>
      <c r="AQ707" s="7"/>
      <c r="AR707" s="7"/>
      <c r="AS707" s="7"/>
      <c r="AT707" s="7"/>
    </row>
    <row r="708">
      <c r="W708" s="41"/>
      <c r="X708" s="41"/>
      <c r="Y708" s="7"/>
      <c r="Z708" s="7"/>
      <c r="AA708" s="7"/>
      <c r="AB708" s="7"/>
      <c r="AC708" s="7"/>
      <c r="AD708" s="7"/>
      <c r="AE708" s="7"/>
      <c r="AF708" s="7"/>
      <c r="AG708" s="7"/>
      <c r="AH708" s="7"/>
      <c r="AI708" s="7"/>
      <c r="AJ708" s="7"/>
      <c r="AK708" s="7"/>
      <c r="AL708" s="7"/>
      <c r="AM708" s="7"/>
      <c r="AN708" s="7"/>
      <c r="AO708" s="7"/>
      <c r="AP708" s="7"/>
      <c r="AQ708" s="7"/>
      <c r="AR708" s="7"/>
      <c r="AS708" s="7"/>
      <c r="AT708" s="7"/>
    </row>
    <row r="709">
      <c r="W709" s="41"/>
      <c r="X709" s="41"/>
      <c r="Y709" s="7"/>
      <c r="Z709" s="7"/>
      <c r="AA709" s="7"/>
      <c r="AB709" s="7"/>
      <c r="AC709" s="7"/>
      <c r="AD709" s="7"/>
      <c r="AE709" s="7"/>
      <c r="AF709" s="7"/>
      <c r="AG709" s="7"/>
      <c r="AH709" s="7"/>
      <c r="AI709" s="7"/>
      <c r="AJ709" s="7"/>
      <c r="AK709" s="7"/>
      <c r="AL709" s="7"/>
      <c r="AM709" s="7"/>
      <c r="AN709" s="7"/>
      <c r="AO709" s="7"/>
      <c r="AP709" s="7"/>
      <c r="AQ709" s="7"/>
      <c r="AR709" s="7"/>
      <c r="AS709" s="7"/>
      <c r="AT709" s="7"/>
    </row>
    <row r="710">
      <c r="W710" s="41"/>
      <c r="X710" s="41"/>
      <c r="Y710" s="7"/>
      <c r="Z710" s="7"/>
      <c r="AA710" s="7"/>
      <c r="AB710" s="7"/>
      <c r="AC710" s="7"/>
      <c r="AD710" s="7"/>
      <c r="AE710" s="7"/>
      <c r="AF710" s="7"/>
      <c r="AG710" s="7"/>
      <c r="AH710" s="7"/>
      <c r="AI710" s="7"/>
      <c r="AJ710" s="7"/>
      <c r="AK710" s="7"/>
      <c r="AL710" s="7"/>
      <c r="AM710" s="7"/>
      <c r="AN710" s="7"/>
      <c r="AO710" s="7"/>
      <c r="AP710" s="7"/>
      <c r="AQ710" s="7"/>
      <c r="AR710" s="7"/>
      <c r="AS710" s="7"/>
      <c r="AT710" s="7"/>
    </row>
    <row r="711">
      <c r="W711" s="41"/>
      <c r="X711" s="41"/>
      <c r="Y711" s="7"/>
      <c r="Z711" s="7"/>
      <c r="AA711" s="7"/>
      <c r="AB711" s="7"/>
      <c r="AC711" s="7"/>
      <c r="AD711" s="7"/>
      <c r="AE711" s="7"/>
      <c r="AF711" s="7"/>
      <c r="AG711" s="7"/>
      <c r="AH711" s="7"/>
      <c r="AI711" s="7"/>
      <c r="AJ711" s="7"/>
      <c r="AK711" s="7"/>
      <c r="AL711" s="7"/>
      <c r="AM711" s="7"/>
      <c r="AN711" s="7"/>
      <c r="AO711" s="7"/>
      <c r="AP711" s="7"/>
      <c r="AQ711" s="7"/>
      <c r="AR711" s="7"/>
      <c r="AS711" s="7"/>
      <c r="AT711" s="7"/>
    </row>
    <row r="712">
      <c r="W712" s="41"/>
      <c r="X712" s="41"/>
      <c r="Y712" s="7"/>
      <c r="Z712" s="7"/>
      <c r="AA712" s="7"/>
      <c r="AB712" s="7"/>
      <c r="AC712" s="7"/>
      <c r="AD712" s="7"/>
      <c r="AE712" s="7"/>
      <c r="AF712" s="7"/>
      <c r="AG712" s="7"/>
      <c r="AH712" s="7"/>
      <c r="AI712" s="7"/>
      <c r="AJ712" s="7"/>
      <c r="AK712" s="7"/>
      <c r="AL712" s="7"/>
      <c r="AM712" s="7"/>
      <c r="AN712" s="7"/>
      <c r="AO712" s="7"/>
      <c r="AP712" s="7"/>
      <c r="AQ712" s="7"/>
      <c r="AR712" s="7"/>
      <c r="AS712" s="7"/>
      <c r="AT712" s="7"/>
    </row>
    <row r="713">
      <c r="W713" s="41"/>
      <c r="X713" s="41"/>
      <c r="Y713" s="7"/>
      <c r="Z713" s="7"/>
      <c r="AA713" s="7"/>
      <c r="AB713" s="7"/>
      <c r="AC713" s="7"/>
      <c r="AD713" s="7"/>
      <c r="AE713" s="7"/>
      <c r="AF713" s="7"/>
      <c r="AG713" s="7"/>
      <c r="AH713" s="7"/>
      <c r="AI713" s="7"/>
      <c r="AJ713" s="7"/>
      <c r="AK713" s="7"/>
      <c r="AL713" s="7"/>
      <c r="AM713" s="7"/>
      <c r="AN713" s="7"/>
      <c r="AO713" s="7"/>
      <c r="AP713" s="7"/>
      <c r="AQ713" s="7"/>
      <c r="AR713" s="7"/>
      <c r="AS713" s="7"/>
      <c r="AT713" s="7"/>
    </row>
    <row r="714">
      <c r="W714" s="41"/>
      <c r="X714" s="41"/>
      <c r="Y714" s="7"/>
      <c r="Z714" s="7"/>
      <c r="AA714" s="7"/>
      <c r="AB714" s="7"/>
      <c r="AC714" s="7"/>
      <c r="AD714" s="7"/>
      <c r="AE714" s="7"/>
      <c r="AF714" s="7"/>
      <c r="AG714" s="7"/>
      <c r="AH714" s="7"/>
      <c r="AI714" s="7"/>
      <c r="AJ714" s="7"/>
      <c r="AK714" s="7"/>
      <c r="AL714" s="7"/>
      <c r="AM714" s="7"/>
      <c r="AN714" s="7"/>
      <c r="AO714" s="7"/>
      <c r="AP714" s="7"/>
      <c r="AQ714" s="7"/>
      <c r="AR714" s="7"/>
      <c r="AS714" s="7"/>
      <c r="AT714" s="7"/>
    </row>
    <row r="715">
      <c r="W715" s="41"/>
      <c r="X715" s="41"/>
      <c r="Y715" s="7"/>
      <c r="Z715" s="7"/>
      <c r="AA715" s="7"/>
      <c r="AB715" s="7"/>
      <c r="AC715" s="7"/>
      <c r="AD715" s="7"/>
      <c r="AE715" s="7"/>
      <c r="AF715" s="7"/>
      <c r="AG715" s="7"/>
      <c r="AH715" s="7"/>
      <c r="AI715" s="7"/>
      <c r="AJ715" s="7"/>
      <c r="AK715" s="7"/>
      <c r="AL715" s="7"/>
      <c r="AM715" s="7"/>
      <c r="AN715" s="7"/>
      <c r="AO715" s="7"/>
      <c r="AP715" s="7"/>
      <c r="AQ715" s="7"/>
      <c r="AR715" s="7"/>
      <c r="AS715" s="7"/>
      <c r="AT715" s="7"/>
    </row>
    <row r="716">
      <c r="W716" s="41"/>
      <c r="X716" s="41"/>
      <c r="Y716" s="7"/>
      <c r="Z716" s="7"/>
      <c r="AA716" s="7"/>
      <c r="AB716" s="7"/>
      <c r="AC716" s="7"/>
      <c r="AD716" s="7"/>
      <c r="AE716" s="7"/>
      <c r="AF716" s="7"/>
      <c r="AG716" s="7"/>
      <c r="AH716" s="7"/>
      <c r="AI716" s="7"/>
      <c r="AJ716" s="7"/>
      <c r="AK716" s="7"/>
      <c r="AL716" s="7"/>
      <c r="AM716" s="7"/>
      <c r="AN716" s="7"/>
      <c r="AO716" s="7"/>
      <c r="AP716" s="7"/>
      <c r="AQ716" s="7"/>
      <c r="AR716" s="7"/>
      <c r="AS716" s="7"/>
      <c r="AT716" s="7"/>
    </row>
    <row r="717">
      <c r="W717" s="41"/>
      <c r="X717" s="41"/>
      <c r="Y717" s="7"/>
      <c r="Z717" s="7"/>
      <c r="AA717" s="7"/>
      <c r="AB717" s="7"/>
      <c r="AC717" s="7"/>
      <c r="AD717" s="7"/>
      <c r="AE717" s="7"/>
      <c r="AF717" s="7"/>
      <c r="AG717" s="7"/>
      <c r="AH717" s="7"/>
      <c r="AI717" s="7"/>
      <c r="AJ717" s="7"/>
      <c r="AK717" s="7"/>
      <c r="AL717" s="7"/>
      <c r="AM717" s="7"/>
      <c r="AN717" s="7"/>
      <c r="AO717" s="7"/>
      <c r="AP717" s="7"/>
      <c r="AQ717" s="7"/>
      <c r="AR717" s="7"/>
      <c r="AS717" s="7"/>
      <c r="AT717" s="7"/>
    </row>
    <row r="718">
      <c r="W718" s="41"/>
      <c r="X718" s="41"/>
      <c r="Y718" s="7"/>
      <c r="Z718" s="7"/>
      <c r="AA718" s="7"/>
      <c r="AB718" s="7"/>
      <c r="AC718" s="7"/>
      <c r="AD718" s="7"/>
      <c r="AE718" s="7"/>
      <c r="AF718" s="7"/>
      <c r="AG718" s="7"/>
      <c r="AH718" s="7"/>
      <c r="AI718" s="7"/>
      <c r="AJ718" s="7"/>
      <c r="AK718" s="7"/>
      <c r="AL718" s="7"/>
      <c r="AM718" s="7"/>
      <c r="AN718" s="7"/>
      <c r="AO718" s="7"/>
      <c r="AP718" s="7"/>
      <c r="AQ718" s="7"/>
      <c r="AR718" s="7"/>
      <c r="AS718" s="7"/>
      <c r="AT718" s="7"/>
    </row>
    <row r="719">
      <c r="W719" s="41"/>
      <c r="X719" s="41"/>
      <c r="Y719" s="7"/>
      <c r="Z719" s="7"/>
      <c r="AA719" s="7"/>
      <c r="AB719" s="7"/>
      <c r="AC719" s="7"/>
      <c r="AD719" s="7"/>
      <c r="AE719" s="7"/>
      <c r="AF719" s="7"/>
      <c r="AG719" s="7"/>
      <c r="AH719" s="7"/>
      <c r="AI719" s="7"/>
      <c r="AJ719" s="7"/>
      <c r="AK719" s="7"/>
      <c r="AL719" s="7"/>
      <c r="AM719" s="7"/>
      <c r="AN719" s="7"/>
      <c r="AO719" s="7"/>
      <c r="AP719" s="7"/>
      <c r="AQ719" s="7"/>
      <c r="AR719" s="7"/>
      <c r="AS719" s="7"/>
      <c r="AT719" s="7"/>
    </row>
    <row r="720">
      <c r="W720" s="41"/>
      <c r="X720" s="41"/>
      <c r="Y720" s="7"/>
      <c r="Z720" s="7"/>
      <c r="AA720" s="7"/>
      <c r="AB720" s="7"/>
      <c r="AC720" s="7"/>
      <c r="AD720" s="7"/>
      <c r="AE720" s="7"/>
      <c r="AF720" s="7"/>
      <c r="AG720" s="7"/>
      <c r="AH720" s="7"/>
      <c r="AI720" s="7"/>
      <c r="AJ720" s="7"/>
      <c r="AK720" s="7"/>
      <c r="AL720" s="7"/>
      <c r="AM720" s="7"/>
      <c r="AN720" s="7"/>
      <c r="AO720" s="7"/>
      <c r="AP720" s="7"/>
      <c r="AQ720" s="7"/>
      <c r="AR720" s="7"/>
      <c r="AS720" s="7"/>
      <c r="AT720" s="7"/>
    </row>
    <row r="721">
      <c r="W721" s="41"/>
      <c r="X721" s="41"/>
      <c r="Y721" s="7"/>
      <c r="Z721" s="7"/>
      <c r="AA721" s="7"/>
      <c r="AB721" s="7"/>
      <c r="AC721" s="7"/>
      <c r="AD721" s="7"/>
      <c r="AE721" s="7"/>
      <c r="AF721" s="7"/>
      <c r="AG721" s="7"/>
      <c r="AH721" s="7"/>
      <c r="AI721" s="7"/>
      <c r="AJ721" s="7"/>
      <c r="AK721" s="7"/>
      <c r="AL721" s="7"/>
      <c r="AM721" s="7"/>
      <c r="AN721" s="7"/>
      <c r="AO721" s="7"/>
      <c r="AP721" s="7"/>
      <c r="AQ721" s="7"/>
      <c r="AR721" s="7"/>
      <c r="AS721" s="7"/>
      <c r="AT721" s="7"/>
    </row>
    <row r="722">
      <c r="W722" s="41"/>
      <c r="X722" s="41"/>
      <c r="Y722" s="7"/>
      <c r="Z722" s="7"/>
      <c r="AA722" s="7"/>
      <c r="AB722" s="7"/>
      <c r="AC722" s="7"/>
      <c r="AD722" s="7"/>
      <c r="AE722" s="7"/>
      <c r="AF722" s="7"/>
      <c r="AG722" s="7"/>
      <c r="AH722" s="7"/>
      <c r="AI722" s="7"/>
      <c r="AJ722" s="7"/>
      <c r="AK722" s="7"/>
      <c r="AL722" s="7"/>
      <c r="AM722" s="7"/>
      <c r="AN722" s="7"/>
      <c r="AO722" s="7"/>
      <c r="AP722" s="7"/>
      <c r="AQ722" s="7"/>
      <c r="AR722" s="7"/>
      <c r="AS722" s="7"/>
      <c r="AT722" s="7"/>
    </row>
    <row r="723">
      <c r="W723" s="41"/>
      <c r="X723" s="41"/>
      <c r="Y723" s="7"/>
      <c r="Z723" s="7"/>
      <c r="AA723" s="7"/>
      <c r="AB723" s="7"/>
      <c r="AC723" s="7"/>
      <c r="AD723" s="7"/>
      <c r="AE723" s="7"/>
      <c r="AF723" s="7"/>
      <c r="AG723" s="7"/>
      <c r="AH723" s="7"/>
      <c r="AI723" s="7"/>
      <c r="AJ723" s="7"/>
      <c r="AK723" s="7"/>
      <c r="AL723" s="7"/>
      <c r="AM723" s="7"/>
      <c r="AN723" s="7"/>
      <c r="AO723" s="7"/>
      <c r="AP723" s="7"/>
      <c r="AQ723" s="7"/>
      <c r="AR723" s="7"/>
      <c r="AS723" s="7"/>
      <c r="AT723" s="7"/>
    </row>
    <row r="724">
      <c r="W724" s="41"/>
      <c r="X724" s="41"/>
      <c r="Y724" s="7"/>
      <c r="Z724" s="7"/>
      <c r="AA724" s="7"/>
      <c r="AB724" s="7"/>
      <c r="AC724" s="7"/>
      <c r="AD724" s="7"/>
      <c r="AE724" s="7"/>
      <c r="AF724" s="7"/>
      <c r="AG724" s="7"/>
      <c r="AH724" s="7"/>
      <c r="AI724" s="7"/>
      <c r="AJ724" s="7"/>
      <c r="AK724" s="7"/>
      <c r="AL724" s="7"/>
      <c r="AM724" s="7"/>
      <c r="AN724" s="7"/>
      <c r="AO724" s="7"/>
      <c r="AP724" s="7"/>
      <c r="AQ724" s="7"/>
      <c r="AR724" s="7"/>
      <c r="AS724" s="7"/>
      <c r="AT724" s="7"/>
    </row>
    <row r="725">
      <c r="W725" s="41"/>
      <c r="X725" s="41"/>
      <c r="Y725" s="7"/>
      <c r="Z725" s="7"/>
      <c r="AA725" s="7"/>
      <c r="AB725" s="7"/>
      <c r="AC725" s="7"/>
      <c r="AD725" s="7"/>
      <c r="AE725" s="7"/>
      <c r="AF725" s="7"/>
      <c r="AG725" s="7"/>
      <c r="AH725" s="7"/>
      <c r="AI725" s="7"/>
      <c r="AJ725" s="7"/>
      <c r="AK725" s="7"/>
      <c r="AL725" s="7"/>
      <c r="AM725" s="7"/>
      <c r="AN725" s="7"/>
      <c r="AO725" s="7"/>
      <c r="AP725" s="7"/>
      <c r="AQ725" s="7"/>
      <c r="AR725" s="7"/>
      <c r="AS725" s="7"/>
      <c r="AT725" s="7"/>
    </row>
    <row r="726">
      <c r="W726" s="41"/>
      <c r="X726" s="41"/>
      <c r="Y726" s="7"/>
      <c r="Z726" s="7"/>
      <c r="AA726" s="7"/>
      <c r="AB726" s="7"/>
      <c r="AC726" s="7"/>
      <c r="AD726" s="7"/>
      <c r="AE726" s="7"/>
      <c r="AF726" s="7"/>
      <c r="AG726" s="7"/>
      <c r="AH726" s="7"/>
      <c r="AI726" s="7"/>
      <c r="AJ726" s="7"/>
      <c r="AK726" s="7"/>
      <c r="AL726" s="7"/>
      <c r="AM726" s="7"/>
      <c r="AN726" s="7"/>
      <c r="AO726" s="7"/>
      <c r="AP726" s="7"/>
      <c r="AQ726" s="7"/>
      <c r="AR726" s="7"/>
      <c r="AS726" s="7"/>
      <c r="AT726" s="7"/>
    </row>
    <row r="727">
      <c r="W727" s="41"/>
      <c r="X727" s="41"/>
      <c r="Y727" s="7"/>
      <c r="Z727" s="7"/>
      <c r="AA727" s="7"/>
      <c r="AB727" s="7"/>
      <c r="AC727" s="7"/>
      <c r="AD727" s="7"/>
      <c r="AE727" s="7"/>
      <c r="AF727" s="7"/>
      <c r="AG727" s="7"/>
      <c r="AH727" s="7"/>
      <c r="AI727" s="7"/>
      <c r="AJ727" s="7"/>
      <c r="AK727" s="7"/>
      <c r="AL727" s="7"/>
      <c r="AM727" s="7"/>
      <c r="AN727" s="7"/>
      <c r="AO727" s="7"/>
      <c r="AP727" s="7"/>
      <c r="AQ727" s="7"/>
      <c r="AR727" s="7"/>
      <c r="AS727" s="7"/>
      <c r="AT727" s="7"/>
    </row>
    <row r="728">
      <c r="W728" s="41"/>
      <c r="X728" s="41"/>
      <c r="Y728" s="7"/>
      <c r="Z728" s="7"/>
      <c r="AA728" s="7"/>
      <c r="AB728" s="7"/>
      <c r="AC728" s="7"/>
      <c r="AD728" s="7"/>
      <c r="AE728" s="7"/>
      <c r="AF728" s="7"/>
      <c r="AG728" s="7"/>
      <c r="AH728" s="7"/>
      <c r="AI728" s="7"/>
      <c r="AJ728" s="7"/>
      <c r="AK728" s="7"/>
      <c r="AL728" s="7"/>
      <c r="AM728" s="7"/>
      <c r="AN728" s="7"/>
      <c r="AO728" s="7"/>
      <c r="AP728" s="7"/>
      <c r="AQ728" s="7"/>
      <c r="AR728" s="7"/>
      <c r="AS728" s="7"/>
      <c r="AT728" s="7"/>
    </row>
    <row r="729">
      <c r="W729" s="41"/>
      <c r="X729" s="41"/>
      <c r="Y729" s="7"/>
      <c r="Z729" s="7"/>
      <c r="AA729" s="7"/>
      <c r="AB729" s="7"/>
      <c r="AC729" s="7"/>
      <c r="AD729" s="7"/>
      <c r="AE729" s="7"/>
      <c r="AF729" s="7"/>
      <c r="AG729" s="7"/>
      <c r="AH729" s="7"/>
      <c r="AI729" s="7"/>
      <c r="AJ729" s="7"/>
      <c r="AK729" s="7"/>
      <c r="AL729" s="7"/>
      <c r="AM729" s="7"/>
      <c r="AN729" s="7"/>
      <c r="AO729" s="7"/>
      <c r="AP729" s="7"/>
      <c r="AQ729" s="7"/>
      <c r="AR729" s="7"/>
      <c r="AS729" s="7"/>
      <c r="AT729" s="7"/>
    </row>
    <row r="730">
      <c r="W730" s="41"/>
      <c r="X730" s="41"/>
      <c r="Y730" s="7"/>
      <c r="Z730" s="7"/>
      <c r="AA730" s="7"/>
      <c r="AB730" s="7"/>
      <c r="AC730" s="7"/>
      <c r="AD730" s="7"/>
      <c r="AE730" s="7"/>
      <c r="AF730" s="7"/>
      <c r="AG730" s="7"/>
      <c r="AH730" s="7"/>
      <c r="AI730" s="7"/>
      <c r="AJ730" s="7"/>
      <c r="AK730" s="7"/>
      <c r="AL730" s="7"/>
      <c r="AM730" s="7"/>
      <c r="AN730" s="7"/>
      <c r="AO730" s="7"/>
      <c r="AP730" s="7"/>
      <c r="AQ730" s="7"/>
      <c r="AR730" s="7"/>
      <c r="AS730" s="7"/>
      <c r="AT730" s="7"/>
    </row>
    <row r="731">
      <c r="W731" s="41"/>
      <c r="X731" s="41"/>
      <c r="Y731" s="7"/>
      <c r="Z731" s="7"/>
      <c r="AA731" s="7"/>
      <c r="AB731" s="7"/>
      <c r="AC731" s="7"/>
      <c r="AD731" s="7"/>
      <c r="AE731" s="7"/>
      <c r="AF731" s="7"/>
      <c r="AG731" s="7"/>
      <c r="AH731" s="7"/>
      <c r="AI731" s="7"/>
      <c r="AJ731" s="7"/>
      <c r="AK731" s="7"/>
      <c r="AL731" s="7"/>
      <c r="AM731" s="7"/>
      <c r="AN731" s="7"/>
      <c r="AO731" s="7"/>
      <c r="AP731" s="7"/>
      <c r="AQ731" s="7"/>
      <c r="AR731" s="7"/>
      <c r="AS731" s="7"/>
      <c r="AT731" s="7"/>
    </row>
    <row r="732">
      <c r="W732" s="41"/>
      <c r="X732" s="41"/>
      <c r="Y732" s="7"/>
      <c r="Z732" s="7"/>
      <c r="AA732" s="7"/>
      <c r="AB732" s="7"/>
      <c r="AC732" s="7"/>
      <c r="AD732" s="7"/>
      <c r="AE732" s="7"/>
      <c r="AF732" s="7"/>
      <c r="AG732" s="7"/>
      <c r="AH732" s="7"/>
      <c r="AI732" s="7"/>
      <c r="AJ732" s="7"/>
      <c r="AK732" s="7"/>
      <c r="AL732" s="7"/>
      <c r="AM732" s="7"/>
      <c r="AN732" s="7"/>
      <c r="AO732" s="7"/>
      <c r="AP732" s="7"/>
      <c r="AQ732" s="7"/>
      <c r="AR732" s="7"/>
      <c r="AS732" s="7"/>
      <c r="AT732" s="7"/>
    </row>
    <row r="733">
      <c r="W733" s="41"/>
      <c r="X733" s="41"/>
      <c r="Y733" s="7"/>
      <c r="Z733" s="7"/>
      <c r="AA733" s="7"/>
      <c r="AB733" s="7"/>
      <c r="AC733" s="7"/>
      <c r="AD733" s="7"/>
      <c r="AE733" s="7"/>
      <c r="AF733" s="7"/>
      <c r="AG733" s="7"/>
      <c r="AH733" s="7"/>
      <c r="AI733" s="7"/>
      <c r="AJ733" s="7"/>
      <c r="AK733" s="7"/>
      <c r="AL733" s="7"/>
      <c r="AM733" s="7"/>
      <c r="AN733" s="7"/>
      <c r="AO733" s="7"/>
      <c r="AP733" s="7"/>
      <c r="AQ733" s="7"/>
      <c r="AR733" s="7"/>
      <c r="AS733" s="7"/>
      <c r="AT733" s="7"/>
    </row>
    <row r="734">
      <c r="W734" s="41"/>
      <c r="X734" s="41"/>
      <c r="Y734" s="7"/>
      <c r="Z734" s="7"/>
      <c r="AA734" s="7"/>
      <c r="AB734" s="7"/>
      <c r="AC734" s="7"/>
      <c r="AD734" s="7"/>
      <c r="AE734" s="7"/>
      <c r="AF734" s="7"/>
      <c r="AG734" s="7"/>
      <c r="AH734" s="7"/>
      <c r="AI734" s="7"/>
      <c r="AJ734" s="7"/>
      <c r="AK734" s="7"/>
      <c r="AL734" s="7"/>
      <c r="AM734" s="7"/>
      <c r="AN734" s="7"/>
      <c r="AO734" s="7"/>
      <c r="AP734" s="7"/>
      <c r="AQ734" s="7"/>
      <c r="AR734" s="7"/>
      <c r="AS734" s="7"/>
      <c r="AT734" s="7"/>
    </row>
    <row r="735">
      <c r="W735" s="41"/>
      <c r="X735" s="41"/>
      <c r="Y735" s="7"/>
      <c r="Z735" s="7"/>
      <c r="AA735" s="7"/>
      <c r="AB735" s="7"/>
      <c r="AC735" s="7"/>
      <c r="AD735" s="7"/>
      <c r="AE735" s="7"/>
      <c r="AF735" s="7"/>
      <c r="AG735" s="7"/>
      <c r="AH735" s="7"/>
      <c r="AI735" s="7"/>
      <c r="AJ735" s="7"/>
      <c r="AK735" s="7"/>
      <c r="AL735" s="7"/>
      <c r="AM735" s="7"/>
      <c r="AN735" s="7"/>
      <c r="AO735" s="7"/>
      <c r="AP735" s="7"/>
      <c r="AQ735" s="7"/>
      <c r="AR735" s="7"/>
      <c r="AS735" s="7"/>
      <c r="AT735" s="7"/>
    </row>
    <row r="736">
      <c r="W736" s="41"/>
      <c r="X736" s="41"/>
      <c r="Y736" s="7"/>
      <c r="Z736" s="7"/>
      <c r="AA736" s="7"/>
      <c r="AB736" s="7"/>
      <c r="AC736" s="7"/>
      <c r="AD736" s="7"/>
      <c r="AE736" s="7"/>
      <c r="AF736" s="7"/>
      <c r="AG736" s="7"/>
      <c r="AH736" s="7"/>
      <c r="AI736" s="7"/>
      <c r="AJ736" s="7"/>
      <c r="AK736" s="7"/>
      <c r="AL736" s="7"/>
      <c r="AM736" s="7"/>
      <c r="AN736" s="7"/>
      <c r="AO736" s="7"/>
      <c r="AP736" s="7"/>
      <c r="AQ736" s="7"/>
      <c r="AR736" s="7"/>
      <c r="AS736" s="7"/>
      <c r="AT736" s="7"/>
    </row>
    <row r="737">
      <c r="W737" s="41"/>
      <c r="X737" s="41"/>
      <c r="Y737" s="7"/>
      <c r="Z737" s="7"/>
      <c r="AA737" s="7"/>
      <c r="AB737" s="7"/>
      <c r="AC737" s="7"/>
      <c r="AD737" s="7"/>
      <c r="AE737" s="7"/>
      <c r="AF737" s="7"/>
      <c r="AG737" s="7"/>
      <c r="AH737" s="7"/>
      <c r="AI737" s="7"/>
      <c r="AJ737" s="7"/>
      <c r="AK737" s="7"/>
      <c r="AL737" s="7"/>
      <c r="AM737" s="7"/>
      <c r="AN737" s="7"/>
      <c r="AO737" s="7"/>
      <c r="AP737" s="7"/>
      <c r="AQ737" s="7"/>
      <c r="AR737" s="7"/>
      <c r="AS737" s="7"/>
      <c r="AT737" s="7"/>
    </row>
    <row r="738">
      <c r="W738" s="41"/>
      <c r="X738" s="41"/>
      <c r="Y738" s="7"/>
      <c r="Z738" s="7"/>
      <c r="AA738" s="7"/>
      <c r="AB738" s="7"/>
      <c r="AC738" s="7"/>
      <c r="AD738" s="7"/>
      <c r="AE738" s="7"/>
      <c r="AF738" s="7"/>
      <c r="AG738" s="7"/>
      <c r="AH738" s="7"/>
      <c r="AI738" s="7"/>
      <c r="AJ738" s="7"/>
      <c r="AK738" s="7"/>
      <c r="AL738" s="7"/>
      <c r="AM738" s="7"/>
      <c r="AN738" s="7"/>
      <c r="AO738" s="7"/>
      <c r="AP738" s="7"/>
      <c r="AQ738" s="7"/>
      <c r="AR738" s="7"/>
      <c r="AS738" s="7"/>
      <c r="AT738" s="7"/>
    </row>
    <row r="739">
      <c r="W739" s="41"/>
      <c r="X739" s="41"/>
      <c r="Y739" s="7"/>
      <c r="Z739" s="7"/>
      <c r="AA739" s="7"/>
      <c r="AB739" s="7"/>
      <c r="AC739" s="7"/>
      <c r="AD739" s="7"/>
      <c r="AE739" s="7"/>
      <c r="AF739" s="7"/>
      <c r="AG739" s="7"/>
      <c r="AH739" s="7"/>
      <c r="AI739" s="7"/>
      <c r="AJ739" s="7"/>
      <c r="AK739" s="7"/>
      <c r="AL739" s="7"/>
      <c r="AM739" s="7"/>
      <c r="AN739" s="7"/>
      <c r="AO739" s="7"/>
      <c r="AP739" s="7"/>
      <c r="AQ739" s="7"/>
      <c r="AR739" s="7"/>
      <c r="AS739" s="7"/>
      <c r="AT739" s="7"/>
    </row>
    <row r="740">
      <c r="W740" s="41"/>
      <c r="X740" s="41"/>
      <c r="Y740" s="7"/>
      <c r="Z740" s="7"/>
      <c r="AA740" s="7"/>
      <c r="AB740" s="7"/>
      <c r="AC740" s="7"/>
      <c r="AD740" s="7"/>
      <c r="AE740" s="7"/>
      <c r="AF740" s="7"/>
      <c r="AG740" s="7"/>
      <c r="AH740" s="7"/>
      <c r="AI740" s="7"/>
      <c r="AJ740" s="7"/>
      <c r="AK740" s="7"/>
      <c r="AL740" s="7"/>
      <c r="AM740" s="7"/>
      <c r="AN740" s="7"/>
      <c r="AO740" s="7"/>
      <c r="AP740" s="7"/>
      <c r="AQ740" s="7"/>
      <c r="AR740" s="7"/>
      <c r="AS740" s="7"/>
      <c r="AT740" s="7"/>
    </row>
    <row r="741">
      <c r="W741" s="41"/>
      <c r="X741" s="41"/>
      <c r="Y741" s="7"/>
      <c r="Z741" s="7"/>
      <c r="AA741" s="7"/>
      <c r="AB741" s="7"/>
      <c r="AC741" s="7"/>
      <c r="AD741" s="7"/>
      <c r="AE741" s="7"/>
      <c r="AF741" s="7"/>
      <c r="AG741" s="7"/>
      <c r="AH741" s="7"/>
      <c r="AI741" s="7"/>
      <c r="AJ741" s="7"/>
      <c r="AK741" s="7"/>
      <c r="AL741" s="7"/>
      <c r="AM741" s="7"/>
      <c r="AN741" s="7"/>
      <c r="AO741" s="7"/>
      <c r="AP741" s="7"/>
      <c r="AQ741" s="7"/>
      <c r="AR741" s="7"/>
      <c r="AS741" s="7"/>
      <c r="AT741" s="7"/>
    </row>
    <row r="742">
      <c r="W742" s="41"/>
      <c r="X742" s="41"/>
      <c r="Y742" s="7"/>
      <c r="Z742" s="7"/>
      <c r="AA742" s="7"/>
      <c r="AB742" s="7"/>
      <c r="AC742" s="7"/>
      <c r="AD742" s="7"/>
      <c r="AE742" s="7"/>
      <c r="AF742" s="7"/>
      <c r="AG742" s="7"/>
      <c r="AH742" s="7"/>
      <c r="AI742" s="7"/>
      <c r="AJ742" s="7"/>
      <c r="AK742" s="7"/>
      <c r="AL742" s="7"/>
      <c r="AM742" s="7"/>
      <c r="AN742" s="7"/>
      <c r="AO742" s="7"/>
      <c r="AP742" s="7"/>
      <c r="AQ742" s="7"/>
      <c r="AR742" s="7"/>
      <c r="AS742" s="7"/>
      <c r="AT742" s="7"/>
    </row>
    <row r="743">
      <c r="W743" s="41"/>
      <c r="X743" s="41"/>
      <c r="Y743" s="7"/>
      <c r="Z743" s="7"/>
      <c r="AA743" s="7"/>
      <c r="AB743" s="7"/>
      <c r="AC743" s="7"/>
      <c r="AD743" s="7"/>
      <c r="AE743" s="7"/>
      <c r="AF743" s="7"/>
      <c r="AG743" s="7"/>
      <c r="AH743" s="7"/>
      <c r="AI743" s="7"/>
      <c r="AJ743" s="7"/>
      <c r="AK743" s="7"/>
      <c r="AL743" s="7"/>
      <c r="AM743" s="7"/>
      <c r="AN743" s="7"/>
      <c r="AO743" s="7"/>
      <c r="AP743" s="7"/>
      <c r="AQ743" s="7"/>
      <c r="AR743" s="7"/>
      <c r="AS743" s="7"/>
      <c r="AT743" s="7"/>
    </row>
    <row r="744">
      <c r="W744" s="41"/>
      <c r="X744" s="41"/>
      <c r="Y744" s="7"/>
      <c r="Z744" s="7"/>
      <c r="AA744" s="7"/>
      <c r="AB744" s="7"/>
      <c r="AC744" s="7"/>
      <c r="AD744" s="7"/>
      <c r="AE744" s="7"/>
      <c r="AF744" s="7"/>
      <c r="AG744" s="7"/>
      <c r="AH744" s="7"/>
      <c r="AI744" s="7"/>
      <c r="AJ744" s="7"/>
      <c r="AK744" s="7"/>
      <c r="AL744" s="7"/>
      <c r="AM744" s="7"/>
      <c r="AN744" s="7"/>
      <c r="AO744" s="7"/>
      <c r="AP744" s="7"/>
      <c r="AQ744" s="7"/>
      <c r="AR744" s="7"/>
      <c r="AS744" s="7"/>
      <c r="AT744" s="7"/>
    </row>
    <row r="745">
      <c r="W745" s="41"/>
      <c r="X745" s="41"/>
      <c r="Y745" s="7"/>
      <c r="Z745" s="7"/>
      <c r="AA745" s="7"/>
      <c r="AB745" s="7"/>
      <c r="AC745" s="7"/>
      <c r="AD745" s="7"/>
      <c r="AE745" s="7"/>
      <c r="AF745" s="7"/>
      <c r="AG745" s="7"/>
      <c r="AH745" s="7"/>
      <c r="AI745" s="7"/>
      <c r="AJ745" s="7"/>
      <c r="AK745" s="7"/>
      <c r="AL745" s="7"/>
      <c r="AM745" s="7"/>
      <c r="AN745" s="7"/>
      <c r="AO745" s="7"/>
      <c r="AP745" s="7"/>
      <c r="AQ745" s="7"/>
      <c r="AR745" s="7"/>
      <c r="AS745" s="7"/>
      <c r="AT745" s="7"/>
    </row>
    <row r="746">
      <c r="W746" s="41"/>
      <c r="X746" s="41"/>
      <c r="Y746" s="7"/>
      <c r="Z746" s="7"/>
      <c r="AA746" s="7"/>
      <c r="AB746" s="7"/>
      <c r="AC746" s="7"/>
      <c r="AD746" s="7"/>
      <c r="AE746" s="7"/>
      <c r="AF746" s="7"/>
      <c r="AG746" s="7"/>
      <c r="AH746" s="7"/>
      <c r="AI746" s="7"/>
      <c r="AJ746" s="7"/>
      <c r="AK746" s="7"/>
      <c r="AL746" s="7"/>
      <c r="AM746" s="7"/>
      <c r="AN746" s="7"/>
      <c r="AO746" s="7"/>
      <c r="AP746" s="7"/>
      <c r="AQ746" s="7"/>
      <c r="AR746" s="7"/>
      <c r="AS746" s="7"/>
      <c r="AT746" s="7"/>
    </row>
    <row r="747">
      <c r="W747" s="41"/>
      <c r="X747" s="41"/>
      <c r="Y747" s="7"/>
      <c r="Z747" s="7"/>
      <c r="AA747" s="7"/>
      <c r="AB747" s="7"/>
      <c r="AC747" s="7"/>
      <c r="AD747" s="7"/>
      <c r="AE747" s="7"/>
      <c r="AF747" s="7"/>
      <c r="AG747" s="7"/>
      <c r="AH747" s="7"/>
      <c r="AI747" s="7"/>
      <c r="AJ747" s="7"/>
      <c r="AK747" s="7"/>
      <c r="AL747" s="7"/>
      <c r="AM747" s="7"/>
      <c r="AN747" s="7"/>
      <c r="AO747" s="7"/>
      <c r="AP747" s="7"/>
      <c r="AQ747" s="7"/>
      <c r="AR747" s="7"/>
      <c r="AS747" s="7"/>
      <c r="AT747" s="7"/>
    </row>
    <row r="748">
      <c r="W748" s="41"/>
      <c r="X748" s="41"/>
      <c r="Y748" s="7"/>
      <c r="Z748" s="7"/>
      <c r="AA748" s="7"/>
      <c r="AB748" s="7"/>
      <c r="AC748" s="7"/>
      <c r="AD748" s="7"/>
      <c r="AE748" s="7"/>
      <c r="AF748" s="7"/>
      <c r="AG748" s="7"/>
      <c r="AH748" s="7"/>
      <c r="AI748" s="7"/>
      <c r="AJ748" s="7"/>
      <c r="AK748" s="7"/>
      <c r="AL748" s="7"/>
      <c r="AM748" s="7"/>
      <c r="AN748" s="7"/>
      <c r="AO748" s="7"/>
      <c r="AP748" s="7"/>
      <c r="AQ748" s="7"/>
      <c r="AR748" s="7"/>
      <c r="AS748" s="7"/>
      <c r="AT748" s="7"/>
    </row>
    <row r="749">
      <c r="W749" s="41"/>
      <c r="X749" s="41"/>
      <c r="Y749" s="7"/>
      <c r="Z749" s="7"/>
      <c r="AA749" s="7"/>
      <c r="AB749" s="7"/>
      <c r="AC749" s="7"/>
      <c r="AD749" s="7"/>
      <c r="AE749" s="7"/>
      <c r="AF749" s="7"/>
      <c r="AG749" s="7"/>
      <c r="AH749" s="7"/>
      <c r="AI749" s="7"/>
      <c r="AJ749" s="7"/>
      <c r="AK749" s="7"/>
      <c r="AL749" s="7"/>
      <c r="AM749" s="7"/>
      <c r="AN749" s="7"/>
      <c r="AO749" s="7"/>
      <c r="AP749" s="7"/>
      <c r="AQ749" s="7"/>
      <c r="AR749" s="7"/>
      <c r="AS749" s="7"/>
      <c r="AT749" s="7"/>
    </row>
    <row r="750">
      <c r="W750" s="41"/>
      <c r="X750" s="41"/>
      <c r="Y750" s="7"/>
      <c r="Z750" s="7"/>
      <c r="AA750" s="7"/>
      <c r="AB750" s="7"/>
      <c r="AC750" s="7"/>
      <c r="AD750" s="7"/>
      <c r="AE750" s="7"/>
      <c r="AF750" s="7"/>
      <c r="AG750" s="7"/>
      <c r="AH750" s="7"/>
      <c r="AI750" s="7"/>
      <c r="AJ750" s="7"/>
      <c r="AK750" s="7"/>
      <c r="AL750" s="7"/>
      <c r="AM750" s="7"/>
      <c r="AN750" s="7"/>
      <c r="AO750" s="7"/>
      <c r="AP750" s="7"/>
      <c r="AQ750" s="7"/>
      <c r="AR750" s="7"/>
      <c r="AS750" s="7"/>
      <c r="AT750" s="7"/>
    </row>
    <row r="751">
      <c r="W751" s="41"/>
      <c r="X751" s="41"/>
      <c r="Y751" s="7"/>
      <c r="Z751" s="7"/>
      <c r="AA751" s="7"/>
      <c r="AB751" s="7"/>
      <c r="AC751" s="7"/>
      <c r="AD751" s="7"/>
      <c r="AE751" s="7"/>
      <c r="AF751" s="7"/>
      <c r="AG751" s="7"/>
      <c r="AH751" s="7"/>
      <c r="AI751" s="7"/>
      <c r="AJ751" s="7"/>
      <c r="AK751" s="7"/>
      <c r="AL751" s="7"/>
      <c r="AM751" s="7"/>
      <c r="AN751" s="7"/>
      <c r="AO751" s="7"/>
      <c r="AP751" s="7"/>
      <c r="AQ751" s="7"/>
      <c r="AR751" s="7"/>
      <c r="AS751" s="7"/>
      <c r="AT751" s="7"/>
    </row>
    <row r="752">
      <c r="W752" s="41"/>
      <c r="X752" s="41"/>
      <c r="Y752" s="7"/>
      <c r="Z752" s="7"/>
      <c r="AA752" s="7"/>
      <c r="AB752" s="7"/>
      <c r="AC752" s="7"/>
      <c r="AD752" s="7"/>
      <c r="AE752" s="7"/>
      <c r="AF752" s="7"/>
      <c r="AG752" s="7"/>
      <c r="AH752" s="7"/>
      <c r="AI752" s="7"/>
      <c r="AJ752" s="7"/>
      <c r="AK752" s="7"/>
      <c r="AL752" s="7"/>
      <c r="AM752" s="7"/>
      <c r="AN752" s="7"/>
      <c r="AO752" s="7"/>
      <c r="AP752" s="7"/>
      <c r="AQ752" s="7"/>
      <c r="AR752" s="7"/>
      <c r="AS752" s="7"/>
      <c r="AT752" s="7"/>
    </row>
    <row r="753">
      <c r="W753" s="41"/>
      <c r="X753" s="41"/>
      <c r="Y753" s="7"/>
      <c r="Z753" s="7"/>
      <c r="AA753" s="7"/>
      <c r="AB753" s="7"/>
      <c r="AC753" s="7"/>
      <c r="AD753" s="7"/>
      <c r="AE753" s="7"/>
      <c r="AF753" s="7"/>
      <c r="AG753" s="7"/>
      <c r="AH753" s="7"/>
      <c r="AI753" s="7"/>
      <c r="AJ753" s="7"/>
      <c r="AK753" s="7"/>
      <c r="AL753" s="7"/>
      <c r="AM753" s="7"/>
      <c r="AN753" s="7"/>
      <c r="AO753" s="7"/>
      <c r="AP753" s="7"/>
      <c r="AQ753" s="7"/>
      <c r="AR753" s="7"/>
      <c r="AS753" s="7"/>
      <c r="AT753" s="7"/>
    </row>
    <row r="754">
      <c r="W754" s="41"/>
      <c r="X754" s="41"/>
      <c r="Y754" s="7"/>
      <c r="Z754" s="7"/>
      <c r="AA754" s="7"/>
      <c r="AB754" s="7"/>
      <c r="AC754" s="7"/>
      <c r="AD754" s="7"/>
      <c r="AE754" s="7"/>
      <c r="AF754" s="7"/>
      <c r="AG754" s="7"/>
      <c r="AH754" s="7"/>
      <c r="AI754" s="7"/>
      <c r="AJ754" s="7"/>
      <c r="AK754" s="7"/>
      <c r="AL754" s="7"/>
      <c r="AM754" s="7"/>
      <c r="AN754" s="7"/>
      <c r="AO754" s="7"/>
      <c r="AP754" s="7"/>
      <c r="AQ754" s="7"/>
      <c r="AR754" s="7"/>
      <c r="AS754" s="7"/>
      <c r="AT754" s="7"/>
    </row>
    <row r="755">
      <c r="W755" s="41"/>
      <c r="X755" s="41"/>
      <c r="Y755" s="7"/>
      <c r="Z755" s="7"/>
      <c r="AA755" s="7"/>
      <c r="AB755" s="7"/>
      <c r="AC755" s="7"/>
      <c r="AD755" s="7"/>
      <c r="AE755" s="7"/>
      <c r="AF755" s="7"/>
      <c r="AG755" s="7"/>
      <c r="AH755" s="7"/>
      <c r="AI755" s="7"/>
      <c r="AJ755" s="7"/>
      <c r="AK755" s="7"/>
      <c r="AL755" s="7"/>
      <c r="AM755" s="7"/>
      <c r="AN755" s="7"/>
      <c r="AO755" s="7"/>
      <c r="AP755" s="7"/>
      <c r="AQ755" s="7"/>
      <c r="AR755" s="7"/>
      <c r="AS755" s="7"/>
      <c r="AT755" s="7"/>
    </row>
    <row r="756">
      <c r="W756" s="41"/>
      <c r="X756" s="41"/>
      <c r="Y756" s="7"/>
      <c r="Z756" s="7"/>
      <c r="AA756" s="7"/>
      <c r="AB756" s="7"/>
      <c r="AC756" s="7"/>
      <c r="AD756" s="7"/>
      <c r="AE756" s="7"/>
      <c r="AF756" s="7"/>
      <c r="AG756" s="7"/>
      <c r="AH756" s="7"/>
      <c r="AI756" s="7"/>
      <c r="AJ756" s="7"/>
      <c r="AK756" s="7"/>
      <c r="AL756" s="7"/>
      <c r="AM756" s="7"/>
      <c r="AN756" s="7"/>
      <c r="AO756" s="7"/>
      <c r="AP756" s="7"/>
      <c r="AQ756" s="7"/>
      <c r="AR756" s="7"/>
      <c r="AS756" s="7"/>
      <c r="AT756" s="7"/>
    </row>
    <row r="757">
      <c r="W757" s="41"/>
      <c r="X757" s="41"/>
      <c r="Y757" s="7"/>
      <c r="Z757" s="7"/>
      <c r="AA757" s="7"/>
      <c r="AB757" s="7"/>
      <c r="AC757" s="7"/>
      <c r="AD757" s="7"/>
      <c r="AE757" s="7"/>
      <c r="AF757" s="7"/>
      <c r="AG757" s="7"/>
      <c r="AH757" s="7"/>
      <c r="AI757" s="7"/>
      <c r="AJ757" s="7"/>
      <c r="AK757" s="7"/>
      <c r="AL757" s="7"/>
      <c r="AM757" s="7"/>
      <c r="AN757" s="7"/>
      <c r="AO757" s="7"/>
      <c r="AP757" s="7"/>
      <c r="AQ757" s="7"/>
      <c r="AR757" s="7"/>
      <c r="AS757" s="7"/>
      <c r="AT757" s="7"/>
    </row>
    <row r="758">
      <c r="W758" s="41"/>
      <c r="X758" s="41"/>
      <c r="Y758" s="7"/>
      <c r="Z758" s="7"/>
      <c r="AA758" s="7"/>
      <c r="AB758" s="7"/>
      <c r="AC758" s="7"/>
      <c r="AD758" s="7"/>
      <c r="AE758" s="7"/>
      <c r="AF758" s="7"/>
      <c r="AG758" s="7"/>
      <c r="AH758" s="7"/>
      <c r="AI758" s="7"/>
      <c r="AJ758" s="7"/>
      <c r="AK758" s="7"/>
      <c r="AL758" s="7"/>
      <c r="AM758" s="7"/>
      <c r="AN758" s="7"/>
      <c r="AO758" s="7"/>
      <c r="AP758" s="7"/>
      <c r="AQ758" s="7"/>
      <c r="AR758" s="7"/>
      <c r="AS758" s="7"/>
      <c r="AT758" s="7"/>
    </row>
    <row r="759">
      <c r="W759" s="41"/>
      <c r="X759" s="41"/>
      <c r="Y759" s="7"/>
      <c r="Z759" s="7"/>
      <c r="AA759" s="7"/>
      <c r="AB759" s="7"/>
      <c r="AC759" s="7"/>
      <c r="AD759" s="7"/>
      <c r="AE759" s="7"/>
      <c r="AF759" s="7"/>
      <c r="AG759" s="7"/>
      <c r="AH759" s="7"/>
      <c r="AI759" s="7"/>
      <c r="AJ759" s="7"/>
      <c r="AK759" s="7"/>
      <c r="AL759" s="7"/>
      <c r="AM759" s="7"/>
      <c r="AN759" s="7"/>
      <c r="AO759" s="7"/>
      <c r="AP759" s="7"/>
      <c r="AQ759" s="7"/>
      <c r="AR759" s="7"/>
      <c r="AS759" s="7"/>
      <c r="AT759" s="7"/>
    </row>
    <row r="760">
      <c r="W760" s="41"/>
      <c r="X760" s="41"/>
      <c r="Y760" s="7"/>
      <c r="Z760" s="7"/>
      <c r="AA760" s="7"/>
      <c r="AB760" s="7"/>
      <c r="AC760" s="7"/>
      <c r="AD760" s="7"/>
      <c r="AE760" s="7"/>
      <c r="AF760" s="7"/>
      <c r="AG760" s="7"/>
      <c r="AH760" s="7"/>
      <c r="AI760" s="7"/>
      <c r="AJ760" s="7"/>
      <c r="AK760" s="7"/>
      <c r="AL760" s="7"/>
      <c r="AM760" s="7"/>
      <c r="AN760" s="7"/>
      <c r="AO760" s="7"/>
      <c r="AP760" s="7"/>
      <c r="AQ760" s="7"/>
      <c r="AR760" s="7"/>
      <c r="AS760" s="7"/>
      <c r="AT760" s="7"/>
    </row>
    <row r="761">
      <c r="W761" s="41"/>
      <c r="X761" s="41"/>
      <c r="Y761" s="7"/>
      <c r="Z761" s="7"/>
      <c r="AA761" s="7"/>
      <c r="AB761" s="7"/>
      <c r="AC761" s="7"/>
      <c r="AD761" s="7"/>
      <c r="AE761" s="7"/>
      <c r="AF761" s="7"/>
      <c r="AG761" s="7"/>
      <c r="AH761" s="7"/>
      <c r="AI761" s="7"/>
      <c r="AJ761" s="7"/>
      <c r="AK761" s="7"/>
      <c r="AL761" s="7"/>
      <c r="AM761" s="7"/>
      <c r="AN761" s="7"/>
      <c r="AO761" s="7"/>
      <c r="AP761" s="7"/>
      <c r="AQ761" s="7"/>
      <c r="AR761" s="7"/>
      <c r="AS761" s="7"/>
      <c r="AT761" s="7"/>
    </row>
    <row r="762">
      <c r="W762" s="41"/>
      <c r="X762" s="41"/>
      <c r="Y762" s="7"/>
      <c r="Z762" s="7"/>
      <c r="AA762" s="7"/>
      <c r="AB762" s="7"/>
      <c r="AC762" s="7"/>
      <c r="AD762" s="7"/>
      <c r="AE762" s="7"/>
      <c r="AF762" s="7"/>
      <c r="AG762" s="7"/>
      <c r="AH762" s="7"/>
      <c r="AI762" s="7"/>
      <c r="AJ762" s="7"/>
      <c r="AK762" s="7"/>
      <c r="AL762" s="7"/>
      <c r="AM762" s="7"/>
      <c r="AN762" s="7"/>
      <c r="AO762" s="7"/>
      <c r="AP762" s="7"/>
      <c r="AQ762" s="7"/>
      <c r="AR762" s="7"/>
      <c r="AS762" s="7"/>
      <c r="AT762" s="7"/>
    </row>
    <row r="763">
      <c r="W763" s="41"/>
      <c r="X763" s="41"/>
      <c r="Y763" s="7"/>
      <c r="Z763" s="7"/>
      <c r="AA763" s="7"/>
      <c r="AB763" s="7"/>
      <c r="AC763" s="7"/>
      <c r="AD763" s="7"/>
      <c r="AE763" s="7"/>
      <c r="AF763" s="7"/>
      <c r="AG763" s="7"/>
      <c r="AH763" s="7"/>
      <c r="AI763" s="7"/>
      <c r="AJ763" s="7"/>
      <c r="AK763" s="7"/>
      <c r="AL763" s="7"/>
      <c r="AM763" s="7"/>
      <c r="AN763" s="7"/>
      <c r="AO763" s="7"/>
      <c r="AP763" s="7"/>
      <c r="AQ763" s="7"/>
      <c r="AR763" s="7"/>
      <c r="AS763" s="7"/>
      <c r="AT763" s="7"/>
    </row>
    <row r="764">
      <c r="W764" s="41"/>
      <c r="X764" s="41"/>
      <c r="Y764" s="7"/>
      <c r="Z764" s="7"/>
      <c r="AA764" s="7"/>
      <c r="AB764" s="7"/>
      <c r="AC764" s="7"/>
      <c r="AD764" s="7"/>
      <c r="AE764" s="7"/>
      <c r="AF764" s="7"/>
      <c r="AG764" s="7"/>
      <c r="AH764" s="7"/>
      <c r="AI764" s="7"/>
      <c r="AJ764" s="7"/>
      <c r="AK764" s="7"/>
      <c r="AL764" s="7"/>
      <c r="AM764" s="7"/>
      <c r="AN764" s="7"/>
      <c r="AO764" s="7"/>
      <c r="AP764" s="7"/>
      <c r="AQ764" s="7"/>
      <c r="AR764" s="7"/>
      <c r="AS764" s="7"/>
      <c r="AT764" s="7"/>
    </row>
    <row r="765">
      <c r="W765" s="41"/>
      <c r="X765" s="41"/>
      <c r="Y765" s="7"/>
      <c r="Z765" s="7"/>
      <c r="AA765" s="7"/>
      <c r="AB765" s="7"/>
      <c r="AC765" s="7"/>
      <c r="AD765" s="7"/>
      <c r="AE765" s="7"/>
      <c r="AF765" s="7"/>
      <c r="AG765" s="7"/>
      <c r="AH765" s="7"/>
      <c r="AI765" s="7"/>
      <c r="AJ765" s="7"/>
      <c r="AK765" s="7"/>
      <c r="AL765" s="7"/>
      <c r="AM765" s="7"/>
      <c r="AN765" s="7"/>
      <c r="AO765" s="7"/>
      <c r="AP765" s="7"/>
      <c r="AQ765" s="7"/>
      <c r="AR765" s="7"/>
      <c r="AS765" s="7"/>
      <c r="AT765" s="7"/>
    </row>
    <row r="766">
      <c r="W766" s="41"/>
      <c r="X766" s="41"/>
      <c r="Y766" s="7"/>
      <c r="Z766" s="7"/>
      <c r="AA766" s="7"/>
      <c r="AB766" s="7"/>
      <c r="AC766" s="7"/>
      <c r="AD766" s="7"/>
      <c r="AE766" s="7"/>
      <c r="AF766" s="7"/>
      <c r="AG766" s="7"/>
      <c r="AH766" s="7"/>
      <c r="AI766" s="7"/>
      <c r="AJ766" s="7"/>
      <c r="AK766" s="7"/>
      <c r="AL766" s="7"/>
      <c r="AM766" s="7"/>
      <c r="AN766" s="7"/>
      <c r="AO766" s="7"/>
      <c r="AP766" s="7"/>
      <c r="AQ766" s="7"/>
      <c r="AR766" s="7"/>
      <c r="AS766" s="7"/>
      <c r="AT766" s="7"/>
    </row>
    <row r="767">
      <c r="W767" s="41"/>
      <c r="X767" s="41"/>
      <c r="Y767" s="7"/>
      <c r="Z767" s="7"/>
      <c r="AA767" s="7"/>
      <c r="AB767" s="7"/>
      <c r="AC767" s="7"/>
      <c r="AD767" s="7"/>
      <c r="AE767" s="7"/>
      <c r="AF767" s="7"/>
      <c r="AG767" s="7"/>
      <c r="AH767" s="7"/>
      <c r="AI767" s="7"/>
      <c r="AJ767" s="7"/>
      <c r="AK767" s="7"/>
      <c r="AL767" s="7"/>
      <c r="AM767" s="7"/>
      <c r="AN767" s="7"/>
      <c r="AO767" s="7"/>
      <c r="AP767" s="7"/>
      <c r="AQ767" s="7"/>
      <c r="AR767" s="7"/>
      <c r="AS767" s="7"/>
      <c r="AT767" s="7"/>
    </row>
    <row r="768">
      <c r="W768" s="41"/>
      <c r="X768" s="41"/>
      <c r="Y768" s="7"/>
      <c r="Z768" s="7"/>
      <c r="AA768" s="7"/>
      <c r="AB768" s="7"/>
      <c r="AC768" s="7"/>
      <c r="AD768" s="7"/>
      <c r="AE768" s="7"/>
      <c r="AF768" s="7"/>
      <c r="AG768" s="7"/>
      <c r="AH768" s="7"/>
      <c r="AI768" s="7"/>
      <c r="AJ768" s="7"/>
      <c r="AK768" s="7"/>
      <c r="AL768" s="7"/>
      <c r="AM768" s="7"/>
      <c r="AN768" s="7"/>
      <c r="AO768" s="7"/>
      <c r="AP768" s="7"/>
      <c r="AQ768" s="7"/>
      <c r="AR768" s="7"/>
      <c r="AS768" s="7"/>
      <c r="AT768" s="7"/>
    </row>
    <row r="769">
      <c r="W769" s="41"/>
      <c r="X769" s="41"/>
      <c r="Y769" s="7"/>
      <c r="Z769" s="7"/>
      <c r="AA769" s="7"/>
      <c r="AB769" s="7"/>
      <c r="AC769" s="7"/>
      <c r="AD769" s="7"/>
      <c r="AE769" s="7"/>
      <c r="AF769" s="7"/>
      <c r="AG769" s="7"/>
      <c r="AH769" s="7"/>
      <c r="AI769" s="7"/>
      <c r="AJ769" s="7"/>
      <c r="AK769" s="7"/>
      <c r="AL769" s="7"/>
      <c r="AM769" s="7"/>
      <c r="AN769" s="7"/>
      <c r="AO769" s="7"/>
      <c r="AP769" s="7"/>
      <c r="AQ769" s="7"/>
      <c r="AR769" s="7"/>
      <c r="AS769" s="7"/>
      <c r="AT769" s="7"/>
    </row>
    <row r="770">
      <c r="W770" s="41"/>
      <c r="X770" s="41"/>
      <c r="Y770" s="7"/>
      <c r="Z770" s="7"/>
      <c r="AA770" s="7"/>
      <c r="AB770" s="7"/>
      <c r="AC770" s="7"/>
      <c r="AD770" s="7"/>
      <c r="AE770" s="7"/>
      <c r="AF770" s="7"/>
      <c r="AG770" s="7"/>
      <c r="AH770" s="7"/>
      <c r="AI770" s="7"/>
      <c r="AJ770" s="7"/>
      <c r="AK770" s="7"/>
      <c r="AL770" s="7"/>
      <c r="AM770" s="7"/>
      <c r="AN770" s="7"/>
      <c r="AO770" s="7"/>
      <c r="AP770" s="7"/>
      <c r="AQ770" s="7"/>
      <c r="AR770" s="7"/>
      <c r="AS770" s="7"/>
      <c r="AT770" s="7"/>
    </row>
    <row r="771">
      <c r="W771" s="41"/>
      <c r="X771" s="41"/>
      <c r="Y771" s="7"/>
      <c r="Z771" s="7"/>
      <c r="AA771" s="7"/>
      <c r="AB771" s="7"/>
      <c r="AC771" s="7"/>
      <c r="AD771" s="7"/>
      <c r="AE771" s="7"/>
      <c r="AF771" s="7"/>
      <c r="AG771" s="7"/>
      <c r="AH771" s="7"/>
      <c r="AI771" s="7"/>
      <c r="AJ771" s="7"/>
      <c r="AK771" s="7"/>
      <c r="AL771" s="7"/>
      <c r="AM771" s="7"/>
      <c r="AN771" s="7"/>
      <c r="AO771" s="7"/>
      <c r="AP771" s="7"/>
      <c r="AQ771" s="7"/>
      <c r="AR771" s="7"/>
      <c r="AS771" s="7"/>
      <c r="AT771" s="7"/>
    </row>
    <row r="772">
      <c r="W772" s="41"/>
      <c r="X772" s="41"/>
      <c r="Y772" s="7"/>
      <c r="Z772" s="7"/>
      <c r="AA772" s="7"/>
      <c r="AB772" s="7"/>
      <c r="AC772" s="7"/>
      <c r="AD772" s="7"/>
      <c r="AE772" s="7"/>
      <c r="AF772" s="7"/>
      <c r="AG772" s="7"/>
      <c r="AH772" s="7"/>
      <c r="AI772" s="7"/>
      <c r="AJ772" s="7"/>
      <c r="AK772" s="7"/>
      <c r="AL772" s="7"/>
      <c r="AM772" s="7"/>
      <c r="AN772" s="7"/>
      <c r="AO772" s="7"/>
      <c r="AP772" s="7"/>
      <c r="AQ772" s="7"/>
      <c r="AR772" s="7"/>
      <c r="AS772" s="7"/>
      <c r="AT772" s="7"/>
    </row>
    <row r="773">
      <c r="W773" s="41"/>
      <c r="X773" s="41"/>
      <c r="Y773" s="7"/>
      <c r="Z773" s="7"/>
      <c r="AA773" s="7"/>
      <c r="AB773" s="7"/>
      <c r="AC773" s="7"/>
      <c r="AD773" s="7"/>
      <c r="AE773" s="7"/>
      <c r="AF773" s="7"/>
      <c r="AG773" s="7"/>
      <c r="AH773" s="7"/>
      <c r="AI773" s="7"/>
      <c r="AJ773" s="7"/>
      <c r="AK773" s="7"/>
      <c r="AL773" s="7"/>
      <c r="AM773" s="7"/>
      <c r="AN773" s="7"/>
      <c r="AO773" s="7"/>
      <c r="AP773" s="7"/>
      <c r="AQ773" s="7"/>
      <c r="AR773" s="7"/>
      <c r="AS773" s="7"/>
      <c r="AT773" s="7"/>
    </row>
    <row r="774">
      <c r="W774" s="41"/>
      <c r="X774" s="41"/>
      <c r="Y774" s="7"/>
      <c r="Z774" s="7"/>
      <c r="AA774" s="7"/>
      <c r="AB774" s="7"/>
      <c r="AC774" s="7"/>
      <c r="AD774" s="7"/>
      <c r="AE774" s="7"/>
      <c r="AF774" s="7"/>
      <c r="AG774" s="7"/>
      <c r="AH774" s="7"/>
      <c r="AI774" s="7"/>
      <c r="AJ774" s="7"/>
      <c r="AK774" s="7"/>
      <c r="AL774" s="7"/>
      <c r="AM774" s="7"/>
      <c r="AN774" s="7"/>
      <c r="AO774" s="7"/>
      <c r="AP774" s="7"/>
      <c r="AQ774" s="7"/>
      <c r="AR774" s="7"/>
      <c r="AS774" s="7"/>
      <c r="AT774" s="7"/>
    </row>
    <row r="775">
      <c r="W775" s="41"/>
      <c r="X775" s="41"/>
      <c r="Y775" s="7"/>
      <c r="Z775" s="7"/>
      <c r="AA775" s="7"/>
      <c r="AB775" s="7"/>
      <c r="AC775" s="7"/>
      <c r="AD775" s="7"/>
      <c r="AE775" s="7"/>
      <c r="AF775" s="7"/>
      <c r="AG775" s="7"/>
      <c r="AH775" s="7"/>
      <c r="AI775" s="7"/>
      <c r="AJ775" s="7"/>
      <c r="AK775" s="7"/>
      <c r="AL775" s="7"/>
      <c r="AM775" s="7"/>
      <c r="AN775" s="7"/>
      <c r="AO775" s="7"/>
      <c r="AP775" s="7"/>
      <c r="AQ775" s="7"/>
      <c r="AR775" s="7"/>
      <c r="AS775" s="7"/>
      <c r="AT775" s="7"/>
    </row>
    <row r="776">
      <c r="W776" s="41"/>
      <c r="X776" s="41"/>
      <c r="Y776" s="7"/>
      <c r="Z776" s="7"/>
      <c r="AA776" s="7"/>
      <c r="AB776" s="7"/>
      <c r="AC776" s="7"/>
      <c r="AD776" s="7"/>
      <c r="AE776" s="7"/>
      <c r="AF776" s="7"/>
      <c r="AG776" s="7"/>
      <c r="AH776" s="7"/>
      <c r="AI776" s="7"/>
      <c r="AJ776" s="7"/>
      <c r="AK776" s="7"/>
      <c r="AL776" s="7"/>
      <c r="AM776" s="7"/>
      <c r="AN776" s="7"/>
      <c r="AO776" s="7"/>
      <c r="AP776" s="7"/>
      <c r="AQ776" s="7"/>
      <c r="AR776" s="7"/>
      <c r="AS776" s="7"/>
      <c r="AT776" s="7"/>
    </row>
    <row r="777">
      <c r="W777" s="41"/>
      <c r="X777" s="41"/>
      <c r="Y777" s="7"/>
      <c r="Z777" s="7"/>
      <c r="AA777" s="7"/>
      <c r="AB777" s="7"/>
      <c r="AC777" s="7"/>
      <c r="AD777" s="7"/>
      <c r="AE777" s="7"/>
      <c r="AF777" s="7"/>
      <c r="AG777" s="7"/>
      <c r="AH777" s="7"/>
      <c r="AI777" s="7"/>
      <c r="AJ777" s="7"/>
      <c r="AK777" s="7"/>
      <c r="AL777" s="7"/>
      <c r="AM777" s="7"/>
      <c r="AN777" s="7"/>
      <c r="AO777" s="7"/>
      <c r="AP777" s="7"/>
      <c r="AQ777" s="7"/>
      <c r="AR777" s="7"/>
      <c r="AS777" s="7"/>
      <c r="AT777" s="7"/>
    </row>
    <row r="778">
      <c r="W778" s="41"/>
      <c r="X778" s="41"/>
      <c r="Y778" s="7"/>
      <c r="Z778" s="7"/>
      <c r="AA778" s="7"/>
      <c r="AB778" s="7"/>
      <c r="AC778" s="7"/>
      <c r="AD778" s="7"/>
      <c r="AE778" s="7"/>
      <c r="AF778" s="7"/>
      <c r="AG778" s="7"/>
      <c r="AH778" s="7"/>
      <c r="AI778" s="7"/>
      <c r="AJ778" s="7"/>
      <c r="AK778" s="7"/>
      <c r="AL778" s="7"/>
      <c r="AM778" s="7"/>
      <c r="AN778" s="7"/>
      <c r="AO778" s="7"/>
      <c r="AP778" s="7"/>
      <c r="AQ778" s="7"/>
      <c r="AR778" s="7"/>
      <c r="AS778" s="7"/>
      <c r="AT778" s="7"/>
    </row>
    <row r="779">
      <c r="W779" s="41"/>
      <c r="X779" s="41"/>
      <c r="Y779" s="7"/>
      <c r="Z779" s="7"/>
      <c r="AA779" s="7"/>
      <c r="AB779" s="7"/>
      <c r="AC779" s="7"/>
      <c r="AD779" s="7"/>
      <c r="AE779" s="7"/>
      <c r="AF779" s="7"/>
      <c r="AG779" s="7"/>
      <c r="AH779" s="7"/>
      <c r="AI779" s="7"/>
      <c r="AJ779" s="7"/>
      <c r="AK779" s="7"/>
      <c r="AL779" s="7"/>
      <c r="AM779" s="7"/>
      <c r="AN779" s="7"/>
      <c r="AO779" s="7"/>
      <c r="AP779" s="7"/>
      <c r="AQ779" s="7"/>
      <c r="AR779" s="7"/>
      <c r="AS779" s="7"/>
      <c r="AT779" s="7"/>
    </row>
    <row r="780">
      <c r="W780" s="41"/>
      <c r="X780" s="41"/>
      <c r="Y780" s="7"/>
      <c r="Z780" s="7"/>
      <c r="AA780" s="7"/>
      <c r="AB780" s="7"/>
      <c r="AC780" s="7"/>
      <c r="AD780" s="7"/>
      <c r="AE780" s="7"/>
      <c r="AF780" s="7"/>
      <c r="AG780" s="7"/>
      <c r="AH780" s="7"/>
      <c r="AI780" s="7"/>
      <c r="AJ780" s="7"/>
      <c r="AK780" s="7"/>
      <c r="AL780" s="7"/>
      <c r="AM780" s="7"/>
      <c r="AN780" s="7"/>
      <c r="AO780" s="7"/>
      <c r="AP780" s="7"/>
      <c r="AQ780" s="7"/>
      <c r="AR780" s="7"/>
      <c r="AS780" s="7"/>
      <c r="AT780" s="7"/>
    </row>
    <row r="781">
      <c r="W781" s="41"/>
      <c r="X781" s="41"/>
      <c r="Y781" s="7"/>
      <c r="Z781" s="7"/>
      <c r="AA781" s="7"/>
      <c r="AB781" s="7"/>
      <c r="AC781" s="7"/>
      <c r="AD781" s="7"/>
      <c r="AE781" s="7"/>
      <c r="AF781" s="7"/>
      <c r="AG781" s="7"/>
      <c r="AH781" s="7"/>
      <c r="AI781" s="7"/>
      <c r="AJ781" s="7"/>
      <c r="AK781" s="7"/>
      <c r="AL781" s="7"/>
      <c r="AM781" s="7"/>
      <c r="AN781" s="7"/>
      <c r="AO781" s="7"/>
      <c r="AP781" s="7"/>
      <c r="AQ781" s="7"/>
      <c r="AR781" s="7"/>
      <c r="AS781" s="7"/>
      <c r="AT781" s="7"/>
    </row>
    <row r="782">
      <c r="W782" s="41"/>
      <c r="X782" s="41"/>
      <c r="Y782" s="7"/>
      <c r="Z782" s="7"/>
      <c r="AA782" s="7"/>
      <c r="AB782" s="7"/>
      <c r="AC782" s="7"/>
      <c r="AD782" s="7"/>
      <c r="AE782" s="7"/>
      <c r="AF782" s="7"/>
      <c r="AG782" s="7"/>
      <c r="AH782" s="7"/>
      <c r="AI782" s="7"/>
      <c r="AJ782" s="7"/>
      <c r="AK782" s="7"/>
      <c r="AL782" s="7"/>
      <c r="AM782" s="7"/>
      <c r="AN782" s="7"/>
      <c r="AO782" s="7"/>
      <c r="AP782" s="7"/>
      <c r="AQ782" s="7"/>
      <c r="AR782" s="7"/>
      <c r="AS782" s="7"/>
      <c r="AT782" s="7"/>
    </row>
    <row r="783">
      <c r="W783" s="41"/>
      <c r="X783" s="41"/>
      <c r="Y783" s="7"/>
      <c r="Z783" s="7"/>
      <c r="AA783" s="7"/>
      <c r="AB783" s="7"/>
      <c r="AC783" s="7"/>
      <c r="AD783" s="7"/>
      <c r="AE783" s="7"/>
      <c r="AF783" s="7"/>
      <c r="AG783" s="7"/>
      <c r="AH783" s="7"/>
      <c r="AI783" s="7"/>
      <c r="AJ783" s="7"/>
      <c r="AK783" s="7"/>
      <c r="AL783" s="7"/>
      <c r="AM783" s="7"/>
      <c r="AN783" s="7"/>
      <c r="AO783" s="7"/>
      <c r="AP783" s="7"/>
      <c r="AQ783" s="7"/>
      <c r="AR783" s="7"/>
      <c r="AS783" s="7"/>
      <c r="AT783" s="7"/>
    </row>
    <row r="784">
      <c r="W784" s="41"/>
      <c r="X784" s="41"/>
      <c r="Y784" s="7"/>
      <c r="Z784" s="7"/>
      <c r="AA784" s="7"/>
      <c r="AB784" s="7"/>
      <c r="AC784" s="7"/>
      <c r="AD784" s="7"/>
      <c r="AE784" s="7"/>
      <c r="AF784" s="7"/>
      <c r="AG784" s="7"/>
      <c r="AH784" s="7"/>
      <c r="AI784" s="7"/>
      <c r="AJ784" s="7"/>
      <c r="AK784" s="7"/>
      <c r="AL784" s="7"/>
      <c r="AM784" s="7"/>
      <c r="AN784" s="7"/>
      <c r="AO784" s="7"/>
      <c r="AP784" s="7"/>
      <c r="AQ784" s="7"/>
      <c r="AR784" s="7"/>
      <c r="AS784" s="7"/>
      <c r="AT784" s="7"/>
    </row>
    <row r="785">
      <c r="W785" s="41"/>
      <c r="X785" s="41"/>
      <c r="Y785" s="7"/>
      <c r="Z785" s="7"/>
      <c r="AA785" s="7"/>
      <c r="AB785" s="7"/>
      <c r="AC785" s="7"/>
      <c r="AD785" s="7"/>
      <c r="AE785" s="7"/>
      <c r="AF785" s="7"/>
      <c r="AG785" s="7"/>
      <c r="AH785" s="7"/>
      <c r="AI785" s="7"/>
      <c r="AJ785" s="7"/>
      <c r="AK785" s="7"/>
      <c r="AL785" s="7"/>
      <c r="AM785" s="7"/>
      <c r="AN785" s="7"/>
      <c r="AO785" s="7"/>
      <c r="AP785" s="7"/>
      <c r="AQ785" s="7"/>
      <c r="AR785" s="7"/>
      <c r="AS785" s="7"/>
      <c r="AT785" s="7"/>
    </row>
    <row r="786">
      <c r="W786" s="41"/>
      <c r="X786" s="41"/>
      <c r="Y786" s="7"/>
      <c r="Z786" s="7"/>
      <c r="AA786" s="7"/>
      <c r="AB786" s="7"/>
      <c r="AC786" s="7"/>
      <c r="AD786" s="7"/>
      <c r="AE786" s="7"/>
      <c r="AF786" s="7"/>
      <c r="AG786" s="7"/>
      <c r="AH786" s="7"/>
      <c r="AI786" s="7"/>
      <c r="AJ786" s="7"/>
      <c r="AK786" s="7"/>
      <c r="AL786" s="7"/>
      <c r="AM786" s="7"/>
      <c r="AN786" s="7"/>
      <c r="AO786" s="7"/>
      <c r="AP786" s="7"/>
      <c r="AQ786" s="7"/>
      <c r="AR786" s="7"/>
      <c r="AS786" s="7"/>
      <c r="AT786" s="7"/>
    </row>
    <row r="787">
      <c r="W787" s="41"/>
      <c r="X787" s="41"/>
      <c r="Y787" s="7"/>
      <c r="Z787" s="7"/>
      <c r="AA787" s="7"/>
      <c r="AB787" s="7"/>
      <c r="AC787" s="7"/>
      <c r="AD787" s="7"/>
      <c r="AE787" s="7"/>
      <c r="AF787" s="7"/>
      <c r="AG787" s="7"/>
      <c r="AH787" s="7"/>
      <c r="AI787" s="7"/>
      <c r="AJ787" s="7"/>
      <c r="AK787" s="7"/>
      <c r="AL787" s="7"/>
      <c r="AM787" s="7"/>
      <c r="AN787" s="7"/>
      <c r="AO787" s="7"/>
      <c r="AP787" s="7"/>
      <c r="AQ787" s="7"/>
      <c r="AR787" s="7"/>
      <c r="AS787" s="7"/>
      <c r="AT787" s="7"/>
    </row>
    <row r="788">
      <c r="W788" s="41"/>
      <c r="X788" s="41"/>
      <c r="Y788" s="7"/>
      <c r="Z788" s="7"/>
      <c r="AA788" s="7"/>
      <c r="AB788" s="7"/>
      <c r="AC788" s="7"/>
      <c r="AD788" s="7"/>
      <c r="AE788" s="7"/>
      <c r="AF788" s="7"/>
      <c r="AG788" s="7"/>
      <c r="AH788" s="7"/>
      <c r="AI788" s="7"/>
      <c r="AJ788" s="7"/>
      <c r="AK788" s="7"/>
      <c r="AL788" s="7"/>
      <c r="AM788" s="7"/>
      <c r="AN788" s="7"/>
      <c r="AO788" s="7"/>
      <c r="AP788" s="7"/>
      <c r="AQ788" s="7"/>
      <c r="AR788" s="7"/>
      <c r="AS788" s="7"/>
      <c r="AT788" s="7"/>
    </row>
    <row r="789">
      <c r="W789" s="41"/>
      <c r="X789" s="41"/>
      <c r="Y789" s="7"/>
      <c r="Z789" s="7"/>
      <c r="AA789" s="7"/>
      <c r="AB789" s="7"/>
      <c r="AC789" s="7"/>
      <c r="AD789" s="7"/>
      <c r="AE789" s="7"/>
      <c r="AF789" s="7"/>
      <c r="AG789" s="7"/>
      <c r="AH789" s="7"/>
      <c r="AI789" s="7"/>
      <c r="AJ789" s="7"/>
      <c r="AK789" s="7"/>
      <c r="AL789" s="7"/>
      <c r="AM789" s="7"/>
      <c r="AN789" s="7"/>
      <c r="AO789" s="7"/>
      <c r="AP789" s="7"/>
      <c r="AQ789" s="7"/>
      <c r="AR789" s="7"/>
      <c r="AS789" s="7"/>
      <c r="AT789" s="7"/>
    </row>
    <row r="790">
      <c r="W790" s="41"/>
      <c r="X790" s="41"/>
      <c r="Y790" s="7"/>
      <c r="Z790" s="7"/>
      <c r="AA790" s="7"/>
      <c r="AB790" s="7"/>
      <c r="AC790" s="7"/>
      <c r="AD790" s="7"/>
      <c r="AE790" s="7"/>
      <c r="AF790" s="7"/>
      <c r="AG790" s="7"/>
      <c r="AH790" s="7"/>
      <c r="AI790" s="7"/>
      <c r="AJ790" s="7"/>
      <c r="AK790" s="7"/>
      <c r="AL790" s="7"/>
      <c r="AM790" s="7"/>
      <c r="AN790" s="7"/>
      <c r="AO790" s="7"/>
      <c r="AP790" s="7"/>
      <c r="AQ790" s="7"/>
      <c r="AR790" s="7"/>
      <c r="AS790" s="7"/>
      <c r="AT790" s="7"/>
    </row>
    <row r="791">
      <c r="W791" s="41"/>
      <c r="X791" s="41"/>
      <c r="Y791" s="7"/>
      <c r="Z791" s="7"/>
      <c r="AA791" s="7"/>
      <c r="AB791" s="7"/>
      <c r="AC791" s="7"/>
      <c r="AD791" s="7"/>
      <c r="AE791" s="7"/>
      <c r="AF791" s="7"/>
      <c r="AG791" s="7"/>
      <c r="AH791" s="7"/>
      <c r="AI791" s="7"/>
      <c r="AJ791" s="7"/>
      <c r="AK791" s="7"/>
      <c r="AL791" s="7"/>
      <c r="AM791" s="7"/>
      <c r="AN791" s="7"/>
      <c r="AO791" s="7"/>
      <c r="AP791" s="7"/>
      <c r="AQ791" s="7"/>
      <c r="AR791" s="7"/>
      <c r="AS791" s="7"/>
      <c r="AT791" s="7"/>
    </row>
    <row r="792">
      <c r="W792" s="41"/>
      <c r="X792" s="41"/>
      <c r="Y792" s="7"/>
      <c r="Z792" s="7"/>
      <c r="AA792" s="7"/>
      <c r="AB792" s="7"/>
      <c r="AC792" s="7"/>
      <c r="AD792" s="7"/>
      <c r="AE792" s="7"/>
      <c r="AF792" s="7"/>
      <c r="AG792" s="7"/>
      <c r="AH792" s="7"/>
      <c r="AI792" s="7"/>
      <c r="AJ792" s="7"/>
      <c r="AK792" s="7"/>
      <c r="AL792" s="7"/>
      <c r="AM792" s="7"/>
      <c r="AN792" s="7"/>
      <c r="AO792" s="7"/>
      <c r="AP792" s="7"/>
      <c r="AQ792" s="7"/>
      <c r="AR792" s="7"/>
      <c r="AS792" s="7"/>
      <c r="AT792" s="7"/>
    </row>
    <row r="793">
      <c r="W793" s="41"/>
      <c r="X793" s="41"/>
      <c r="Y793" s="7"/>
      <c r="Z793" s="7"/>
      <c r="AA793" s="7"/>
      <c r="AB793" s="7"/>
      <c r="AC793" s="7"/>
      <c r="AD793" s="7"/>
      <c r="AE793" s="7"/>
      <c r="AF793" s="7"/>
      <c r="AG793" s="7"/>
      <c r="AH793" s="7"/>
      <c r="AI793" s="7"/>
      <c r="AJ793" s="7"/>
      <c r="AK793" s="7"/>
      <c r="AL793" s="7"/>
      <c r="AM793" s="7"/>
      <c r="AN793" s="7"/>
      <c r="AO793" s="7"/>
      <c r="AP793" s="7"/>
      <c r="AQ793" s="7"/>
      <c r="AR793" s="7"/>
      <c r="AS793" s="7"/>
      <c r="AT793" s="7"/>
    </row>
    <row r="794">
      <c r="W794" s="41"/>
      <c r="X794" s="41"/>
      <c r="Y794" s="7"/>
      <c r="Z794" s="7"/>
      <c r="AA794" s="7"/>
      <c r="AB794" s="7"/>
      <c r="AC794" s="7"/>
      <c r="AD794" s="7"/>
      <c r="AE794" s="7"/>
      <c r="AF794" s="7"/>
      <c r="AG794" s="7"/>
      <c r="AH794" s="7"/>
      <c r="AI794" s="7"/>
      <c r="AJ794" s="7"/>
      <c r="AK794" s="7"/>
      <c r="AL794" s="7"/>
      <c r="AM794" s="7"/>
      <c r="AN794" s="7"/>
      <c r="AO794" s="7"/>
      <c r="AP794" s="7"/>
      <c r="AQ794" s="7"/>
      <c r="AR794" s="7"/>
      <c r="AS794" s="7"/>
      <c r="AT794" s="7"/>
    </row>
    <row r="795">
      <c r="W795" s="41"/>
      <c r="X795" s="41"/>
      <c r="Y795" s="7"/>
      <c r="Z795" s="7"/>
      <c r="AA795" s="7"/>
      <c r="AB795" s="7"/>
      <c r="AC795" s="7"/>
      <c r="AD795" s="7"/>
      <c r="AE795" s="7"/>
      <c r="AF795" s="7"/>
      <c r="AG795" s="7"/>
      <c r="AH795" s="7"/>
      <c r="AI795" s="7"/>
      <c r="AJ795" s="7"/>
      <c r="AK795" s="7"/>
      <c r="AL795" s="7"/>
      <c r="AM795" s="7"/>
      <c r="AN795" s="7"/>
      <c r="AO795" s="7"/>
      <c r="AP795" s="7"/>
      <c r="AQ795" s="7"/>
      <c r="AR795" s="7"/>
      <c r="AS795" s="7"/>
      <c r="AT795" s="7"/>
    </row>
    <row r="796">
      <c r="W796" s="41"/>
      <c r="X796" s="41"/>
      <c r="Y796" s="7"/>
      <c r="Z796" s="7"/>
      <c r="AA796" s="7"/>
      <c r="AB796" s="7"/>
      <c r="AC796" s="7"/>
      <c r="AD796" s="7"/>
      <c r="AE796" s="7"/>
      <c r="AF796" s="7"/>
      <c r="AG796" s="7"/>
      <c r="AH796" s="7"/>
      <c r="AI796" s="7"/>
      <c r="AJ796" s="7"/>
      <c r="AK796" s="7"/>
      <c r="AL796" s="7"/>
      <c r="AM796" s="7"/>
      <c r="AN796" s="7"/>
      <c r="AO796" s="7"/>
      <c r="AP796" s="7"/>
      <c r="AQ796" s="7"/>
      <c r="AR796" s="7"/>
      <c r="AS796" s="7"/>
      <c r="AT796" s="7"/>
    </row>
    <row r="797">
      <c r="W797" s="41"/>
      <c r="X797" s="41"/>
      <c r="Y797" s="7"/>
      <c r="Z797" s="7"/>
      <c r="AA797" s="7"/>
      <c r="AB797" s="7"/>
      <c r="AC797" s="7"/>
      <c r="AD797" s="7"/>
      <c r="AE797" s="7"/>
      <c r="AF797" s="7"/>
      <c r="AG797" s="7"/>
      <c r="AH797" s="7"/>
      <c r="AI797" s="7"/>
      <c r="AJ797" s="7"/>
      <c r="AK797" s="7"/>
      <c r="AL797" s="7"/>
      <c r="AM797" s="7"/>
      <c r="AN797" s="7"/>
      <c r="AO797" s="7"/>
      <c r="AP797" s="7"/>
      <c r="AQ797" s="7"/>
      <c r="AR797" s="7"/>
      <c r="AS797" s="7"/>
      <c r="AT797" s="7"/>
    </row>
    <row r="798">
      <c r="W798" s="41"/>
      <c r="X798" s="41"/>
      <c r="Y798" s="7"/>
      <c r="Z798" s="7"/>
      <c r="AA798" s="7"/>
      <c r="AB798" s="7"/>
      <c r="AC798" s="7"/>
      <c r="AD798" s="7"/>
      <c r="AE798" s="7"/>
      <c r="AF798" s="7"/>
      <c r="AG798" s="7"/>
      <c r="AH798" s="7"/>
      <c r="AI798" s="7"/>
      <c r="AJ798" s="7"/>
      <c r="AK798" s="7"/>
      <c r="AL798" s="7"/>
      <c r="AM798" s="7"/>
      <c r="AN798" s="7"/>
      <c r="AO798" s="7"/>
      <c r="AP798" s="7"/>
      <c r="AQ798" s="7"/>
      <c r="AR798" s="7"/>
      <c r="AS798" s="7"/>
      <c r="AT798" s="7"/>
    </row>
    <row r="799">
      <c r="W799" s="41"/>
      <c r="X799" s="41"/>
      <c r="Y799" s="7"/>
      <c r="Z799" s="7"/>
      <c r="AA799" s="7"/>
      <c r="AB799" s="7"/>
      <c r="AC799" s="7"/>
      <c r="AD799" s="7"/>
      <c r="AE799" s="7"/>
      <c r="AF799" s="7"/>
      <c r="AG799" s="7"/>
      <c r="AH799" s="7"/>
      <c r="AI799" s="7"/>
      <c r="AJ799" s="7"/>
      <c r="AK799" s="7"/>
      <c r="AL799" s="7"/>
      <c r="AM799" s="7"/>
      <c r="AN799" s="7"/>
      <c r="AO799" s="7"/>
      <c r="AP799" s="7"/>
      <c r="AQ799" s="7"/>
      <c r="AR799" s="7"/>
      <c r="AS799" s="7"/>
      <c r="AT799" s="7"/>
    </row>
    <row r="800">
      <c r="W800" s="41"/>
      <c r="X800" s="41"/>
      <c r="Y800" s="7"/>
      <c r="Z800" s="7"/>
      <c r="AA800" s="7"/>
      <c r="AB800" s="7"/>
      <c r="AC800" s="7"/>
      <c r="AD800" s="7"/>
      <c r="AE800" s="7"/>
      <c r="AF800" s="7"/>
      <c r="AG800" s="7"/>
      <c r="AH800" s="7"/>
      <c r="AI800" s="7"/>
      <c r="AJ800" s="7"/>
      <c r="AK800" s="7"/>
      <c r="AL800" s="7"/>
      <c r="AM800" s="7"/>
      <c r="AN800" s="7"/>
      <c r="AO800" s="7"/>
      <c r="AP800" s="7"/>
      <c r="AQ800" s="7"/>
      <c r="AR800" s="7"/>
      <c r="AS800" s="7"/>
      <c r="AT800" s="7"/>
    </row>
    <row r="801">
      <c r="W801" s="41"/>
      <c r="X801" s="41"/>
      <c r="Y801" s="7"/>
      <c r="Z801" s="7"/>
      <c r="AA801" s="7"/>
      <c r="AB801" s="7"/>
      <c r="AC801" s="7"/>
      <c r="AD801" s="7"/>
      <c r="AE801" s="7"/>
      <c r="AF801" s="7"/>
      <c r="AG801" s="7"/>
      <c r="AH801" s="7"/>
      <c r="AI801" s="7"/>
      <c r="AJ801" s="7"/>
      <c r="AK801" s="7"/>
      <c r="AL801" s="7"/>
      <c r="AM801" s="7"/>
      <c r="AN801" s="7"/>
      <c r="AO801" s="7"/>
      <c r="AP801" s="7"/>
      <c r="AQ801" s="7"/>
      <c r="AR801" s="7"/>
      <c r="AS801" s="7"/>
      <c r="AT801" s="7"/>
    </row>
    <row r="802">
      <c r="W802" s="41"/>
      <c r="X802" s="41"/>
      <c r="Y802" s="7"/>
      <c r="Z802" s="7"/>
      <c r="AA802" s="7"/>
      <c r="AB802" s="7"/>
      <c r="AC802" s="7"/>
      <c r="AD802" s="7"/>
      <c r="AE802" s="7"/>
      <c r="AF802" s="7"/>
      <c r="AG802" s="7"/>
      <c r="AH802" s="7"/>
      <c r="AI802" s="7"/>
      <c r="AJ802" s="7"/>
      <c r="AK802" s="7"/>
      <c r="AL802" s="7"/>
      <c r="AM802" s="7"/>
      <c r="AN802" s="7"/>
      <c r="AO802" s="7"/>
      <c r="AP802" s="7"/>
      <c r="AQ802" s="7"/>
      <c r="AR802" s="7"/>
      <c r="AS802" s="7"/>
      <c r="AT802" s="7"/>
    </row>
    <row r="803">
      <c r="W803" s="41"/>
      <c r="X803" s="41"/>
      <c r="Y803" s="7"/>
      <c r="Z803" s="7"/>
      <c r="AA803" s="7"/>
      <c r="AB803" s="7"/>
      <c r="AC803" s="7"/>
      <c r="AD803" s="7"/>
      <c r="AE803" s="7"/>
      <c r="AF803" s="7"/>
      <c r="AG803" s="7"/>
      <c r="AH803" s="7"/>
      <c r="AI803" s="7"/>
      <c r="AJ803" s="7"/>
      <c r="AK803" s="7"/>
      <c r="AL803" s="7"/>
      <c r="AM803" s="7"/>
      <c r="AN803" s="7"/>
      <c r="AO803" s="7"/>
      <c r="AP803" s="7"/>
      <c r="AQ803" s="7"/>
      <c r="AR803" s="7"/>
      <c r="AS803" s="7"/>
      <c r="AT803" s="7"/>
    </row>
    <row r="804">
      <c r="W804" s="41"/>
      <c r="X804" s="41"/>
      <c r="Y804" s="7"/>
      <c r="Z804" s="7"/>
      <c r="AA804" s="7"/>
      <c r="AB804" s="7"/>
      <c r="AC804" s="7"/>
      <c r="AD804" s="7"/>
      <c r="AE804" s="7"/>
      <c r="AF804" s="7"/>
      <c r="AG804" s="7"/>
      <c r="AH804" s="7"/>
      <c r="AI804" s="7"/>
      <c r="AJ804" s="7"/>
      <c r="AK804" s="7"/>
      <c r="AL804" s="7"/>
      <c r="AM804" s="7"/>
      <c r="AN804" s="7"/>
      <c r="AO804" s="7"/>
      <c r="AP804" s="7"/>
      <c r="AQ804" s="7"/>
      <c r="AR804" s="7"/>
      <c r="AS804" s="7"/>
      <c r="AT804" s="7"/>
    </row>
    <row r="805">
      <c r="W805" s="41"/>
      <c r="X805" s="41"/>
      <c r="Y805" s="7"/>
      <c r="Z805" s="7"/>
      <c r="AA805" s="7"/>
      <c r="AB805" s="7"/>
      <c r="AC805" s="7"/>
      <c r="AD805" s="7"/>
      <c r="AE805" s="7"/>
      <c r="AF805" s="7"/>
      <c r="AG805" s="7"/>
      <c r="AH805" s="7"/>
      <c r="AI805" s="7"/>
      <c r="AJ805" s="7"/>
      <c r="AK805" s="7"/>
      <c r="AL805" s="7"/>
      <c r="AM805" s="7"/>
      <c r="AN805" s="7"/>
      <c r="AO805" s="7"/>
      <c r="AP805" s="7"/>
      <c r="AQ805" s="7"/>
      <c r="AR805" s="7"/>
      <c r="AS805" s="7"/>
      <c r="AT805" s="7"/>
    </row>
    <row r="806">
      <c r="W806" s="41"/>
      <c r="X806" s="41"/>
      <c r="Y806" s="7"/>
      <c r="Z806" s="7"/>
      <c r="AA806" s="7"/>
      <c r="AB806" s="7"/>
      <c r="AC806" s="7"/>
      <c r="AD806" s="7"/>
      <c r="AE806" s="7"/>
      <c r="AF806" s="7"/>
      <c r="AG806" s="7"/>
      <c r="AH806" s="7"/>
      <c r="AI806" s="7"/>
      <c r="AJ806" s="7"/>
      <c r="AK806" s="7"/>
      <c r="AL806" s="7"/>
      <c r="AM806" s="7"/>
      <c r="AN806" s="7"/>
      <c r="AO806" s="7"/>
      <c r="AP806" s="7"/>
      <c r="AQ806" s="7"/>
      <c r="AR806" s="7"/>
      <c r="AS806" s="7"/>
      <c r="AT806" s="7"/>
    </row>
    <row r="807">
      <c r="W807" s="41"/>
      <c r="X807" s="41"/>
      <c r="Y807" s="7"/>
      <c r="Z807" s="7"/>
      <c r="AA807" s="7"/>
      <c r="AB807" s="7"/>
      <c r="AC807" s="7"/>
      <c r="AD807" s="7"/>
      <c r="AE807" s="7"/>
      <c r="AF807" s="7"/>
      <c r="AG807" s="7"/>
      <c r="AH807" s="7"/>
      <c r="AI807" s="7"/>
      <c r="AJ807" s="7"/>
      <c r="AK807" s="7"/>
      <c r="AL807" s="7"/>
      <c r="AM807" s="7"/>
      <c r="AN807" s="7"/>
      <c r="AO807" s="7"/>
      <c r="AP807" s="7"/>
      <c r="AQ807" s="7"/>
      <c r="AR807" s="7"/>
      <c r="AS807" s="7"/>
      <c r="AT807" s="7"/>
    </row>
    <row r="808">
      <c r="W808" s="41"/>
      <c r="X808" s="41"/>
      <c r="Y808" s="7"/>
      <c r="Z808" s="7"/>
      <c r="AA808" s="7"/>
      <c r="AB808" s="7"/>
      <c r="AC808" s="7"/>
      <c r="AD808" s="7"/>
      <c r="AE808" s="7"/>
      <c r="AF808" s="7"/>
      <c r="AG808" s="7"/>
      <c r="AH808" s="7"/>
      <c r="AI808" s="7"/>
      <c r="AJ808" s="7"/>
      <c r="AK808" s="7"/>
      <c r="AL808" s="7"/>
      <c r="AM808" s="7"/>
      <c r="AN808" s="7"/>
      <c r="AO808" s="7"/>
      <c r="AP808" s="7"/>
      <c r="AQ808" s="7"/>
      <c r="AR808" s="7"/>
      <c r="AS808" s="7"/>
      <c r="AT808" s="7"/>
    </row>
    <row r="809">
      <c r="W809" s="41"/>
      <c r="X809" s="41"/>
      <c r="Y809" s="7"/>
      <c r="Z809" s="7"/>
      <c r="AA809" s="7"/>
      <c r="AB809" s="7"/>
      <c r="AC809" s="7"/>
      <c r="AD809" s="7"/>
      <c r="AE809" s="7"/>
      <c r="AF809" s="7"/>
      <c r="AG809" s="7"/>
      <c r="AH809" s="7"/>
      <c r="AI809" s="7"/>
      <c r="AJ809" s="7"/>
      <c r="AK809" s="7"/>
      <c r="AL809" s="7"/>
      <c r="AM809" s="7"/>
      <c r="AN809" s="7"/>
      <c r="AO809" s="7"/>
      <c r="AP809" s="7"/>
      <c r="AQ809" s="7"/>
      <c r="AR809" s="7"/>
      <c r="AS809" s="7"/>
      <c r="AT809" s="7"/>
    </row>
    <row r="810">
      <c r="W810" s="41"/>
      <c r="X810" s="41"/>
      <c r="Y810" s="7"/>
      <c r="Z810" s="7"/>
      <c r="AA810" s="7"/>
      <c r="AB810" s="7"/>
      <c r="AC810" s="7"/>
      <c r="AD810" s="7"/>
      <c r="AE810" s="7"/>
      <c r="AF810" s="7"/>
      <c r="AG810" s="7"/>
      <c r="AH810" s="7"/>
      <c r="AI810" s="7"/>
      <c r="AJ810" s="7"/>
      <c r="AK810" s="7"/>
      <c r="AL810" s="7"/>
      <c r="AM810" s="7"/>
      <c r="AN810" s="7"/>
      <c r="AO810" s="7"/>
      <c r="AP810" s="7"/>
      <c r="AQ810" s="7"/>
      <c r="AR810" s="7"/>
      <c r="AS810" s="7"/>
      <c r="AT810" s="7"/>
    </row>
    <row r="811">
      <c r="W811" s="41"/>
      <c r="X811" s="41"/>
      <c r="Y811" s="7"/>
      <c r="Z811" s="7"/>
      <c r="AA811" s="7"/>
      <c r="AB811" s="7"/>
      <c r="AC811" s="7"/>
      <c r="AD811" s="7"/>
      <c r="AE811" s="7"/>
      <c r="AF811" s="7"/>
      <c r="AG811" s="7"/>
      <c r="AH811" s="7"/>
      <c r="AI811" s="7"/>
      <c r="AJ811" s="7"/>
      <c r="AK811" s="7"/>
      <c r="AL811" s="7"/>
      <c r="AM811" s="7"/>
      <c r="AN811" s="7"/>
      <c r="AO811" s="7"/>
      <c r="AP811" s="7"/>
      <c r="AQ811" s="7"/>
      <c r="AR811" s="7"/>
      <c r="AS811" s="7"/>
      <c r="AT811" s="7"/>
    </row>
    <row r="812">
      <c r="W812" s="41"/>
      <c r="X812" s="41"/>
      <c r="Y812" s="7"/>
      <c r="Z812" s="7"/>
      <c r="AA812" s="7"/>
      <c r="AB812" s="7"/>
      <c r="AC812" s="7"/>
      <c r="AD812" s="7"/>
      <c r="AE812" s="7"/>
      <c r="AF812" s="7"/>
      <c r="AG812" s="7"/>
      <c r="AH812" s="7"/>
      <c r="AI812" s="7"/>
      <c r="AJ812" s="7"/>
      <c r="AK812" s="7"/>
      <c r="AL812" s="7"/>
      <c r="AM812" s="7"/>
      <c r="AN812" s="7"/>
      <c r="AO812" s="7"/>
      <c r="AP812" s="7"/>
      <c r="AQ812" s="7"/>
      <c r="AR812" s="7"/>
      <c r="AS812" s="7"/>
      <c r="AT812" s="7"/>
    </row>
    <row r="813">
      <c r="W813" s="41"/>
      <c r="X813" s="41"/>
      <c r="Y813" s="7"/>
      <c r="Z813" s="7"/>
      <c r="AA813" s="7"/>
      <c r="AB813" s="7"/>
      <c r="AC813" s="7"/>
      <c r="AD813" s="7"/>
      <c r="AE813" s="7"/>
      <c r="AF813" s="7"/>
      <c r="AG813" s="7"/>
      <c r="AH813" s="7"/>
      <c r="AI813" s="7"/>
      <c r="AJ813" s="7"/>
      <c r="AK813" s="7"/>
      <c r="AL813" s="7"/>
      <c r="AM813" s="7"/>
      <c r="AN813" s="7"/>
      <c r="AO813" s="7"/>
      <c r="AP813" s="7"/>
      <c r="AQ813" s="7"/>
      <c r="AR813" s="7"/>
      <c r="AS813" s="7"/>
      <c r="AT813" s="7"/>
    </row>
    <row r="814">
      <c r="W814" s="41"/>
      <c r="X814" s="41"/>
      <c r="Y814" s="7"/>
      <c r="Z814" s="7"/>
      <c r="AA814" s="7"/>
      <c r="AB814" s="7"/>
      <c r="AC814" s="7"/>
      <c r="AD814" s="7"/>
      <c r="AE814" s="7"/>
      <c r="AF814" s="7"/>
      <c r="AG814" s="7"/>
      <c r="AH814" s="7"/>
      <c r="AI814" s="7"/>
      <c r="AJ814" s="7"/>
      <c r="AK814" s="7"/>
      <c r="AL814" s="7"/>
      <c r="AM814" s="7"/>
      <c r="AN814" s="7"/>
      <c r="AO814" s="7"/>
      <c r="AP814" s="7"/>
      <c r="AQ814" s="7"/>
      <c r="AR814" s="7"/>
      <c r="AS814" s="7"/>
      <c r="AT814" s="7"/>
    </row>
    <row r="815">
      <c r="W815" s="41"/>
      <c r="X815" s="41"/>
      <c r="Y815" s="7"/>
      <c r="Z815" s="7"/>
      <c r="AA815" s="7"/>
      <c r="AB815" s="7"/>
      <c r="AC815" s="7"/>
      <c r="AD815" s="7"/>
      <c r="AE815" s="7"/>
      <c r="AF815" s="7"/>
      <c r="AG815" s="7"/>
      <c r="AH815" s="7"/>
      <c r="AI815" s="7"/>
      <c r="AJ815" s="7"/>
      <c r="AK815" s="7"/>
      <c r="AL815" s="7"/>
      <c r="AM815" s="7"/>
      <c r="AN815" s="7"/>
      <c r="AO815" s="7"/>
      <c r="AP815" s="7"/>
      <c r="AQ815" s="7"/>
      <c r="AR815" s="7"/>
      <c r="AS815" s="7"/>
      <c r="AT815" s="7"/>
    </row>
    <row r="816">
      <c r="W816" s="41"/>
      <c r="X816" s="41"/>
      <c r="Y816" s="7"/>
      <c r="Z816" s="7"/>
      <c r="AA816" s="7"/>
      <c r="AB816" s="7"/>
      <c r="AC816" s="7"/>
      <c r="AD816" s="7"/>
      <c r="AE816" s="7"/>
      <c r="AF816" s="7"/>
      <c r="AG816" s="7"/>
      <c r="AH816" s="7"/>
      <c r="AI816" s="7"/>
      <c r="AJ816" s="7"/>
      <c r="AK816" s="7"/>
      <c r="AL816" s="7"/>
      <c r="AM816" s="7"/>
      <c r="AN816" s="7"/>
      <c r="AO816" s="7"/>
      <c r="AP816" s="7"/>
      <c r="AQ816" s="7"/>
      <c r="AR816" s="7"/>
      <c r="AS816" s="7"/>
      <c r="AT816" s="7"/>
    </row>
    <row r="817">
      <c r="W817" s="41"/>
      <c r="X817" s="41"/>
      <c r="Y817" s="7"/>
      <c r="Z817" s="7"/>
      <c r="AA817" s="7"/>
      <c r="AB817" s="7"/>
      <c r="AC817" s="7"/>
      <c r="AD817" s="7"/>
      <c r="AE817" s="7"/>
      <c r="AF817" s="7"/>
      <c r="AG817" s="7"/>
      <c r="AH817" s="7"/>
      <c r="AI817" s="7"/>
      <c r="AJ817" s="7"/>
      <c r="AK817" s="7"/>
      <c r="AL817" s="7"/>
      <c r="AM817" s="7"/>
      <c r="AN817" s="7"/>
      <c r="AO817" s="7"/>
      <c r="AP817" s="7"/>
      <c r="AQ817" s="7"/>
      <c r="AR817" s="7"/>
      <c r="AS817" s="7"/>
      <c r="AT817" s="7"/>
    </row>
    <row r="818">
      <c r="W818" s="41"/>
      <c r="X818" s="41"/>
      <c r="Y818" s="7"/>
      <c r="Z818" s="7"/>
      <c r="AA818" s="7"/>
      <c r="AB818" s="7"/>
      <c r="AC818" s="7"/>
      <c r="AD818" s="7"/>
      <c r="AE818" s="7"/>
      <c r="AF818" s="7"/>
      <c r="AG818" s="7"/>
      <c r="AH818" s="7"/>
      <c r="AI818" s="7"/>
      <c r="AJ818" s="7"/>
      <c r="AK818" s="7"/>
      <c r="AL818" s="7"/>
      <c r="AM818" s="7"/>
      <c r="AN818" s="7"/>
      <c r="AO818" s="7"/>
      <c r="AP818" s="7"/>
      <c r="AQ818" s="7"/>
      <c r="AR818" s="7"/>
      <c r="AS818" s="7"/>
      <c r="AT818" s="7"/>
    </row>
    <row r="819">
      <c r="W819" s="41"/>
      <c r="X819" s="41"/>
      <c r="Y819" s="7"/>
      <c r="Z819" s="7"/>
      <c r="AA819" s="7"/>
      <c r="AB819" s="7"/>
      <c r="AC819" s="7"/>
      <c r="AD819" s="7"/>
      <c r="AE819" s="7"/>
      <c r="AF819" s="7"/>
      <c r="AG819" s="7"/>
      <c r="AH819" s="7"/>
      <c r="AI819" s="7"/>
      <c r="AJ819" s="7"/>
      <c r="AK819" s="7"/>
      <c r="AL819" s="7"/>
      <c r="AM819" s="7"/>
      <c r="AN819" s="7"/>
      <c r="AO819" s="7"/>
      <c r="AP819" s="7"/>
      <c r="AQ819" s="7"/>
      <c r="AR819" s="7"/>
      <c r="AS819" s="7"/>
      <c r="AT819" s="7"/>
    </row>
    <row r="820">
      <c r="W820" s="41"/>
      <c r="X820" s="41"/>
      <c r="Y820" s="7"/>
      <c r="Z820" s="7"/>
      <c r="AA820" s="7"/>
      <c r="AB820" s="7"/>
      <c r="AC820" s="7"/>
      <c r="AD820" s="7"/>
      <c r="AE820" s="7"/>
      <c r="AF820" s="7"/>
      <c r="AG820" s="7"/>
      <c r="AH820" s="7"/>
      <c r="AI820" s="7"/>
      <c r="AJ820" s="7"/>
      <c r="AK820" s="7"/>
      <c r="AL820" s="7"/>
      <c r="AM820" s="7"/>
      <c r="AN820" s="7"/>
      <c r="AO820" s="7"/>
      <c r="AP820" s="7"/>
      <c r="AQ820" s="7"/>
      <c r="AR820" s="7"/>
      <c r="AS820" s="7"/>
      <c r="AT820" s="7"/>
    </row>
    <row r="821">
      <c r="W821" s="41"/>
      <c r="X821" s="41"/>
      <c r="Y821" s="7"/>
      <c r="Z821" s="7"/>
      <c r="AA821" s="7"/>
      <c r="AB821" s="7"/>
      <c r="AC821" s="7"/>
      <c r="AD821" s="7"/>
      <c r="AE821" s="7"/>
      <c r="AF821" s="7"/>
      <c r="AG821" s="7"/>
      <c r="AH821" s="7"/>
      <c r="AI821" s="7"/>
      <c r="AJ821" s="7"/>
      <c r="AK821" s="7"/>
      <c r="AL821" s="7"/>
      <c r="AM821" s="7"/>
      <c r="AN821" s="7"/>
      <c r="AO821" s="7"/>
      <c r="AP821" s="7"/>
      <c r="AQ821" s="7"/>
      <c r="AR821" s="7"/>
      <c r="AS821" s="7"/>
      <c r="AT821" s="7"/>
    </row>
    <row r="822">
      <c r="W822" s="41"/>
      <c r="X822" s="41"/>
      <c r="Y822" s="7"/>
      <c r="Z822" s="7"/>
      <c r="AA822" s="7"/>
      <c r="AB822" s="7"/>
      <c r="AC822" s="7"/>
      <c r="AD822" s="7"/>
      <c r="AE822" s="7"/>
      <c r="AF822" s="7"/>
      <c r="AG822" s="7"/>
      <c r="AH822" s="7"/>
      <c r="AI822" s="7"/>
      <c r="AJ822" s="7"/>
      <c r="AK822" s="7"/>
      <c r="AL822" s="7"/>
      <c r="AM822" s="7"/>
      <c r="AN822" s="7"/>
      <c r="AO822" s="7"/>
      <c r="AP822" s="7"/>
      <c r="AQ822" s="7"/>
      <c r="AR822" s="7"/>
      <c r="AS822" s="7"/>
      <c r="AT822" s="7"/>
    </row>
    <row r="823">
      <c r="W823" s="41"/>
      <c r="X823" s="41"/>
      <c r="Y823" s="7"/>
      <c r="Z823" s="7"/>
      <c r="AA823" s="7"/>
      <c r="AB823" s="7"/>
      <c r="AC823" s="7"/>
      <c r="AD823" s="7"/>
      <c r="AE823" s="7"/>
      <c r="AF823" s="7"/>
      <c r="AG823" s="7"/>
      <c r="AH823" s="7"/>
      <c r="AI823" s="7"/>
      <c r="AJ823" s="7"/>
      <c r="AK823" s="7"/>
      <c r="AL823" s="7"/>
      <c r="AM823" s="7"/>
      <c r="AN823" s="7"/>
      <c r="AO823" s="7"/>
      <c r="AP823" s="7"/>
      <c r="AQ823" s="7"/>
      <c r="AR823" s="7"/>
      <c r="AS823" s="7"/>
      <c r="AT823" s="7"/>
    </row>
    <row r="824">
      <c r="W824" s="41"/>
      <c r="X824" s="41"/>
      <c r="Y824" s="7"/>
      <c r="Z824" s="7"/>
      <c r="AA824" s="7"/>
      <c r="AB824" s="7"/>
      <c r="AC824" s="7"/>
      <c r="AD824" s="7"/>
      <c r="AE824" s="7"/>
      <c r="AF824" s="7"/>
      <c r="AG824" s="7"/>
      <c r="AH824" s="7"/>
      <c r="AI824" s="7"/>
      <c r="AJ824" s="7"/>
      <c r="AK824" s="7"/>
      <c r="AL824" s="7"/>
      <c r="AM824" s="7"/>
      <c r="AN824" s="7"/>
      <c r="AO824" s="7"/>
      <c r="AP824" s="7"/>
      <c r="AQ824" s="7"/>
      <c r="AR824" s="7"/>
      <c r="AS824" s="7"/>
      <c r="AT824" s="7"/>
    </row>
    <row r="825">
      <c r="W825" s="41"/>
      <c r="X825" s="41"/>
      <c r="Y825" s="7"/>
      <c r="Z825" s="7"/>
      <c r="AA825" s="7"/>
      <c r="AB825" s="7"/>
      <c r="AC825" s="7"/>
      <c r="AD825" s="7"/>
      <c r="AE825" s="7"/>
      <c r="AF825" s="7"/>
      <c r="AG825" s="7"/>
      <c r="AH825" s="7"/>
      <c r="AI825" s="7"/>
      <c r="AJ825" s="7"/>
      <c r="AK825" s="7"/>
      <c r="AL825" s="7"/>
      <c r="AM825" s="7"/>
      <c r="AN825" s="7"/>
      <c r="AO825" s="7"/>
      <c r="AP825" s="7"/>
      <c r="AQ825" s="7"/>
      <c r="AR825" s="7"/>
      <c r="AS825" s="7"/>
      <c r="AT825" s="7"/>
    </row>
    <row r="826">
      <c r="W826" s="41"/>
      <c r="X826" s="41"/>
      <c r="Y826" s="7"/>
      <c r="Z826" s="7"/>
      <c r="AA826" s="7"/>
      <c r="AB826" s="7"/>
      <c r="AC826" s="7"/>
      <c r="AD826" s="7"/>
      <c r="AE826" s="7"/>
      <c r="AF826" s="7"/>
      <c r="AG826" s="7"/>
      <c r="AH826" s="7"/>
      <c r="AI826" s="7"/>
      <c r="AJ826" s="7"/>
      <c r="AK826" s="7"/>
      <c r="AL826" s="7"/>
      <c r="AM826" s="7"/>
      <c r="AN826" s="7"/>
      <c r="AO826" s="7"/>
      <c r="AP826" s="7"/>
      <c r="AQ826" s="7"/>
      <c r="AR826" s="7"/>
      <c r="AS826" s="7"/>
      <c r="AT826" s="7"/>
    </row>
    <row r="827">
      <c r="W827" s="41"/>
      <c r="X827" s="41"/>
      <c r="Y827" s="7"/>
      <c r="Z827" s="7"/>
      <c r="AA827" s="7"/>
      <c r="AB827" s="7"/>
      <c r="AC827" s="7"/>
      <c r="AD827" s="7"/>
      <c r="AE827" s="7"/>
      <c r="AF827" s="7"/>
      <c r="AG827" s="7"/>
      <c r="AH827" s="7"/>
      <c r="AI827" s="7"/>
      <c r="AJ827" s="7"/>
      <c r="AK827" s="7"/>
      <c r="AL827" s="7"/>
      <c r="AM827" s="7"/>
      <c r="AN827" s="7"/>
      <c r="AO827" s="7"/>
      <c r="AP827" s="7"/>
      <c r="AQ827" s="7"/>
      <c r="AR827" s="7"/>
      <c r="AS827" s="7"/>
      <c r="AT827" s="7"/>
    </row>
    <row r="828">
      <c r="W828" s="41"/>
      <c r="X828" s="41"/>
      <c r="Y828" s="7"/>
      <c r="Z828" s="7"/>
      <c r="AA828" s="7"/>
      <c r="AB828" s="7"/>
      <c r="AC828" s="7"/>
      <c r="AD828" s="7"/>
      <c r="AE828" s="7"/>
      <c r="AF828" s="7"/>
      <c r="AG828" s="7"/>
      <c r="AH828" s="7"/>
      <c r="AI828" s="7"/>
      <c r="AJ828" s="7"/>
      <c r="AK828" s="7"/>
      <c r="AL828" s="7"/>
      <c r="AM828" s="7"/>
      <c r="AN828" s="7"/>
      <c r="AO828" s="7"/>
      <c r="AP828" s="7"/>
      <c r="AQ828" s="7"/>
      <c r="AR828" s="7"/>
      <c r="AS828" s="7"/>
      <c r="AT828" s="7"/>
    </row>
    <row r="829">
      <c r="W829" s="41"/>
      <c r="X829" s="41"/>
      <c r="Y829" s="7"/>
      <c r="Z829" s="7"/>
      <c r="AA829" s="7"/>
      <c r="AB829" s="7"/>
      <c r="AC829" s="7"/>
      <c r="AD829" s="7"/>
      <c r="AE829" s="7"/>
      <c r="AF829" s="7"/>
      <c r="AG829" s="7"/>
      <c r="AH829" s="7"/>
      <c r="AI829" s="7"/>
      <c r="AJ829" s="7"/>
      <c r="AK829" s="7"/>
      <c r="AL829" s="7"/>
      <c r="AM829" s="7"/>
      <c r="AN829" s="7"/>
      <c r="AO829" s="7"/>
      <c r="AP829" s="7"/>
      <c r="AQ829" s="7"/>
      <c r="AR829" s="7"/>
      <c r="AS829" s="7"/>
      <c r="AT829" s="7"/>
    </row>
    <row r="830">
      <c r="W830" s="41"/>
      <c r="X830" s="41"/>
      <c r="Y830" s="7"/>
      <c r="Z830" s="7"/>
      <c r="AA830" s="7"/>
      <c r="AB830" s="7"/>
      <c r="AC830" s="7"/>
      <c r="AD830" s="7"/>
      <c r="AE830" s="7"/>
      <c r="AF830" s="7"/>
      <c r="AG830" s="7"/>
      <c r="AH830" s="7"/>
      <c r="AI830" s="7"/>
      <c r="AJ830" s="7"/>
      <c r="AK830" s="7"/>
      <c r="AL830" s="7"/>
      <c r="AM830" s="7"/>
      <c r="AN830" s="7"/>
      <c r="AO830" s="7"/>
      <c r="AP830" s="7"/>
      <c r="AQ830" s="7"/>
      <c r="AR830" s="7"/>
      <c r="AS830" s="7"/>
      <c r="AT830" s="7"/>
    </row>
    <row r="831">
      <c r="W831" s="41"/>
      <c r="X831" s="41"/>
      <c r="Y831" s="7"/>
      <c r="Z831" s="7"/>
      <c r="AA831" s="7"/>
      <c r="AB831" s="7"/>
      <c r="AC831" s="7"/>
      <c r="AD831" s="7"/>
      <c r="AE831" s="7"/>
      <c r="AF831" s="7"/>
      <c r="AG831" s="7"/>
      <c r="AH831" s="7"/>
      <c r="AI831" s="7"/>
      <c r="AJ831" s="7"/>
      <c r="AK831" s="7"/>
      <c r="AL831" s="7"/>
      <c r="AM831" s="7"/>
      <c r="AN831" s="7"/>
      <c r="AO831" s="7"/>
      <c r="AP831" s="7"/>
      <c r="AQ831" s="7"/>
      <c r="AR831" s="7"/>
      <c r="AS831" s="7"/>
      <c r="AT831" s="7"/>
    </row>
    <row r="832">
      <c r="W832" s="41"/>
      <c r="X832" s="41"/>
      <c r="Y832" s="7"/>
      <c r="Z832" s="7"/>
      <c r="AA832" s="7"/>
      <c r="AB832" s="7"/>
      <c r="AC832" s="7"/>
      <c r="AD832" s="7"/>
      <c r="AE832" s="7"/>
      <c r="AF832" s="7"/>
      <c r="AG832" s="7"/>
      <c r="AH832" s="7"/>
      <c r="AI832" s="7"/>
      <c r="AJ832" s="7"/>
      <c r="AK832" s="7"/>
      <c r="AL832" s="7"/>
      <c r="AM832" s="7"/>
      <c r="AN832" s="7"/>
      <c r="AO832" s="7"/>
      <c r="AP832" s="7"/>
      <c r="AQ832" s="7"/>
      <c r="AR832" s="7"/>
      <c r="AS832" s="7"/>
      <c r="AT832" s="7"/>
    </row>
    <row r="833">
      <c r="W833" s="41"/>
      <c r="X833" s="41"/>
      <c r="Y833" s="7"/>
      <c r="Z833" s="7"/>
      <c r="AA833" s="7"/>
      <c r="AB833" s="7"/>
      <c r="AC833" s="7"/>
      <c r="AD833" s="7"/>
      <c r="AE833" s="7"/>
      <c r="AF833" s="7"/>
      <c r="AG833" s="7"/>
      <c r="AH833" s="7"/>
      <c r="AI833" s="7"/>
      <c r="AJ833" s="7"/>
      <c r="AK833" s="7"/>
      <c r="AL833" s="7"/>
      <c r="AM833" s="7"/>
      <c r="AN833" s="7"/>
      <c r="AO833" s="7"/>
      <c r="AP833" s="7"/>
      <c r="AQ833" s="7"/>
      <c r="AR833" s="7"/>
      <c r="AS833" s="7"/>
      <c r="AT833" s="7"/>
    </row>
    <row r="834">
      <c r="W834" s="41"/>
      <c r="X834" s="41"/>
      <c r="Y834" s="7"/>
      <c r="Z834" s="7"/>
      <c r="AA834" s="7"/>
      <c r="AB834" s="7"/>
      <c r="AC834" s="7"/>
      <c r="AD834" s="7"/>
      <c r="AE834" s="7"/>
      <c r="AF834" s="7"/>
      <c r="AG834" s="7"/>
      <c r="AH834" s="7"/>
      <c r="AI834" s="7"/>
      <c r="AJ834" s="7"/>
      <c r="AK834" s="7"/>
      <c r="AL834" s="7"/>
      <c r="AM834" s="7"/>
      <c r="AN834" s="7"/>
      <c r="AO834" s="7"/>
      <c r="AP834" s="7"/>
      <c r="AQ834" s="7"/>
      <c r="AR834" s="7"/>
      <c r="AS834" s="7"/>
      <c r="AT834" s="7"/>
    </row>
    <row r="835">
      <c r="W835" s="41"/>
      <c r="X835" s="41"/>
      <c r="Y835" s="7"/>
      <c r="Z835" s="7"/>
      <c r="AA835" s="7"/>
      <c r="AB835" s="7"/>
      <c r="AC835" s="7"/>
      <c r="AD835" s="7"/>
      <c r="AE835" s="7"/>
      <c r="AF835" s="7"/>
      <c r="AG835" s="7"/>
      <c r="AH835" s="7"/>
      <c r="AI835" s="7"/>
      <c r="AJ835" s="7"/>
      <c r="AK835" s="7"/>
      <c r="AL835" s="7"/>
      <c r="AM835" s="7"/>
      <c r="AN835" s="7"/>
      <c r="AO835" s="7"/>
      <c r="AP835" s="7"/>
      <c r="AQ835" s="7"/>
      <c r="AR835" s="7"/>
      <c r="AS835" s="7"/>
      <c r="AT835" s="7"/>
    </row>
    <row r="836">
      <c r="W836" s="41"/>
      <c r="X836" s="41"/>
      <c r="Y836" s="7"/>
      <c r="Z836" s="7"/>
      <c r="AA836" s="7"/>
      <c r="AB836" s="7"/>
      <c r="AC836" s="7"/>
      <c r="AD836" s="7"/>
      <c r="AE836" s="7"/>
      <c r="AF836" s="7"/>
      <c r="AG836" s="7"/>
      <c r="AH836" s="7"/>
      <c r="AI836" s="7"/>
      <c r="AJ836" s="7"/>
      <c r="AK836" s="7"/>
      <c r="AL836" s="7"/>
      <c r="AM836" s="7"/>
      <c r="AN836" s="7"/>
      <c r="AO836" s="7"/>
      <c r="AP836" s="7"/>
      <c r="AQ836" s="7"/>
      <c r="AR836" s="7"/>
      <c r="AS836" s="7"/>
      <c r="AT836" s="7"/>
    </row>
    <row r="837">
      <c r="W837" s="41"/>
      <c r="X837" s="41"/>
      <c r="Y837" s="7"/>
      <c r="Z837" s="7"/>
      <c r="AA837" s="7"/>
      <c r="AB837" s="7"/>
      <c r="AC837" s="7"/>
      <c r="AD837" s="7"/>
      <c r="AE837" s="7"/>
      <c r="AF837" s="7"/>
      <c r="AG837" s="7"/>
      <c r="AH837" s="7"/>
      <c r="AI837" s="7"/>
      <c r="AJ837" s="7"/>
      <c r="AK837" s="7"/>
      <c r="AL837" s="7"/>
      <c r="AM837" s="7"/>
      <c r="AN837" s="7"/>
      <c r="AO837" s="7"/>
      <c r="AP837" s="7"/>
      <c r="AQ837" s="7"/>
      <c r="AR837" s="7"/>
      <c r="AS837" s="7"/>
      <c r="AT837" s="7"/>
    </row>
    <row r="838">
      <c r="W838" s="41"/>
      <c r="X838" s="41"/>
      <c r="Y838" s="7"/>
      <c r="Z838" s="7"/>
      <c r="AA838" s="7"/>
      <c r="AB838" s="7"/>
      <c r="AC838" s="7"/>
      <c r="AD838" s="7"/>
      <c r="AE838" s="7"/>
      <c r="AF838" s="7"/>
      <c r="AG838" s="7"/>
      <c r="AH838" s="7"/>
      <c r="AI838" s="7"/>
      <c r="AJ838" s="7"/>
      <c r="AK838" s="7"/>
      <c r="AL838" s="7"/>
      <c r="AM838" s="7"/>
      <c r="AN838" s="7"/>
      <c r="AO838" s="7"/>
      <c r="AP838" s="7"/>
      <c r="AQ838" s="7"/>
      <c r="AR838" s="7"/>
      <c r="AS838" s="7"/>
      <c r="AT838" s="7"/>
    </row>
    <row r="839">
      <c r="W839" s="41"/>
      <c r="X839" s="41"/>
      <c r="Y839" s="7"/>
      <c r="Z839" s="7"/>
      <c r="AA839" s="7"/>
      <c r="AB839" s="7"/>
      <c r="AC839" s="7"/>
      <c r="AD839" s="7"/>
      <c r="AE839" s="7"/>
      <c r="AF839" s="7"/>
      <c r="AG839" s="7"/>
      <c r="AH839" s="7"/>
      <c r="AI839" s="7"/>
      <c r="AJ839" s="7"/>
      <c r="AK839" s="7"/>
      <c r="AL839" s="7"/>
      <c r="AM839" s="7"/>
      <c r="AN839" s="7"/>
      <c r="AO839" s="7"/>
      <c r="AP839" s="7"/>
      <c r="AQ839" s="7"/>
      <c r="AR839" s="7"/>
      <c r="AS839" s="7"/>
      <c r="AT839" s="7"/>
    </row>
    <row r="840">
      <c r="W840" s="41"/>
      <c r="X840" s="41"/>
      <c r="Y840" s="7"/>
      <c r="Z840" s="7"/>
      <c r="AA840" s="7"/>
      <c r="AB840" s="7"/>
      <c r="AC840" s="7"/>
      <c r="AD840" s="7"/>
      <c r="AE840" s="7"/>
      <c r="AF840" s="7"/>
      <c r="AG840" s="7"/>
      <c r="AH840" s="7"/>
      <c r="AI840" s="7"/>
      <c r="AJ840" s="7"/>
      <c r="AK840" s="7"/>
      <c r="AL840" s="7"/>
      <c r="AM840" s="7"/>
      <c r="AN840" s="7"/>
      <c r="AO840" s="7"/>
      <c r="AP840" s="7"/>
      <c r="AQ840" s="7"/>
      <c r="AR840" s="7"/>
      <c r="AS840" s="7"/>
      <c r="AT840" s="7"/>
    </row>
    <row r="841">
      <c r="W841" s="41"/>
      <c r="X841" s="41"/>
      <c r="Y841" s="7"/>
      <c r="Z841" s="7"/>
      <c r="AA841" s="7"/>
      <c r="AB841" s="7"/>
      <c r="AC841" s="7"/>
      <c r="AD841" s="7"/>
      <c r="AE841" s="7"/>
      <c r="AF841" s="7"/>
      <c r="AG841" s="7"/>
      <c r="AH841" s="7"/>
      <c r="AI841" s="7"/>
      <c r="AJ841" s="7"/>
      <c r="AK841" s="7"/>
      <c r="AL841" s="7"/>
      <c r="AM841" s="7"/>
      <c r="AN841" s="7"/>
      <c r="AO841" s="7"/>
      <c r="AP841" s="7"/>
      <c r="AQ841" s="7"/>
      <c r="AR841" s="7"/>
      <c r="AS841" s="7"/>
      <c r="AT841" s="7"/>
    </row>
    <row r="842">
      <c r="W842" s="41"/>
      <c r="X842" s="41"/>
      <c r="Y842" s="7"/>
      <c r="Z842" s="7"/>
      <c r="AA842" s="7"/>
      <c r="AB842" s="7"/>
      <c r="AC842" s="7"/>
      <c r="AD842" s="7"/>
      <c r="AE842" s="7"/>
      <c r="AF842" s="7"/>
      <c r="AG842" s="7"/>
      <c r="AH842" s="7"/>
      <c r="AI842" s="7"/>
      <c r="AJ842" s="7"/>
      <c r="AK842" s="7"/>
      <c r="AL842" s="7"/>
      <c r="AM842" s="7"/>
      <c r="AN842" s="7"/>
      <c r="AO842" s="7"/>
      <c r="AP842" s="7"/>
      <c r="AQ842" s="7"/>
      <c r="AR842" s="7"/>
      <c r="AS842" s="7"/>
      <c r="AT842" s="7"/>
    </row>
    <row r="843">
      <c r="W843" s="41"/>
      <c r="X843" s="41"/>
      <c r="Y843" s="7"/>
      <c r="Z843" s="7"/>
      <c r="AA843" s="7"/>
      <c r="AB843" s="7"/>
      <c r="AC843" s="7"/>
      <c r="AD843" s="7"/>
      <c r="AE843" s="7"/>
      <c r="AF843" s="7"/>
      <c r="AG843" s="7"/>
      <c r="AH843" s="7"/>
      <c r="AI843" s="7"/>
      <c r="AJ843" s="7"/>
      <c r="AK843" s="7"/>
      <c r="AL843" s="7"/>
      <c r="AM843" s="7"/>
      <c r="AN843" s="7"/>
      <c r="AO843" s="7"/>
      <c r="AP843" s="7"/>
      <c r="AQ843" s="7"/>
      <c r="AR843" s="7"/>
      <c r="AS843" s="7"/>
      <c r="AT843" s="7"/>
    </row>
    <row r="844">
      <c r="W844" s="41"/>
      <c r="X844" s="41"/>
      <c r="Y844" s="7"/>
      <c r="Z844" s="7"/>
      <c r="AA844" s="7"/>
      <c r="AB844" s="7"/>
      <c r="AC844" s="7"/>
      <c r="AD844" s="7"/>
      <c r="AE844" s="7"/>
      <c r="AF844" s="7"/>
      <c r="AG844" s="7"/>
      <c r="AH844" s="7"/>
      <c r="AI844" s="7"/>
      <c r="AJ844" s="7"/>
      <c r="AK844" s="7"/>
      <c r="AL844" s="7"/>
      <c r="AM844" s="7"/>
      <c r="AN844" s="7"/>
      <c r="AO844" s="7"/>
      <c r="AP844" s="7"/>
      <c r="AQ844" s="7"/>
      <c r="AR844" s="7"/>
      <c r="AS844" s="7"/>
      <c r="AT844" s="7"/>
    </row>
    <row r="845">
      <c r="W845" s="41"/>
      <c r="X845" s="41"/>
      <c r="Y845" s="7"/>
      <c r="Z845" s="7"/>
      <c r="AA845" s="7"/>
      <c r="AB845" s="7"/>
      <c r="AC845" s="7"/>
      <c r="AD845" s="7"/>
      <c r="AE845" s="7"/>
      <c r="AF845" s="7"/>
      <c r="AG845" s="7"/>
      <c r="AH845" s="7"/>
      <c r="AI845" s="7"/>
      <c r="AJ845" s="7"/>
      <c r="AK845" s="7"/>
      <c r="AL845" s="7"/>
      <c r="AM845" s="7"/>
      <c r="AN845" s="7"/>
      <c r="AO845" s="7"/>
      <c r="AP845" s="7"/>
      <c r="AQ845" s="7"/>
      <c r="AR845" s="7"/>
      <c r="AS845" s="7"/>
      <c r="AT845" s="7"/>
    </row>
    <row r="846">
      <c r="W846" s="41"/>
      <c r="X846" s="41"/>
      <c r="Y846" s="7"/>
      <c r="Z846" s="7"/>
      <c r="AA846" s="7"/>
      <c r="AB846" s="7"/>
      <c r="AC846" s="7"/>
      <c r="AD846" s="7"/>
      <c r="AE846" s="7"/>
      <c r="AF846" s="7"/>
      <c r="AG846" s="7"/>
      <c r="AH846" s="7"/>
      <c r="AI846" s="7"/>
      <c r="AJ846" s="7"/>
      <c r="AK846" s="7"/>
      <c r="AL846" s="7"/>
      <c r="AM846" s="7"/>
      <c r="AN846" s="7"/>
      <c r="AO846" s="7"/>
      <c r="AP846" s="7"/>
      <c r="AQ846" s="7"/>
      <c r="AR846" s="7"/>
      <c r="AS846" s="7"/>
      <c r="AT846" s="7"/>
    </row>
    <row r="847">
      <c r="W847" s="41"/>
      <c r="X847" s="41"/>
      <c r="Y847" s="7"/>
      <c r="Z847" s="7"/>
      <c r="AA847" s="7"/>
      <c r="AB847" s="7"/>
      <c r="AC847" s="7"/>
      <c r="AD847" s="7"/>
      <c r="AE847" s="7"/>
      <c r="AF847" s="7"/>
      <c r="AG847" s="7"/>
      <c r="AH847" s="7"/>
      <c r="AI847" s="7"/>
      <c r="AJ847" s="7"/>
      <c r="AK847" s="7"/>
      <c r="AL847" s="7"/>
      <c r="AM847" s="7"/>
      <c r="AN847" s="7"/>
      <c r="AO847" s="7"/>
      <c r="AP847" s="7"/>
      <c r="AQ847" s="7"/>
      <c r="AR847" s="7"/>
      <c r="AS847" s="7"/>
      <c r="AT847" s="7"/>
    </row>
    <row r="848">
      <c r="W848" s="41"/>
      <c r="X848" s="41"/>
      <c r="Y848" s="7"/>
      <c r="Z848" s="7"/>
      <c r="AA848" s="7"/>
      <c r="AB848" s="7"/>
      <c r="AC848" s="7"/>
      <c r="AD848" s="7"/>
      <c r="AE848" s="7"/>
      <c r="AF848" s="7"/>
      <c r="AG848" s="7"/>
      <c r="AH848" s="7"/>
      <c r="AI848" s="7"/>
      <c r="AJ848" s="7"/>
      <c r="AK848" s="7"/>
      <c r="AL848" s="7"/>
      <c r="AM848" s="7"/>
      <c r="AN848" s="7"/>
      <c r="AO848" s="7"/>
      <c r="AP848" s="7"/>
      <c r="AQ848" s="7"/>
      <c r="AR848" s="7"/>
      <c r="AS848" s="7"/>
      <c r="AT848" s="7"/>
    </row>
    <row r="849">
      <c r="W849" s="41"/>
      <c r="X849" s="41"/>
      <c r="Y849" s="7"/>
      <c r="Z849" s="7"/>
      <c r="AA849" s="7"/>
      <c r="AB849" s="7"/>
      <c r="AC849" s="7"/>
      <c r="AD849" s="7"/>
      <c r="AE849" s="7"/>
      <c r="AF849" s="7"/>
      <c r="AG849" s="7"/>
      <c r="AH849" s="7"/>
      <c r="AI849" s="7"/>
      <c r="AJ849" s="7"/>
      <c r="AK849" s="7"/>
      <c r="AL849" s="7"/>
      <c r="AM849" s="7"/>
      <c r="AN849" s="7"/>
      <c r="AO849" s="7"/>
      <c r="AP849" s="7"/>
      <c r="AQ849" s="7"/>
      <c r="AR849" s="7"/>
      <c r="AS849" s="7"/>
      <c r="AT849" s="7"/>
    </row>
    <row r="850">
      <c r="W850" s="41"/>
      <c r="X850" s="41"/>
      <c r="Y850" s="7"/>
      <c r="Z850" s="7"/>
      <c r="AA850" s="7"/>
      <c r="AB850" s="7"/>
      <c r="AC850" s="7"/>
      <c r="AD850" s="7"/>
      <c r="AE850" s="7"/>
      <c r="AF850" s="7"/>
      <c r="AG850" s="7"/>
      <c r="AH850" s="7"/>
      <c r="AI850" s="7"/>
      <c r="AJ850" s="7"/>
      <c r="AK850" s="7"/>
      <c r="AL850" s="7"/>
      <c r="AM850" s="7"/>
      <c r="AN850" s="7"/>
      <c r="AO850" s="7"/>
      <c r="AP850" s="7"/>
      <c r="AQ850" s="7"/>
      <c r="AR850" s="7"/>
      <c r="AS850" s="7"/>
      <c r="AT850" s="7"/>
    </row>
    <row r="851">
      <c r="W851" s="41"/>
      <c r="X851" s="41"/>
      <c r="Y851" s="7"/>
      <c r="Z851" s="7"/>
      <c r="AA851" s="7"/>
      <c r="AB851" s="7"/>
      <c r="AC851" s="7"/>
      <c r="AD851" s="7"/>
      <c r="AE851" s="7"/>
      <c r="AF851" s="7"/>
      <c r="AG851" s="7"/>
      <c r="AH851" s="7"/>
      <c r="AI851" s="7"/>
      <c r="AJ851" s="7"/>
      <c r="AK851" s="7"/>
      <c r="AL851" s="7"/>
      <c r="AM851" s="7"/>
      <c r="AN851" s="7"/>
      <c r="AO851" s="7"/>
      <c r="AP851" s="7"/>
      <c r="AQ851" s="7"/>
      <c r="AR851" s="7"/>
      <c r="AS851" s="7"/>
      <c r="AT851" s="7"/>
    </row>
    <row r="852">
      <c r="W852" s="41"/>
      <c r="X852" s="41"/>
      <c r="Y852" s="7"/>
      <c r="Z852" s="7"/>
      <c r="AA852" s="7"/>
      <c r="AB852" s="7"/>
      <c r="AC852" s="7"/>
      <c r="AD852" s="7"/>
      <c r="AE852" s="7"/>
      <c r="AF852" s="7"/>
      <c r="AG852" s="7"/>
      <c r="AH852" s="7"/>
      <c r="AI852" s="7"/>
      <c r="AJ852" s="7"/>
      <c r="AK852" s="7"/>
      <c r="AL852" s="7"/>
      <c r="AM852" s="7"/>
      <c r="AN852" s="7"/>
      <c r="AO852" s="7"/>
      <c r="AP852" s="7"/>
      <c r="AQ852" s="7"/>
      <c r="AR852" s="7"/>
      <c r="AS852" s="7"/>
      <c r="AT852" s="7"/>
    </row>
    <row r="853">
      <c r="W853" s="41"/>
      <c r="X853" s="41"/>
      <c r="Y853" s="7"/>
      <c r="Z853" s="7"/>
      <c r="AA853" s="7"/>
      <c r="AB853" s="7"/>
      <c r="AC853" s="7"/>
      <c r="AD853" s="7"/>
      <c r="AE853" s="7"/>
      <c r="AF853" s="7"/>
      <c r="AG853" s="7"/>
      <c r="AH853" s="7"/>
      <c r="AI853" s="7"/>
      <c r="AJ853" s="7"/>
      <c r="AK853" s="7"/>
      <c r="AL853" s="7"/>
      <c r="AM853" s="7"/>
      <c r="AN853" s="7"/>
      <c r="AO853" s="7"/>
      <c r="AP853" s="7"/>
      <c r="AQ853" s="7"/>
      <c r="AR853" s="7"/>
      <c r="AS853" s="7"/>
      <c r="AT853" s="7"/>
    </row>
    <row r="854">
      <c r="W854" s="41"/>
      <c r="X854" s="41"/>
      <c r="Y854" s="7"/>
      <c r="Z854" s="7"/>
      <c r="AA854" s="7"/>
      <c r="AB854" s="7"/>
      <c r="AC854" s="7"/>
      <c r="AD854" s="7"/>
      <c r="AE854" s="7"/>
      <c r="AF854" s="7"/>
      <c r="AG854" s="7"/>
      <c r="AH854" s="7"/>
      <c r="AI854" s="7"/>
      <c r="AJ854" s="7"/>
      <c r="AK854" s="7"/>
      <c r="AL854" s="7"/>
      <c r="AM854" s="7"/>
      <c r="AN854" s="7"/>
      <c r="AO854" s="7"/>
      <c r="AP854" s="7"/>
      <c r="AQ854" s="7"/>
      <c r="AR854" s="7"/>
      <c r="AS854" s="7"/>
      <c r="AT854" s="7"/>
    </row>
    <row r="855">
      <c r="W855" s="41"/>
      <c r="X855" s="41"/>
      <c r="Y855" s="7"/>
      <c r="Z855" s="7"/>
      <c r="AA855" s="7"/>
      <c r="AB855" s="7"/>
      <c r="AC855" s="7"/>
      <c r="AD855" s="7"/>
      <c r="AE855" s="7"/>
      <c r="AF855" s="7"/>
      <c r="AG855" s="7"/>
      <c r="AH855" s="7"/>
      <c r="AI855" s="7"/>
      <c r="AJ855" s="7"/>
      <c r="AK855" s="7"/>
      <c r="AL855" s="7"/>
      <c r="AM855" s="7"/>
      <c r="AN855" s="7"/>
      <c r="AO855" s="7"/>
      <c r="AP855" s="7"/>
      <c r="AQ855" s="7"/>
      <c r="AR855" s="7"/>
      <c r="AS855" s="7"/>
      <c r="AT855" s="7"/>
    </row>
    <row r="856">
      <c r="W856" s="41"/>
      <c r="X856" s="41"/>
      <c r="Y856" s="7"/>
      <c r="Z856" s="7"/>
      <c r="AA856" s="7"/>
      <c r="AB856" s="7"/>
      <c r="AC856" s="7"/>
      <c r="AD856" s="7"/>
      <c r="AE856" s="7"/>
      <c r="AF856" s="7"/>
      <c r="AG856" s="7"/>
      <c r="AH856" s="7"/>
      <c r="AI856" s="7"/>
      <c r="AJ856" s="7"/>
      <c r="AK856" s="7"/>
      <c r="AL856" s="7"/>
      <c r="AM856" s="7"/>
      <c r="AN856" s="7"/>
      <c r="AO856" s="7"/>
      <c r="AP856" s="7"/>
      <c r="AQ856" s="7"/>
      <c r="AR856" s="7"/>
      <c r="AS856" s="7"/>
      <c r="AT856" s="7"/>
    </row>
    <row r="857">
      <c r="W857" s="41"/>
      <c r="X857" s="41"/>
      <c r="Y857" s="7"/>
      <c r="Z857" s="7"/>
      <c r="AA857" s="7"/>
      <c r="AB857" s="7"/>
      <c r="AC857" s="7"/>
      <c r="AD857" s="7"/>
      <c r="AE857" s="7"/>
      <c r="AF857" s="7"/>
      <c r="AG857" s="7"/>
      <c r="AH857" s="7"/>
      <c r="AI857" s="7"/>
      <c r="AJ857" s="7"/>
      <c r="AK857" s="7"/>
      <c r="AL857" s="7"/>
      <c r="AM857" s="7"/>
      <c r="AN857" s="7"/>
      <c r="AO857" s="7"/>
      <c r="AP857" s="7"/>
      <c r="AQ857" s="7"/>
      <c r="AR857" s="7"/>
      <c r="AS857" s="7"/>
      <c r="AT857" s="7"/>
    </row>
    <row r="858">
      <c r="W858" s="41"/>
      <c r="X858" s="41"/>
      <c r="Y858" s="7"/>
      <c r="Z858" s="7"/>
      <c r="AA858" s="7"/>
      <c r="AB858" s="7"/>
      <c r="AC858" s="7"/>
      <c r="AD858" s="7"/>
      <c r="AE858" s="7"/>
      <c r="AF858" s="7"/>
      <c r="AG858" s="7"/>
      <c r="AH858" s="7"/>
      <c r="AI858" s="7"/>
      <c r="AJ858" s="7"/>
      <c r="AK858" s="7"/>
      <c r="AL858" s="7"/>
      <c r="AM858" s="7"/>
      <c r="AN858" s="7"/>
      <c r="AO858" s="7"/>
      <c r="AP858" s="7"/>
      <c r="AQ858" s="7"/>
      <c r="AR858" s="7"/>
      <c r="AS858" s="7"/>
      <c r="AT858" s="7"/>
    </row>
    <row r="859">
      <c r="W859" s="41"/>
      <c r="X859" s="41"/>
      <c r="Y859" s="7"/>
      <c r="Z859" s="7"/>
      <c r="AA859" s="7"/>
      <c r="AB859" s="7"/>
      <c r="AC859" s="7"/>
      <c r="AD859" s="7"/>
      <c r="AE859" s="7"/>
      <c r="AF859" s="7"/>
      <c r="AG859" s="7"/>
      <c r="AH859" s="7"/>
      <c r="AI859" s="7"/>
      <c r="AJ859" s="7"/>
      <c r="AK859" s="7"/>
      <c r="AL859" s="7"/>
      <c r="AM859" s="7"/>
      <c r="AN859" s="7"/>
      <c r="AO859" s="7"/>
      <c r="AP859" s="7"/>
      <c r="AQ859" s="7"/>
      <c r="AR859" s="7"/>
      <c r="AS859" s="7"/>
      <c r="AT859" s="7"/>
    </row>
    <row r="860">
      <c r="W860" s="41"/>
      <c r="X860" s="41"/>
      <c r="Y860" s="7"/>
      <c r="Z860" s="7"/>
      <c r="AA860" s="7"/>
      <c r="AB860" s="7"/>
      <c r="AC860" s="7"/>
      <c r="AD860" s="7"/>
      <c r="AE860" s="7"/>
      <c r="AF860" s="7"/>
      <c r="AG860" s="7"/>
      <c r="AH860" s="7"/>
      <c r="AI860" s="7"/>
      <c r="AJ860" s="7"/>
      <c r="AK860" s="7"/>
      <c r="AL860" s="7"/>
      <c r="AM860" s="7"/>
      <c r="AN860" s="7"/>
      <c r="AO860" s="7"/>
      <c r="AP860" s="7"/>
      <c r="AQ860" s="7"/>
      <c r="AR860" s="7"/>
      <c r="AS860" s="7"/>
      <c r="AT860" s="7"/>
    </row>
    <row r="861">
      <c r="W861" s="41"/>
      <c r="X861" s="41"/>
      <c r="Y861" s="7"/>
      <c r="Z861" s="7"/>
      <c r="AA861" s="7"/>
      <c r="AB861" s="7"/>
      <c r="AC861" s="7"/>
      <c r="AD861" s="7"/>
      <c r="AE861" s="7"/>
      <c r="AF861" s="7"/>
      <c r="AG861" s="7"/>
      <c r="AH861" s="7"/>
      <c r="AI861" s="7"/>
      <c r="AJ861" s="7"/>
      <c r="AK861" s="7"/>
      <c r="AL861" s="7"/>
      <c r="AM861" s="7"/>
      <c r="AN861" s="7"/>
      <c r="AO861" s="7"/>
      <c r="AP861" s="7"/>
      <c r="AQ861" s="7"/>
      <c r="AR861" s="7"/>
      <c r="AS861" s="7"/>
      <c r="AT861" s="7"/>
    </row>
    <row r="862">
      <c r="W862" s="41"/>
      <c r="X862" s="41"/>
      <c r="Y862" s="7"/>
      <c r="Z862" s="7"/>
      <c r="AA862" s="7"/>
      <c r="AB862" s="7"/>
      <c r="AC862" s="7"/>
      <c r="AD862" s="7"/>
      <c r="AE862" s="7"/>
      <c r="AF862" s="7"/>
      <c r="AG862" s="7"/>
      <c r="AH862" s="7"/>
      <c r="AI862" s="7"/>
      <c r="AJ862" s="7"/>
      <c r="AK862" s="7"/>
      <c r="AL862" s="7"/>
      <c r="AM862" s="7"/>
      <c r="AN862" s="7"/>
      <c r="AO862" s="7"/>
      <c r="AP862" s="7"/>
      <c r="AQ862" s="7"/>
      <c r="AR862" s="7"/>
      <c r="AS862" s="7"/>
      <c r="AT862" s="7"/>
    </row>
    <row r="863">
      <c r="W863" s="41"/>
      <c r="X863" s="41"/>
      <c r="Y863" s="7"/>
      <c r="Z863" s="7"/>
      <c r="AA863" s="7"/>
      <c r="AB863" s="7"/>
      <c r="AC863" s="7"/>
      <c r="AD863" s="7"/>
      <c r="AE863" s="7"/>
      <c r="AF863" s="7"/>
      <c r="AG863" s="7"/>
      <c r="AH863" s="7"/>
      <c r="AI863" s="7"/>
      <c r="AJ863" s="7"/>
      <c r="AK863" s="7"/>
      <c r="AL863" s="7"/>
      <c r="AM863" s="7"/>
      <c r="AN863" s="7"/>
      <c r="AO863" s="7"/>
      <c r="AP863" s="7"/>
      <c r="AQ863" s="7"/>
      <c r="AR863" s="7"/>
      <c r="AS863" s="7"/>
      <c r="AT863" s="7"/>
    </row>
    <row r="864">
      <c r="W864" s="41"/>
      <c r="X864" s="41"/>
      <c r="Y864" s="7"/>
      <c r="Z864" s="7"/>
      <c r="AA864" s="7"/>
      <c r="AB864" s="7"/>
      <c r="AC864" s="7"/>
      <c r="AD864" s="7"/>
      <c r="AE864" s="7"/>
      <c r="AF864" s="7"/>
      <c r="AG864" s="7"/>
      <c r="AH864" s="7"/>
      <c r="AI864" s="7"/>
      <c r="AJ864" s="7"/>
      <c r="AK864" s="7"/>
      <c r="AL864" s="7"/>
      <c r="AM864" s="7"/>
      <c r="AN864" s="7"/>
      <c r="AO864" s="7"/>
      <c r="AP864" s="7"/>
      <c r="AQ864" s="7"/>
      <c r="AR864" s="7"/>
      <c r="AS864" s="7"/>
      <c r="AT864" s="7"/>
    </row>
    <row r="865">
      <c r="W865" s="41"/>
      <c r="X865" s="41"/>
      <c r="Y865" s="7"/>
      <c r="Z865" s="7"/>
      <c r="AA865" s="7"/>
      <c r="AB865" s="7"/>
      <c r="AC865" s="7"/>
      <c r="AD865" s="7"/>
      <c r="AE865" s="7"/>
      <c r="AF865" s="7"/>
      <c r="AG865" s="7"/>
      <c r="AH865" s="7"/>
      <c r="AI865" s="7"/>
      <c r="AJ865" s="7"/>
      <c r="AK865" s="7"/>
      <c r="AL865" s="7"/>
      <c r="AM865" s="7"/>
      <c r="AN865" s="7"/>
      <c r="AO865" s="7"/>
      <c r="AP865" s="7"/>
      <c r="AQ865" s="7"/>
      <c r="AR865" s="7"/>
      <c r="AS865" s="7"/>
      <c r="AT865" s="7"/>
    </row>
    <row r="866">
      <c r="W866" s="41"/>
      <c r="X866" s="41"/>
      <c r="Y866" s="7"/>
      <c r="Z866" s="7"/>
      <c r="AA866" s="7"/>
      <c r="AB866" s="7"/>
      <c r="AC866" s="7"/>
      <c r="AD866" s="7"/>
      <c r="AE866" s="7"/>
      <c r="AF866" s="7"/>
      <c r="AG866" s="7"/>
      <c r="AH866" s="7"/>
      <c r="AI866" s="7"/>
      <c r="AJ866" s="7"/>
      <c r="AK866" s="7"/>
      <c r="AL866" s="7"/>
      <c r="AM866" s="7"/>
      <c r="AN866" s="7"/>
      <c r="AO866" s="7"/>
      <c r="AP866" s="7"/>
      <c r="AQ866" s="7"/>
      <c r="AR866" s="7"/>
      <c r="AS866" s="7"/>
      <c r="AT866" s="7"/>
    </row>
    <row r="867">
      <c r="W867" s="41"/>
      <c r="X867" s="41"/>
      <c r="Y867" s="7"/>
      <c r="Z867" s="7"/>
      <c r="AA867" s="7"/>
      <c r="AB867" s="7"/>
      <c r="AC867" s="7"/>
      <c r="AD867" s="7"/>
      <c r="AE867" s="7"/>
      <c r="AF867" s="7"/>
      <c r="AG867" s="7"/>
      <c r="AH867" s="7"/>
      <c r="AI867" s="7"/>
      <c r="AJ867" s="7"/>
      <c r="AK867" s="7"/>
      <c r="AL867" s="7"/>
      <c r="AM867" s="7"/>
      <c r="AN867" s="7"/>
      <c r="AO867" s="7"/>
      <c r="AP867" s="7"/>
      <c r="AQ867" s="7"/>
      <c r="AR867" s="7"/>
      <c r="AS867" s="7"/>
      <c r="AT867" s="7"/>
    </row>
    <row r="868">
      <c r="W868" s="41"/>
      <c r="X868" s="41"/>
      <c r="Y868" s="7"/>
      <c r="Z868" s="7"/>
      <c r="AA868" s="7"/>
      <c r="AB868" s="7"/>
      <c r="AC868" s="7"/>
      <c r="AD868" s="7"/>
      <c r="AE868" s="7"/>
      <c r="AF868" s="7"/>
      <c r="AG868" s="7"/>
      <c r="AH868" s="7"/>
      <c r="AI868" s="7"/>
      <c r="AJ868" s="7"/>
      <c r="AK868" s="7"/>
      <c r="AL868" s="7"/>
      <c r="AM868" s="7"/>
      <c r="AN868" s="7"/>
      <c r="AO868" s="7"/>
      <c r="AP868" s="7"/>
      <c r="AQ868" s="7"/>
      <c r="AR868" s="7"/>
      <c r="AS868" s="7"/>
      <c r="AT868" s="7"/>
    </row>
    <row r="869">
      <c r="W869" s="41"/>
      <c r="X869" s="41"/>
      <c r="Y869" s="7"/>
      <c r="Z869" s="7"/>
      <c r="AA869" s="7"/>
      <c r="AB869" s="7"/>
      <c r="AC869" s="7"/>
      <c r="AD869" s="7"/>
      <c r="AE869" s="7"/>
      <c r="AF869" s="7"/>
      <c r="AG869" s="7"/>
      <c r="AH869" s="7"/>
      <c r="AI869" s="7"/>
      <c r="AJ869" s="7"/>
      <c r="AK869" s="7"/>
      <c r="AL869" s="7"/>
      <c r="AM869" s="7"/>
      <c r="AN869" s="7"/>
      <c r="AO869" s="7"/>
      <c r="AP869" s="7"/>
      <c r="AQ869" s="7"/>
      <c r="AR869" s="7"/>
      <c r="AS869" s="7"/>
      <c r="AT869" s="7"/>
    </row>
    <row r="870">
      <c r="W870" s="41"/>
      <c r="X870" s="41"/>
      <c r="Y870" s="7"/>
      <c r="Z870" s="7"/>
      <c r="AA870" s="7"/>
      <c r="AB870" s="7"/>
      <c r="AC870" s="7"/>
      <c r="AD870" s="7"/>
      <c r="AE870" s="7"/>
      <c r="AF870" s="7"/>
      <c r="AG870" s="7"/>
      <c r="AH870" s="7"/>
      <c r="AI870" s="7"/>
      <c r="AJ870" s="7"/>
      <c r="AK870" s="7"/>
      <c r="AL870" s="7"/>
      <c r="AM870" s="7"/>
      <c r="AN870" s="7"/>
      <c r="AO870" s="7"/>
      <c r="AP870" s="7"/>
      <c r="AQ870" s="7"/>
      <c r="AR870" s="7"/>
      <c r="AS870" s="7"/>
      <c r="AT870" s="7"/>
    </row>
    <row r="871">
      <c r="W871" s="41"/>
      <c r="X871" s="41"/>
      <c r="Y871" s="7"/>
      <c r="Z871" s="7"/>
      <c r="AA871" s="7"/>
      <c r="AB871" s="7"/>
      <c r="AC871" s="7"/>
      <c r="AD871" s="7"/>
      <c r="AE871" s="7"/>
      <c r="AF871" s="7"/>
      <c r="AG871" s="7"/>
      <c r="AH871" s="7"/>
      <c r="AI871" s="7"/>
      <c r="AJ871" s="7"/>
      <c r="AK871" s="7"/>
      <c r="AL871" s="7"/>
      <c r="AM871" s="7"/>
      <c r="AN871" s="7"/>
      <c r="AO871" s="7"/>
      <c r="AP871" s="7"/>
      <c r="AQ871" s="7"/>
      <c r="AR871" s="7"/>
      <c r="AS871" s="7"/>
      <c r="AT871" s="7"/>
    </row>
    <row r="872">
      <c r="W872" s="41"/>
      <c r="X872" s="41"/>
      <c r="Y872" s="7"/>
      <c r="Z872" s="7"/>
      <c r="AA872" s="7"/>
      <c r="AB872" s="7"/>
      <c r="AC872" s="7"/>
      <c r="AD872" s="7"/>
      <c r="AE872" s="7"/>
      <c r="AF872" s="7"/>
      <c r="AG872" s="7"/>
      <c r="AH872" s="7"/>
      <c r="AI872" s="7"/>
      <c r="AJ872" s="7"/>
      <c r="AK872" s="7"/>
      <c r="AL872" s="7"/>
      <c r="AM872" s="7"/>
      <c r="AN872" s="7"/>
      <c r="AO872" s="7"/>
      <c r="AP872" s="7"/>
      <c r="AQ872" s="7"/>
      <c r="AR872" s="7"/>
      <c r="AS872" s="7"/>
      <c r="AT872" s="7"/>
    </row>
    <row r="873">
      <c r="W873" s="41"/>
      <c r="X873" s="41"/>
      <c r="Y873" s="7"/>
      <c r="Z873" s="7"/>
      <c r="AA873" s="7"/>
      <c r="AB873" s="7"/>
      <c r="AC873" s="7"/>
      <c r="AD873" s="7"/>
      <c r="AE873" s="7"/>
      <c r="AF873" s="7"/>
      <c r="AG873" s="7"/>
      <c r="AH873" s="7"/>
      <c r="AI873" s="7"/>
      <c r="AJ873" s="7"/>
      <c r="AK873" s="7"/>
      <c r="AL873" s="7"/>
      <c r="AM873" s="7"/>
      <c r="AN873" s="7"/>
      <c r="AO873" s="7"/>
      <c r="AP873" s="7"/>
      <c r="AQ873" s="7"/>
      <c r="AR873" s="7"/>
      <c r="AS873" s="7"/>
      <c r="AT873" s="7"/>
    </row>
    <row r="874">
      <c r="W874" s="41"/>
      <c r="X874" s="41"/>
      <c r="Y874" s="7"/>
      <c r="Z874" s="7"/>
      <c r="AA874" s="7"/>
      <c r="AB874" s="7"/>
      <c r="AC874" s="7"/>
      <c r="AD874" s="7"/>
      <c r="AE874" s="7"/>
      <c r="AF874" s="7"/>
      <c r="AG874" s="7"/>
      <c r="AH874" s="7"/>
      <c r="AI874" s="7"/>
      <c r="AJ874" s="7"/>
      <c r="AK874" s="7"/>
      <c r="AL874" s="7"/>
      <c r="AM874" s="7"/>
      <c r="AN874" s="7"/>
      <c r="AO874" s="7"/>
      <c r="AP874" s="7"/>
      <c r="AQ874" s="7"/>
      <c r="AR874" s="7"/>
      <c r="AS874" s="7"/>
      <c r="AT874" s="7"/>
    </row>
    <row r="875">
      <c r="W875" s="41"/>
      <c r="X875" s="41"/>
      <c r="Y875" s="7"/>
      <c r="Z875" s="7"/>
      <c r="AA875" s="7"/>
      <c r="AB875" s="7"/>
      <c r="AC875" s="7"/>
      <c r="AD875" s="7"/>
      <c r="AE875" s="7"/>
      <c r="AF875" s="7"/>
      <c r="AG875" s="7"/>
      <c r="AH875" s="7"/>
      <c r="AI875" s="7"/>
      <c r="AJ875" s="7"/>
      <c r="AK875" s="7"/>
      <c r="AL875" s="7"/>
      <c r="AM875" s="7"/>
      <c r="AN875" s="7"/>
      <c r="AO875" s="7"/>
      <c r="AP875" s="7"/>
      <c r="AQ875" s="7"/>
      <c r="AR875" s="7"/>
      <c r="AS875" s="7"/>
      <c r="AT875" s="7"/>
    </row>
    <row r="876">
      <c r="W876" s="41"/>
      <c r="X876" s="41"/>
      <c r="Y876" s="7"/>
      <c r="Z876" s="7"/>
      <c r="AA876" s="7"/>
      <c r="AB876" s="7"/>
      <c r="AC876" s="7"/>
      <c r="AD876" s="7"/>
      <c r="AE876" s="7"/>
      <c r="AF876" s="7"/>
      <c r="AG876" s="7"/>
      <c r="AH876" s="7"/>
      <c r="AI876" s="7"/>
      <c r="AJ876" s="7"/>
      <c r="AK876" s="7"/>
      <c r="AL876" s="7"/>
      <c r="AM876" s="7"/>
      <c r="AN876" s="7"/>
      <c r="AO876" s="7"/>
      <c r="AP876" s="7"/>
      <c r="AQ876" s="7"/>
      <c r="AR876" s="7"/>
      <c r="AS876" s="7"/>
      <c r="AT876" s="7"/>
    </row>
    <row r="877">
      <c r="W877" s="41"/>
      <c r="X877" s="41"/>
      <c r="Y877" s="7"/>
      <c r="Z877" s="7"/>
      <c r="AA877" s="7"/>
      <c r="AB877" s="7"/>
      <c r="AC877" s="7"/>
      <c r="AD877" s="7"/>
      <c r="AE877" s="7"/>
      <c r="AF877" s="7"/>
      <c r="AG877" s="7"/>
      <c r="AH877" s="7"/>
      <c r="AI877" s="7"/>
      <c r="AJ877" s="7"/>
      <c r="AK877" s="7"/>
      <c r="AL877" s="7"/>
      <c r="AM877" s="7"/>
      <c r="AN877" s="7"/>
      <c r="AO877" s="7"/>
      <c r="AP877" s="7"/>
      <c r="AQ877" s="7"/>
      <c r="AR877" s="7"/>
      <c r="AS877" s="7"/>
      <c r="AT877" s="7"/>
    </row>
    <row r="878">
      <c r="W878" s="41"/>
      <c r="X878" s="41"/>
      <c r="Y878" s="7"/>
      <c r="Z878" s="7"/>
      <c r="AA878" s="7"/>
      <c r="AB878" s="7"/>
      <c r="AC878" s="7"/>
      <c r="AD878" s="7"/>
      <c r="AE878" s="7"/>
      <c r="AF878" s="7"/>
      <c r="AG878" s="7"/>
      <c r="AH878" s="7"/>
      <c r="AI878" s="7"/>
      <c r="AJ878" s="7"/>
      <c r="AK878" s="7"/>
      <c r="AL878" s="7"/>
      <c r="AM878" s="7"/>
      <c r="AN878" s="7"/>
      <c r="AO878" s="7"/>
      <c r="AP878" s="7"/>
      <c r="AQ878" s="7"/>
      <c r="AR878" s="7"/>
      <c r="AS878" s="7"/>
      <c r="AT878" s="7"/>
    </row>
    <row r="879">
      <c r="W879" s="41"/>
      <c r="X879" s="41"/>
      <c r="Y879" s="7"/>
      <c r="Z879" s="7"/>
      <c r="AA879" s="7"/>
      <c r="AB879" s="7"/>
      <c r="AC879" s="7"/>
      <c r="AD879" s="7"/>
      <c r="AE879" s="7"/>
      <c r="AF879" s="7"/>
      <c r="AG879" s="7"/>
      <c r="AH879" s="7"/>
      <c r="AI879" s="7"/>
      <c r="AJ879" s="7"/>
      <c r="AK879" s="7"/>
      <c r="AL879" s="7"/>
      <c r="AM879" s="7"/>
      <c r="AN879" s="7"/>
      <c r="AO879" s="7"/>
      <c r="AP879" s="7"/>
      <c r="AQ879" s="7"/>
      <c r="AR879" s="7"/>
      <c r="AS879" s="7"/>
      <c r="AT879" s="7"/>
    </row>
    <row r="880">
      <c r="W880" s="41"/>
      <c r="X880" s="41"/>
      <c r="Y880" s="7"/>
      <c r="Z880" s="7"/>
      <c r="AA880" s="7"/>
      <c r="AB880" s="7"/>
      <c r="AC880" s="7"/>
      <c r="AD880" s="7"/>
      <c r="AE880" s="7"/>
      <c r="AF880" s="7"/>
      <c r="AG880" s="7"/>
      <c r="AH880" s="7"/>
      <c r="AI880" s="7"/>
      <c r="AJ880" s="7"/>
      <c r="AK880" s="7"/>
      <c r="AL880" s="7"/>
      <c r="AM880" s="7"/>
      <c r="AN880" s="7"/>
      <c r="AO880" s="7"/>
      <c r="AP880" s="7"/>
      <c r="AQ880" s="7"/>
      <c r="AR880" s="7"/>
      <c r="AS880" s="7"/>
      <c r="AT880" s="7"/>
    </row>
    <row r="881">
      <c r="W881" s="41"/>
      <c r="X881" s="41"/>
      <c r="Y881" s="7"/>
      <c r="Z881" s="7"/>
      <c r="AA881" s="7"/>
      <c r="AB881" s="7"/>
      <c r="AC881" s="7"/>
      <c r="AD881" s="7"/>
      <c r="AE881" s="7"/>
      <c r="AF881" s="7"/>
      <c r="AG881" s="7"/>
      <c r="AH881" s="7"/>
      <c r="AI881" s="7"/>
      <c r="AJ881" s="7"/>
      <c r="AK881" s="7"/>
      <c r="AL881" s="7"/>
      <c r="AM881" s="7"/>
      <c r="AN881" s="7"/>
      <c r="AO881" s="7"/>
      <c r="AP881" s="7"/>
      <c r="AQ881" s="7"/>
      <c r="AR881" s="7"/>
      <c r="AS881" s="7"/>
      <c r="AT881" s="7"/>
    </row>
    <row r="882">
      <c r="W882" s="41"/>
      <c r="X882" s="41"/>
      <c r="Y882" s="7"/>
      <c r="Z882" s="7"/>
      <c r="AA882" s="7"/>
      <c r="AB882" s="7"/>
      <c r="AC882" s="7"/>
      <c r="AD882" s="7"/>
      <c r="AE882" s="7"/>
      <c r="AF882" s="7"/>
      <c r="AG882" s="7"/>
      <c r="AH882" s="7"/>
      <c r="AI882" s="7"/>
      <c r="AJ882" s="7"/>
      <c r="AK882" s="7"/>
      <c r="AL882" s="7"/>
      <c r="AM882" s="7"/>
      <c r="AN882" s="7"/>
      <c r="AO882" s="7"/>
      <c r="AP882" s="7"/>
      <c r="AQ882" s="7"/>
      <c r="AR882" s="7"/>
      <c r="AS882" s="7"/>
      <c r="AT882" s="7"/>
    </row>
    <row r="883">
      <c r="W883" s="41"/>
      <c r="X883" s="41"/>
      <c r="Y883" s="7"/>
      <c r="Z883" s="7"/>
      <c r="AA883" s="7"/>
      <c r="AB883" s="7"/>
      <c r="AC883" s="7"/>
      <c r="AD883" s="7"/>
      <c r="AE883" s="7"/>
      <c r="AF883" s="7"/>
      <c r="AG883" s="7"/>
      <c r="AH883" s="7"/>
      <c r="AI883" s="7"/>
      <c r="AJ883" s="7"/>
      <c r="AK883" s="7"/>
      <c r="AL883" s="7"/>
      <c r="AM883" s="7"/>
      <c r="AN883" s="7"/>
      <c r="AO883" s="7"/>
      <c r="AP883" s="7"/>
      <c r="AQ883" s="7"/>
      <c r="AR883" s="7"/>
      <c r="AS883" s="7"/>
      <c r="AT883" s="7"/>
    </row>
    <row r="884">
      <c r="W884" s="41"/>
      <c r="X884" s="41"/>
      <c r="Y884" s="7"/>
      <c r="Z884" s="7"/>
      <c r="AA884" s="7"/>
      <c r="AB884" s="7"/>
      <c r="AC884" s="7"/>
      <c r="AD884" s="7"/>
      <c r="AE884" s="7"/>
      <c r="AF884" s="7"/>
      <c r="AG884" s="7"/>
      <c r="AH884" s="7"/>
      <c r="AI884" s="7"/>
      <c r="AJ884" s="7"/>
      <c r="AK884" s="7"/>
      <c r="AL884" s="7"/>
      <c r="AM884" s="7"/>
      <c r="AN884" s="7"/>
      <c r="AO884" s="7"/>
      <c r="AP884" s="7"/>
      <c r="AQ884" s="7"/>
      <c r="AR884" s="7"/>
      <c r="AS884" s="7"/>
      <c r="AT884" s="7"/>
    </row>
    <row r="885">
      <c r="W885" s="41"/>
      <c r="X885" s="41"/>
      <c r="Y885" s="7"/>
      <c r="Z885" s="7"/>
      <c r="AA885" s="7"/>
      <c r="AB885" s="7"/>
      <c r="AC885" s="7"/>
      <c r="AD885" s="7"/>
      <c r="AE885" s="7"/>
      <c r="AF885" s="7"/>
      <c r="AG885" s="7"/>
      <c r="AH885" s="7"/>
      <c r="AI885" s="7"/>
      <c r="AJ885" s="7"/>
      <c r="AK885" s="7"/>
      <c r="AL885" s="7"/>
      <c r="AM885" s="7"/>
      <c r="AN885" s="7"/>
      <c r="AO885" s="7"/>
      <c r="AP885" s="7"/>
      <c r="AQ885" s="7"/>
      <c r="AR885" s="7"/>
      <c r="AS885" s="7"/>
      <c r="AT885" s="7"/>
    </row>
    <row r="886">
      <c r="W886" s="41"/>
      <c r="X886" s="41"/>
      <c r="Y886" s="7"/>
      <c r="Z886" s="7"/>
      <c r="AA886" s="7"/>
      <c r="AB886" s="7"/>
      <c r="AC886" s="7"/>
      <c r="AD886" s="7"/>
      <c r="AE886" s="7"/>
      <c r="AF886" s="7"/>
      <c r="AG886" s="7"/>
      <c r="AH886" s="7"/>
      <c r="AI886" s="7"/>
      <c r="AJ886" s="7"/>
      <c r="AK886" s="7"/>
      <c r="AL886" s="7"/>
      <c r="AM886" s="7"/>
      <c r="AN886" s="7"/>
      <c r="AO886" s="7"/>
      <c r="AP886" s="7"/>
      <c r="AQ886" s="7"/>
      <c r="AR886" s="7"/>
      <c r="AS886" s="7"/>
      <c r="AT886" s="7"/>
    </row>
    <row r="887">
      <c r="W887" s="41"/>
      <c r="X887" s="41"/>
      <c r="Y887" s="7"/>
      <c r="Z887" s="7"/>
      <c r="AA887" s="7"/>
      <c r="AB887" s="7"/>
      <c r="AC887" s="7"/>
      <c r="AD887" s="7"/>
      <c r="AE887" s="7"/>
      <c r="AF887" s="7"/>
      <c r="AG887" s="7"/>
      <c r="AH887" s="7"/>
      <c r="AI887" s="7"/>
      <c r="AJ887" s="7"/>
      <c r="AK887" s="7"/>
      <c r="AL887" s="7"/>
      <c r="AM887" s="7"/>
      <c r="AN887" s="7"/>
      <c r="AO887" s="7"/>
      <c r="AP887" s="7"/>
      <c r="AQ887" s="7"/>
      <c r="AR887" s="7"/>
      <c r="AS887" s="7"/>
      <c r="AT887" s="7"/>
    </row>
    <row r="888">
      <c r="W888" s="41"/>
      <c r="X888" s="41"/>
      <c r="Y888" s="7"/>
      <c r="Z888" s="7"/>
      <c r="AA888" s="7"/>
      <c r="AB888" s="7"/>
      <c r="AC888" s="7"/>
      <c r="AD888" s="7"/>
      <c r="AE888" s="7"/>
      <c r="AF888" s="7"/>
      <c r="AG888" s="7"/>
      <c r="AH888" s="7"/>
      <c r="AI888" s="7"/>
      <c r="AJ888" s="7"/>
      <c r="AK888" s="7"/>
      <c r="AL888" s="7"/>
      <c r="AM888" s="7"/>
      <c r="AN888" s="7"/>
      <c r="AO888" s="7"/>
      <c r="AP888" s="7"/>
      <c r="AQ888" s="7"/>
      <c r="AR888" s="7"/>
      <c r="AS888" s="7"/>
      <c r="AT888" s="7"/>
    </row>
    <row r="889">
      <c r="W889" s="41"/>
      <c r="X889" s="41"/>
      <c r="Y889" s="7"/>
      <c r="Z889" s="7"/>
      <c r="AA889" s="7"/>
      <c r="AB889" s="7"/>
      <c r="AC889" s="7"/>
      <c r="AD889" s="7"/>
      <c r="AE889" s="7"/>
      <c r="AF889" s="7"/>
      <c r="AG889" s="7"/>
      <c r="AH889" s="7"/>
      <c r="AI889" s="7"/>
      <c r="AJ889" s="7"/>
      <c r="AK889" s="7"/>
      <c r="AL889" s="7"/>
      <c r="AM889" s="7"/>
      <c r="AN889" s="7"/>
      <c r="AO889" s="7"/>
      <c r="AP889" s="7"/>
      <c r="AQ889" s="7"/>
      <c r="AR889" s="7"/>
      <c r="AS889" s="7"/>
      <c r="AT889" s="7"/>
    </row>
    <row r="890">
      <c r="W890" s="41"/>
      <c r="X890" s="41"/>
      <c r="Y890" s="7"/>
      <c r="Z890" s="7"/>
      <c r="AA890" s="7"/>
      <c r="AB890" s="7"/>
      <c r="AC890" s="7"/>
      <c r="AD890" s="7"/>
      <c r="AE890" s="7"/>
      <c r="AF890" s="7"/>
      <c r="AG890" s="7"/>
      <c r="AH890" s="7"/>
      <c r="AI890" s="7"/>
      <c r="AJ890" s="7"/>
      <c r="AK890" s="7"/>
      <c r="AL890" s="7"/>
      <c r="AM890" s="7"/>
      <c r="AN890" s="7"/>
      <c r="AO890" s="7"/>
      <c r="AP890" s="7"/>
      <c r="AQ890" s="7"/>
      <c r="AR890" s="7"/>
      <c r="AS890" s="7"/>
      <c r="AT890" s="7"/>
    </row>
    <row r="891">
      <c r="W891" s="41"/>
      <c r="X891" s="41"/>
      <c r="Y891" s="7"/>
      <c r="Z891" s="7"/>
      <c r="AA891" s="7"/>
      <c r="AB891" s="7"/>
      <c r="AC891" s="7"/>
      <c r="AD891" s="7"/>
      <c r="AE891" s="7"/>
      <c r="AF891" s="7"/>
      <c r="AG891" s="7"/>
      <c r="AH891" s="7"/>
      <c r="AI891" s="7"/>
      <c r="AJ891" s="7"/>
      <c r="AK891" s="7"/>
      <c r="AL891" s="7"/>
      <c r="AM891" s="7"/>
      <c r="AN891" s="7"/>
      <c r="AO891" s="7"/>
      <c r="AP891" s="7"/>
      <c r="AQ891" s="7"/>
      <c r="AR891" s="7"/>
      <c r="AS891" s="7"/>
      <c r="AT891" s="7"/>
    </row>
    <row r="892">
      <c r="W892" s="41"/>
      <c r="X892" s="41"/>
      <c r="Y892" s="7"/>
      <c r="Z892" s="7"/>
      <c r="AA892" s="7"/>
      <c r="AB892" s="7"/>
      <c r="AC892" s="7"/>
      <c r="AD892" s="7"/>
      <c r="AE892" s="7"/>
      <c r="AF892" s="7"/>
      <c r="AG892" s="7"/>
      <c r="AH892" s="7"/>
      <c r="AI892" s="7"/>
      <c r="AJ892" s="7"/>
      <c r="AK892" s="7"/>
      <c r="AL892" s="7"/>
      <c r="AM892" s="7"/>
      <c r="AN892" s="7"/>
      <c r="AO892" s="7"/>
      <c r="AP892" s="7"/>
      <c r="AQ892" s="7"/>
      <c r="AR892" s="7"/>
      <c r="AS892" s="7"/>
      <c r="AT892" s="7"/>
    </row>
    <row r="893">
      <c r="W893" s="41"/>
      <c r="X893" s="41"/>
      <c r="Y893" s="7"/>
      <c r="Z893" s="7"/>
      <c r="AA893" s="7"/>
      <c r="AB893" s="7"/>
      <c r="AC893" s="7"/>
      <c r="AD893" s="7"/>
      <c r="AE893" s="7"/>
      <c r="AF893" s="7"/>
      <c r="AG893" s="7"/>
      <c r="AH893" s="7"/>
      <c r="AI893" s="7"/>
      <c r="AJ893" s="7"/>
      <c r="AK893" s="7"/>
      <c r="AL893" s="7"/>
      <c r="AM893" s="7"/>
      <c r="AN893" s="7"/>
      <c r="AO893" s="7"/>
      <c r="AP893" s="7"/>
      <c r="AQ893" s="7"/>
      <c r="AR893" s="7"/>
      <c r="AS893" s="7"/>
      <c r="AT893" s="7"/>
    </row>
    <row r="894">
      <c r="W894" s="41"/>
      <c r="X894" s="41"/>
      <c r="Y894" s="7"/>
      <c r="Z894" s="7"/>
      <c r="AA894" s="7"/>
      <c r="AB894" s="7"/>
      <c r="AC894" s="7"/>
      <c r="AD894" s="7"/>
      <c r="AE894" s="7"/>
      <c r="AF894" s="7"/>
      <c r="AG894" s="7"/>
      <c r="AH894" s="7"/>
      <c r="AI894" s="7"/>
      <c r="AJ894" s="7"/>
      <c r="AK894" s="7"/>
      <c r="AL894" s="7"/>
      <c r="AM894" s="7"/>
      <c r="AN894" s="7"/>
      <c r="AO894" s="7"/>
      <c r="AP894" s="7"/>
      <c r="AQ894" s="7"/>
      <c r="AR894" s="7"/>
      <c r="AS894" s="7"/>
      <c r="AT894" s="7"/>
    </row>
    <row r="895">
      <c r="W895" s="41"/>
      <c r="X895" s="41"/>
      <c r="Y895" s="7"/>
      <c r="Z895" s="7"/>
      <c r="AA895" s="7"/>
      <c r="AB895" s="7"/>
      <c r="AC895" s="7"/>
      <c r="AD895" s="7"/>
      <c r="AE895" s="7"/>
      <c r="AF895" s="7"/>
      <c r="AG895" s="7"/>
      <c r="AH895" s="7"/>
      <c r="AI895" s="7"/>
      <c r="AJ895" s="7"/>
      <c r="AK895" s="7"/>
      <c r="AL895" s="7"/>
      <c r="AM895" s="7"/>
      <c r="AN895" s="7"/>
      <c r="AO895" s="7"/>
      <c r="AP895" s="7"/>
      <c r="AQ895" s="7"/>
      <c r="AR895" s="7"/>
      <c r="AS895" s="7"/>
      <c r="AT895" s="7"/>
    </row>
    <row r="896">
      <c r="W896" s="41"/>
      <c r="X896" s="41"/>
      <c r="Y896" s="7"/>
      <c r="Z896" s="7"/>
      <c r="AA896" s="7"/>
      <c r="AB896" s="7"/>
      <c r="AC896" s="7"/>
      <c r="AD896" s="7"/>
      <c r="AE896" s="7"/>
      <c r="AF896" s="7"/>
      <c r="AG896" s="7"/>
      <c r="AH896" s="7"/>
      <c r="AI896" s="7"/>
      <c r="AJ896" s="7"/>
      <c r="AK896" s="7"/>
      <c r="AL896" s="7"/>
      <c r="AM896" s="7"/>
      <c r="AN896" s="7"/>
      <c r="AO896" s="7"/>
      <c r="AP896" s="7"/>
      <c r="AQ896" s="7"/>
      <c r="AR896" s="7"/>
      <c r="AS896" s="7"/>
      <c r="AT896" s="7"/>
    </row>
    <row r="897">
      <c r="W897" s="41"/>
      <c r="X897" s="41"/>
      <c r="Y897" s="7"/>
      <c r="Z897" s="7"/>
      <c r="AA897" s="7"/>
      <c r="AB897" s="7"/>
      <c r="AC897" s="7"/>
      <c r="AD897" s="7"/>
      <c r="AE897" s="7"/>
      <c r="AF897" s="7"/>
      <c r="AG897" s="7"/>
      <c r="AH897" s="7"/>
      <c r="AI897" s="7"/>
      <c r="AJ897" s="7"/>
      <c r="AK897" s="7"/>
      <c r="AL897" s="7"/>
      <c r="AM897" s="7"/>
      <c r="AN897" s="7"/>
      <c r="AO897" s="7"/>
      <c r="AP897" s="7"/>
      <c r="AQ897" s="7"/>
      <c r="AR897" s="7"/>
      <c r="AS897" s="7"/>
      <c r="AT897" s="7"/>
    </row>
    <row r="898">
      <c r="W898" s="41"/>
      <c r="X898" s="41"/>
      <c r="Y898" s="7"/>
      <c r="Z898" s="7"/>
      <c r="AA898" s="7"/>
      <c r="AB898" s="7"/>
      <c r="AC898" s="7"/>
      <c r="AD898" s="7"/>
      <c r="AE898" s="7"/>
      <c r="AF898" s="7"/>
      <c r="AG898" s="7"/>
      <c r="AH898" s="7"/>
      <c r="AI898" s="7"/>
      <c r="AJ898" s="7"/>
      <c r="AK898" s="7"/>
      <c r="AL898" s="7"/>
      <c r="AM898" s="7"/>
      <c r="AN898" s="7"/>
      <c r="AO898" s="7"/>
      <c r="AP898" s="7"/>
      <c r="AQ898" s="7"/>
      <c r="AR898" s="7"/>
      <c r="AS898" s="7"/>
      <c r="AT898" s="7"/>
    </row>
    <row r="899">
      <c r="W899" s="41"/>
      <c r="X899" s="41"/>
      <c r="Y899" s="7"/>
      <c r="Z899" s="7"/>
      <c r="AA899" s="7"/>
      <c r="AB899" s="7"/>
      <c r="AC899" s="7"/>
      <c r="AD899" s="7"/>
      <c r="AE899" s="7"/>
      <c r="AF899" s="7"/>
      <c r="AG899" s="7"/>
      <c r="AH899" s="7"/>
      <c r="AI899" s="7"/>
      <c r="AJ899" s="7"/>
      <c r="AK899" s="7"/>
      <c r="AL899" s="7"/>
      <c r="AM899" s="7"/>
      <c r="AN899" s="7"/>
      <c r="AO899" s="7"/>
      <c r="AP899" s="7"/>
      <c r="AQ899" s="7"/>
      <c r="AR899" s="7"/>
      <c r="AS899" s="7"/>
      <c r="AT899" s="7"/>
    </row>
    <row r="900">
      <c r="W900" s="41"/>
      <c r="X900" s="41"/>
      <c r="Y900" s="7"/>
      <c r="Z900" s="7"/>
      <c r="AA900" s="7"/>
      <c r="AB900" s="7"/>
      <c r="AC900" s="7"/>
      <c r="AD900" s="7"/>
      <c r="AE900" s="7"/>
      <c r="AF900" s="7"/>
      <c r="AG900" s="7"/>
      <c r="AH900" s="7"/>
      <c r="AI900" s="7"/>
      <c r="AJ900" s="7"/>
      <c r="AK900" s="7"/>
      <c r="AL900" s="7"/>
      <c r="AM900" s="7"/>
      <c r="AN900" s="7"/>
      <c r="AO900" s="7"/>
      <c r="AP900" s="7"/>
      <c r="AQ900" s="7"/>
      <c r="AR900" s="7"/>
      <c r="AS900" s="7"/>
      <c r="AT900" s="7"/>
    </row>
    <row r="901">
      <c r="W901" s="41"/>
      <c r="X901" s="41"/>
      <c r="Y901" s="7"/>
      <c r="Z901" s="7"/>
      <c r="AA901" s="7"/>
      <c r="AB901" s="7"/>
      <c r="AC901" s="7"/>
      <c r="AD901" s="7"/>
      <c r="AE901" s="7"/>
      <c r="AF901" s="7"/>
      <c r="AG901" s="7"/>
      <c r="AH901" s="7"/>
      <c r="AI901" s="7"/>
      <c r="AJ901" s="7"/>
      <c r="AK901" s="7"/>
      <c r="AL901" s="7"/>
      <c r="AM901" s="7"/>
      <c r="AN901" s="7"/>
      <c r="AO901" s="7"/>
      <c r="AP901" s="7"/>
      <c r="AQ901" s="7"/>
      <c r="AR901" s="7"/>
      <c r="AS901" s="7"/>
      <c r="AT901" s="7"/>
    </row>
    <row r="902">
      <c r="W902" s="41"/>
      <c r="X902" s="41"/>
      <c r="Y902" s="7"/>
      <c r="Z902" s="7"/>
      <c r="AA902" s="7"/>
      <c r="AB902" s="7"/>
      <c r="AC902" s="7"/>
      <c r="AD902" s="7"/>
      <c r="AE902" s="7"/>
      <c r="AF902" s="7"/>
      <c r="AG902" s="7"/>
      <c r="AH902" s="7"/>
      <c r="AI902" s="7"/>
      <c r="AJ902" s="7"/>
      <c r="AK902" s="7"/>
      <c r="AL902" s="7"/>
      <c r="AM902" s="7"/>
      <c r="AN902" s="7"/>
      <c r="AO902" s="7"/>
      <c r="AP902" s="7"/>
      <c r="AQ902" s="7"/>
      <c r="AR902" s="7"/>
      <c r="AS902" s="7"/>
      <c r="AT902" s="7"/>
    </row>
    <row r="903">
      <c r="W903" s="41"/>
      <c r="X903" s="41"/>
      <c r="Y903" s="7"/>
      <c r="Z903" s="7"/>
      <c r="AA903" s="7"/>
      <c r="AB903" s="7"/>
      <c r="AC903" s="7"/>
      <c r="AD903" s="7"/>
      <c r="AE903" s="7"/>
      <c r="AF903" s="7"/>
      <c r="AG903" s="7"/>
      <c r="AH903" s="7"/>
      <c r="AI903" s="7"/>
      <c r="AJ903" s="7"/>
      <c r="AK903" s="7"/>
      <c r="AL903" s="7"/>
      <c r="AM903" s="7"/>
      <c r="AN903" s="7"/>
      <c r="AO903" s="7"/>
      <c r="AP903" s="7"/>
      <c r="AQ903" s="7"/>
      <c r="AR903" s="7"/>
      <c r="AS903" s="7"/>
      <c r="AT903" s="7"/>
    </row>
    <row r="904">
      <c r="W904" s="41"/>
      <c r="X904" s="41"/>
      <c r="Y904" s="7"/>
      <c r="Z904" s="7"/>
      <c r="AA904" s="7"/>
      <c r="AB904" s="7"/>
      <c r="AC904" s="7"/>
      <c r="AD904" s="7"/>
      <c r="AE904" s="7"/>
      <c r="AF904" s="7"/>
      <c r="AG904" s="7"/>
      <c r="AH904" s="7"/>
      <c r="AI904" s="7"/>
      <c r="AJ904" s="7"/>
      <c r="AK904" s="7"/>
      <c r="AL904" s="7"/>
      <c r="AM904" s="7"/>
      <c r="AN904" s="7"/>
      <c r="AO904" s="7"/>
      <c r="AP904" s="7"/>
      <c r="AQ904" s="7"/>
      <c r="AR904" s="7"/>
      <c r="AS904" s="7"/>
      <c r="AT904" s="7"/>
    </row>
    <row r="905">
      <c r="W905" s="41"/>
      <c r="X905" s="41"/>
      <c r="Y905" s="7"/>
      <c r="Z905" s="7"/>
      <c r="AA905" s="7"/>
      <c r="AB905" s="7"/>
      <c r="AC905" s="7"/>
      <c r="AD905" s="7"/>
      <c r="AE905" s="7"/>
      <c r="AF905" s="7"/>
      <c r="AG905" s="7"/>
      <c r="AH905" s="7"/>
      <c r="AI905" s="7"/>
      <c r="AJ905" s="7"/>
      <c r="AK905" s="7"/>
      <c r="AL905" s="7"/>
      <c r="AM905" s="7"/>
      <c r="AN905" s="7"/>
      <c r="AO905" s="7"/>
      <c r="AP905" s="7"/>
      <c r="AQ905" s="7"/>
      <c r="AR905" s="7"/>
      <c r="AS905" s="7"/>
      <c r="AT905" s="7"/>
    </row>
    <row r="906">
      <c r="W906" s="41"/>
      <c r="X906" s="41"/>
      <c r="Y906" s="7"/>
      <c r="Z906" s="7"/>
      <c r="AA906" s="7"/>
      <c r="AB906" s="7"/>
      <c r="AC906" s="7"/>
      <c r="AD906" s="7"/>
      <c r="AE906" s="7"/>
      <c r="AF906" s="7"/>
      <c r="AG906" s="7"/>
      <c r="AH906" s="7"/>
      <c r="AI906" s="7"/>
      <c r="AJ906" s="7"/>
      <c r="AK906" s="7"/>
      <c r="AL906" s="7"/>
      <c r="AM906" s="7"/>
      <c r="AN906" s="7"/>
      <c r="AO906" s="7"/>
      <c r="AP906" s="7"/>
      <c r="AQ906" s="7"/>
      <c r="AR906" s="7"/>
      <c r="AS906" s="7"/>
      <c r="AT906" s="7"/>
    </row>
    <row r="907">
      <c r="W907" s="41"/>
      <c r="X907" s="41"/>
      <c r="Y907" s="7"/>
      <c r="Z907" s="7"/>
      <c r="AA907" s="7"/>
      <c r="AB907" s="7"/>
      <c r="AC907" s="7"/>
      <c r="AD907" s="7"/>
      <c r="AE907" s="7"/>
      <c r="AF907" s="7"/>
      <c r="AG907" s="7"/>
      <c r="AH907" s="7"/>
      <c r="AI907" s="7"/>
      <c r="AJ907" s="7"/>
      <c r="AK907" s="7"/>
      <c r="AL907" s="7"/>
      <c r="AM907" s="7"/>
      <c r="AN907" s="7"/>
      <c r="AO907" s="7"/>
      <c r="AP907" s="7"/>
      <c r="AQ907" s="7"/>
      <c r="AR907" s="7"/>
      <c r="AS907" s="7"/>
      <c r="AT907" s="7"/>
    </row>
    <row r="908">
      <c r="W908" s="41"/>
      <c r="X908" s="41"/>
      <c r="Y908" s="7"/>
      <c r="Z908" s="7"/>
      <c r="AA908" s="7"/>
      <c r="AB908" s="7"/>
      <c r="AC908" s="7"/>
      <c r="AD908" s="7"/>
      <c r="AE908" s="7"/>
      <c r="AF908" s="7"/>
      <c r="AG908" s="7"/>
      <c r="AH908" s="7"/>
      <c r="AI908" s="7"/>
      <c r="AJ908" s="7"/>
      <c r="AK908" s="7"/>
      <c r="AL908" s="7"/>
      <c r="AM908" s="7"/>
      <c r="AN908" s="7"/>
      <c r="AO908" s="7"/>
      <c r="AP908" s="7"/>
      <c r="AQ908" s="7"/>
      <c r="AR908" s="7"/>
      <c r="AS908" s="7"/>
      <c r="AT908" s="7"/>
    </row>
    <row r="909">
      <c r="W909" s="41"/>
      <c r="X909" s="41"/>
      <c r="Y909" s="7"/>
      <c r="Z909" s="7"/>
      <c r="AA909" s="7"/>
      <c r="AB909" s="7"/>
      <c r="AC909" s="7"/>
      <c r="AD909" s="7"/>
      <c r="AE909" s="7"/>
      <c r="AF909" s="7"/>
      <c r="AG909" s="7"/>
      <c r="AH909" s="7"/>
      <c r="AI909" s="7"/>
      <c r="AJ909" s="7"/>
      <c r="AK909" s="7"/>
      <c r="AL909" s="7"/>
      <c r="AM909" s="7"/>
      <c r="AN909" s="7"/>
      <c r="AO909" s="7"/>
      <c r="AP909" s="7"/>
      <c r="AQ909" s="7"/>
      <c r="AR909" s="7"/>
      <c r="AS909" s="7"/>
      <c r="AT909" s="7"/>
    </row>
    <row r="910">
      <c r="W910" s="41"/>
      <c r="X910" s="41"/>
      <c r="Y910" s="7"/>
      <c r="Z910" s="7"/>
      <c r="AA910" s="7"/>
      <c r="AB910" s="7"/>
      <c r="AC910" s="7"/>
      <c r="AD910" s="7"/>
      <c r="AE910" s="7"/>
      <c r="AF910" s="7"/>
      <c r="AG910" s="7"/>
      <c r="AH910" s="7"/>
      <c r="AI910" s="7"/>
      <c r="AJ910" s="7"/>
      <c r="AK910" s="7"/>
      <c r="AL910" s="7"/>
      <c r="AM910" s="7"/>
      <c r="AN910" s="7"/>
      <c r="AO910" s="7"/>
      <c r="AP910" s="7"/>
      <c r="AQ910" s="7"/>
      <c r="AR910" s="7"/>
      <c r="AS910" s="7"/>
      <c r="AT910" s="7"/>
    </row>
    <row r="911">
      <c r="W911" s="41"/>
      <c r="X911" s="41"/>
      <c r="Y911" s="7"/>
      <c r="Z911" s="7"/>
      <c r="AA911" s="7"/>
      <c r="AB911" s="7"/>
      <c r="AC911" s="7"/>
      <c r="AD911" s="7"/>
      <c r="AE911" s="7"/>
      <c r="AF911" s="7"/>
      <c r="AG911" s="7"/>
      <c r="AH911" s="7"/>
      <c r="AI911" s="7"/>
      <c r="AJ911" s="7"/>
      <c r="AK911" s="7"/>
      <c r="AL911" s="7"/>
      <c r="AM911" s="7"/>
      <c r="AN911" s="7"/>
      <c r="AO911" s="7"/>
      <c r="AP911" s="7"/>
      <c r="AQ911" s="7"/>
      <c r="AR911" s="7"/>
      <c r="AS911" s="7"/>
      <c r="AT911" s="7"/>
    </row>
    <row r="912">
      <c r="W912" s="41"/>
      <c r="X912" s="41"/>
      <c r="Y912" s="7"/>
      <c r="Z912" s="7"/>
      <c r="AA912" s="7"/>
      <c r="AB912" s="7"/>
      <c r="AC912" s="7"/>
      <c r="AD912" s="7"/>
      <c r="AE912" s="7"/>
      <c r="AF912" s="7"/>
      <c r="AG912" s="7"/>
      <c r="AH912" s="7"/>
      <c r="AI912" s="7"/>
      <c r="AJ912" s="7"/>
      <c r="AK912" s="7"/>
      <c r="AL912" s="7"/>
      <c r="AM912" s="7"/>
      <c r="AN912" s="7"/>
      <c r="AO912" s="7"/>
      <c r="AP912" s="7"/>
      <c r="AQ912" s="7"/>
      <c r="AR912" s="7"/>
      <c r="AS912" s="7"/>
      <c r="AT912" s="7"/>
    </row>
    <row r="913">
      <c r="W913" s="41"/>
      <c r="X913" s="41"/>
      <c r="Y913" s="7"/>
      <c r="Z913" s="7"/>
      <c r="AA913" s="7"/>
      <c r="AB913" s="7"/>
      <c r="AC913" s="7"/>
      <c r="AD913" s="7"/>
      <c r="AE913" s="7"/>
      <c r="AF913" s="7"/>
      <c r="AG913" s="7"/>
      <c r="AH913" s="7"/>
      <c r="AI913" s="7"/>
      <c r="AJ913" s="7"/>
      <c r="AK913" s="7"/>
      <c r="AL913" s="7"/>
      <c r="AM913" s="7"/>
      <c r="AN913" s="7"/>
      <c r="AO913" s="7"/>
      <c r="AP913" s="7"/>
      <c r="AQ913" s="7"/>
      <c r="AR913" s="7"/>
      <c r="AS913" s="7"/>
      <c r="AT913" s="7"/>
    </row>
    <row r="914">
      <c r="W914" s="41"/>
      <c r="X914" s="41"/>
      <c r="Y914" s="7"/>
      <c r="Z914" s="7"/>
      <c r="AA914" s="7"/>
      <c r="AB914" s="7"/>
      <c r="AC914" s="7"/>
      <c r="AD914" s="7"/>
      <c r="AE914" s="7"/>
      <c r="AF914" s="7"/>
      <c r="AG914" s="7"/>
      <c r="AH914" s="7"/>
      <c r="AI914" s="7"/>
      <c r="AJ914" s="7"/>
      <c r="AK914" s="7"/>
      <c r="AL914" s="7"/>
      <c r="AM914" s="7"/>
      <c r="AN914" s="7"/>
      <c r="AO914" s="7"/>
      <c r="AP914" s="7"/>
      <c r="AQ914" s="7"/>
      <c r="AR914" s="7"/>
      <c r="AS914" s="7"/>
      <c r="AT914" s="7"/>
    </row>
    <row r="915">
      <c r="W915" s="41"/>
      <c r="X915" s="41"/>
      <c r="Y915" s="7"/>
      <c r="Z915" s="7"/>
      <c r="AA915" s="7"/>
      <c r="AB915" s="7"/>
      <c r="AC915" s="7"/>
      <c r="AD915" s="7"/>
      <c r="AE915" s="7"/>
      <c r="AF915" s="7"/>
      <c r="AG915" s="7"/>
      <c r="AH915" s="7"/>
      <c r="AI915" s="7"/>
      <c r="AJ915" s="7"/>
      <c r="AK915" s="7"/>
      <c r="AL915" s="7"/>
      <c r="AM915" s="7"/>
      <c r="AN915" s="7"/>
      <c r="AO915" s="7"/>
      <c r="AP915" s="7"/>
      <c r="AQ915" s="7"/>
      <c r="AR915" s="7"/>
      <c r="AS915" s="7"/>
      <c r="AT915" s="7"/>
    </row>
    <row r="916">
      <c r="W916" s="41"/>
      <c r="X916" s="41"/>
      <c r="Y916" s="7"/>
      <c r="Z916" s="7"/>
      <c r="AA916" s="7"/>
      <c r="AB916" s="7"/>
      <c r="AC916" s="7"/>
      <c r="AD916" s="7"/>
      <c r="AE916" s="7"/>
      <c r="AF916" s="7"/>
      <c r="AG916" s="7"/>
      <c r="AH916" s="7"/>
      <c r="AI916" s="7"/>
      <c r="AJ916" s="7"/>
      <c r="AK916" s="7"/>
      <c r="AL916" s="7"/>
      <c r="AM916" s="7"/>
      <c r="AN916" s="7"/>
      <c r="AO916" s="7"/>
      <c r="AP916" s="7"/>
      <c r="AQ916" s="7"/>
      <c r="AR916" s="7"/>
      <c r="AS916" s="7"/>
      <c r="AT916" s="7"/>
    </row>
    <row r="917">
      <c r="W917" s="41"/>
      <c r="X917" s="41"/>
      <c r="Y917" s="7"/>
      <c r="Z917" s="7"/>
      <c r="AA917" s="7"/>
      <c r="AB917" s="7"/>
      <c r="AC917" s="7"/>
      <c r="AD917" s="7"/>
      <c r="AE917" s="7"/>
      <c r="AF917" s="7"/>
      <c r="AG917" s="7"/>
      <c r="AH917" s="7"/>
      <c r="AI917" s="7"/>
      <c r="AJ917" s="7"/>
      <c r="AK917" s="7"/>
      <c r="AL917" s="7"/>
      <c r="AM917" s="7"/>
      <c r="AN917" s="7"/>
      <c r="AO917" s="7"/>
      <c r="AP917" s="7"/>
      <c r="AQ917" s="7"/>
      <c r="AR917" s="7"/>
      <c r="AS917" s="7"/>
      <c r="AT917" s="7"/>
    </row>
    <row r="918">
      <c r="W918" s="41"/>
      <c r="X918" s="41"/>
      <c r="Y918" s="7"/>
      <c r="Z918" s="7"/>
      <c r="AA918" s="7"/>
      <c r="AB918" s="7"/>
      <c r="AC918" s="7"/>
      <c r="AD918" s="7"/>
      <c r="AE918" s="7"/>
      <c r="AF918" s="7"/>
      <c r="AG918" s="7"/>
      <c r="AH918" s="7"/>
      <c r="AI918" s="7"/>
      <c r="AJ918" s="7"/>
      <c r="AK918" s="7"/>
      <c r="AL918" s="7"/>
      <c r="AM918" s="7"/>
      <c r="AN918" s="7"/>
      <c r="AO918" s="7"/>
      <c r="AP918" s="7"/>
      <c r="AQ918" s="7"/>
      <c r="AR918" s="7"/>
      <c r="AS918" s="7"/>
      <c r="AT918" s="7"/>
    </row>
    <row r="919">
      <c r="W919" s="41"/>
      <c r="X919" s="41"/>
      <c r="Y919" s="7"/>
      <c r="Z919" s="7"/>
      <c r="AA919" s="7"/>
      <c r="AB919" s="7"/>
      <c r="AC919" s="7"/>
      <c r="AD919" s="7"/>
      <c r="AE919" s="7"/>
      <c r="AF919" s="7"/>
      <c r="AG919" s="7"/>
      <c r="AH919" s="7"/>
      <c r="AI919" s="7"/>
      <c r="AJ919" s="7"/>
      <c r="AK919" s="7"/>
      <c r="AL919" s="7"/>
      <c r="AM919" s="7"/>
      <c r="AN919" s="7"/>
      <c r="AO919" s="7"/>
      <c r="AP919" s="7"/>
      <c r="AQ919" s="7"/>
      <c r="AR919" s="7"/>
      <c r="AS919" s="7"/>
      <c r="AT919" s="7"/>
    </row>
    <row r="920">
      <c r="W920" s="41"/>
      <c r="X920" s="41"/>
      <c r="Y920" s="7"/>
      <c r="Z920" s="7"/>
      <c r="AA920" s="7"/>
      <c r="AB920" s="7"/>
      <c r="AC920" s="7"/>
      <c r="AD920" s="7"/>
      <c r="AE920" s="7"/>
      <c r="AF920" s="7"/>
      <c r="AG920" s="7"/>
      <c r="AH920" s="7"/>
      <c r="AI920" s="7"/>
      <c r="AJ920" s="7"/>
      <c r="AK920" s="7"/>
      <c r="AL920" s="7"/>
      <c r="AM920" s="7"/>
      <c r="AN920" s="7"/>
      <c r="AO920" s="7"/>
      <c r="AP920" s="7"/>
      <c r="AQ920" s="7"/>
      <c r="AR920" s="7"/>
      <c r="AS920" s="7"/>
      <c r="AT920" s="7"/>
    </row>
    <row r="921">
      <c r="W921" s="41"/>
      <c r="X921" s="41"/>
      <c r="Y921" s="7"/>
      <c r="Z921" s="7"/>
      <c r="AA921" s="7"/>
      <c r="AB921" s="7"/>
      <c r="AC921" s="7"/>
      <c r="AD921" s="7"/>
      <c r="AE921" s="7"/>
      <c r="AF921" s="7"/>
      <c r="AG921" s="7"/>
      <c r="AH921" s="7"/>
      <c r="AI921" s="7"/>
      <c r="AJ921" s="7"/>
      <c r="AK921" s="7"/>
      <c r="AL921" s="7"/>
      <c r="AM921" s="7"/>
      <c r="AN921" s="7"/>
      <c r="AO921" s="7"/>
      <c r="AP921" s="7"/>
      <c r="AQ921" s="7"/>
      <c r="AR921" s="7"/>
      <c r="AS921" s="7"/>
      <c r="AT921" s="7"/>
    </row>
    <row r="922">
      <c r="W922" s="41"/>
      <c r="X922" s="41"/>
      <c r="Y922" s="7"/>
      <c r="Z922" s="7"/>
      <c r="AA922" s="7"/>
      <c r="AB922" s="7"/>
      <c r="AC922" s="7"/>
      <c r="AD922" s="7"/>
      <c r="AE922" s="7"/>
      <c r="AF922" s="7"/>
      <c r="AG922" s="7"/>
      <c r="AH922" s="7"/>
      <c r="AI922" s="7"/>
      <c r="AJ922" s="7"/>
      <c r="AK922" s="7"/>
      <c r="AL922" s="7"/>
      <c r="AM922" s="7"/>
      <c r="AN922" s="7"/>
      <c r="AO922" s="7"/>
      <c r="AP922" s="7"/>
      <c r="AQ922" s="7"/>
      <c r="AR922" s="7"/>
      <c r="AS922" s="7"/>
      <c r="AT922" s="7"/>
    </row>
    <row r="923">
      <c r="W923" s="41"/>
      <c r="X923" s="41"/>
      <c r="Y923" s="7"/>
      <c r="Z923" s="7"/>
      <c r="AA923" s="7"/>
      <c r="AB923" s="7"/>
      <c r="AC923" s="7"/>
      <c r="AD923" s="7"/>
      <c r="AE923" s="7"/>
      <c r="AF923" s="7"/>
      <c r="AG923" s="7"/>
      <c r="AH923" s="7"/>
      <c r="AI923" s="7"/>
      <c r="AJ923" s="7"/>
      <c r="AK923" s="7"/>
      <c r="AL923" s="7"/>
      <c r="AM923" s="7"/>
      <c r="AN923" s="7"/>
      <c r="AO923" s="7"/>
      <c r="AP923" s="7"/>
      <c r="AQ923" s="7"/>
      <c r="AR923" s="7"/>
      <c r="AS923" s="7"/>
      <c r="AT923" s="7"/>
    </row>
    <row r="924">
      <c r="W924" s="41"/>
      <c r="X924" s="41"/>
      <c r="Y924" s="7"/>
      <c r="Z924" s="7"/>
      <c r="AA924" s="7"/>
      <c r="AB924" s="7"/>
      <c r="AC924" s="7"/>
      <c r="AD924" s="7"/>
      <c r="AE924" s="7"/>
      <c r="AF924" s="7"/>
      <c r="AG924" s="7"/>
      <c r="AH924" s="7"/>
      <c r="AI924" s="7"/>
      <c r="AJ924" s="7"/>
      <c r="AK924" s="7"/>
      <c r="AL924" s="7"/>
      <c r="AM924" s="7"/>
      <c r="AN924" s="7"/>
      <c r="AO924" s="7"/>
      <c r="AP924" s="7"/>
      <c r="AQ924" s="7"/>
      <c r="AR924" s="7"/>
      <c r="AS924" s="7"/>
      <c r="AT924" s="7"/>
    </row>
    <row r="925">
      <c r="W925" s="41"/>
      <c r="X925" s="41"/>
      <c r="Y925" s="7"/>
      <c r="Z925" s="7"/>
      <c r="AA925" s="7"/>
      <c r="AB925" s="7"/>
      <c r="AC925" s="7"/>
      <c r="AD925" s="7"/>
      <c r="AE925" s="7"/>
      <c r="AF925" s="7"/>
      <c r="AG925" s="7"/>
      <c r="AH925" s="7"/>
      <c r="AI925" s="7"/>
      <c r="AJ925" s="7"/>
      <c r="AK925" s="7"/>
      <c r="AL925" s="7"/>
      <c r="AM925" s="7"/>
      <c r="AN925" s="7"/>
      <c r="AO925" s="7"/>
      <c r="AP925" s="7"/>
      <c r="AQ925" s="7"/>
      <c r="AR925" s="7"/>
      <c r="AS925" s="7"/>
      <c r="AT925" s="7"/>
    </row>
    <row r="926">
      <c r="W926" s="41"/>
      <c r="X926" s="41"/>
      <c r="Y926" s="7"/>
      <c r="Z926" s="7"/>
      <c r="AA926" s="7"/>
      <c r="AB926" s="7"/>
      <c r="AC926" s="7"/>
      <c r="AD926" s="7"/>
      <c r="AE926" s="7"/>
      <c r="AF926" s="7"/>
      <c r="AG926" s="7"/>
      <c r="AH926" s="7"/>
      <c r="AI926" s="7"/>
      <c r="AJ926" s="7"/>
      <c r="AK926" s="7"/>
      <c r="AL926" s="7"/>
      <c r="AM926" s="7"/>
      <c r="AN926" s="7"/>
      <c r="AO926" s="7"/>
      <c r="AP926" s="7"/>
      <c r="AQ926" s="7"/>
      <c r="AR926" s="7"/>
      <c r="AS926" s="7"/>
      <c r="AT926" s="7"/>
    </row>
    <row r="927">
      <c r="W927" s="41"/>
      <c r="X927" s="41"/>
      <c r="Y927" s="7"/>
      <c r="Z927" s="7"/>
      <c r="AA927" s="7"/>
      <c r="AB927" s="7"/>
      <c r="AC927" s="7"/>
      <c r="AD927" s="7"/>
      <c r="AE927" s="7"/>
      <c r="AF927" s="7"/>
      <c r="AG927" s="7"/>
      <c r="AH927" s="7"/>
      <c r="AI927" s="7"/>
      <c r="AJ927" s="7"/>
      <c r="AK927" s="7"/>
      <c r="AL927" s="7"/>
      <c r="AM927" s="7"/>
      <c r="AN927" s="7"/>
      <c r="AO927" s="7"/>
      <c r="AP927" s="7"/>
      <c r="AQ927" s="7"/>
      <c r="AR927" s="7"/>
      <c r="AS927" s="7"/>
      <c r="AT927" s="7"/>
    </row>
    <row r="928">
      <c r="W928" s="41"/>
      <c r="X928" s="41"/>
      <c r="Y928" s="7"/>
      <c r="Z928" s="7"/>
      <c r="AA928" s="7"/>
      <c r="AB928" s="7"/>
      <c r="AC928" s="7"/>
      <c r="AD928" s="7"/>
      <c r="AE928" s="7"/>
      <c r="AF928" s="7"/>
      <c r="AG928" s="7"/>
      <c r="AH928" s="7"/>
      <c r="AI928" s="7"/>
      <c r="AJ928" s="7"/>
      <c r="AK928" s="7"/>
      <c r="AL928" s="7"/>
      <c r="AM928" s="7"/>
      <c r="AN928" s="7"/>
      <c r="AO928" s="7"/>
      <c r="AP928" s="7"/>
      <c r="AQ928" s="7"/>
      <c r="AR928" s="7"/>
      <c r="AS928" s="7"/>
      <c r="AT928" s="7"/>
    </row>
    <row r="929">
      <c r="W929" s="41"/>
      <c r="X929" s="41"/>
      <c r="Y929" s="7"/>
      <c r="Z929" s="7"/>
      <c r="AA929" s="7"/>
      <c r="AB929" s="7"/>
      <c r="AC929" s="7"/>
      <c r="AD929" s="7"/>
      <c r="AE929" s="7"/>
      <c r="AF929" s="7"/>
      <c r="AG929" s="7"/>
      <c r="AH929" s="7"/>
      <c r="AI929" s="7"/>
      <c r="AJ929" s="7"/>
      <c r="AK929" s="7"/>
      <c r="AL929" s="7"/>
      <c r="AM929" s="7"/>
      <c r="AN929" s="7"/>
      <c r="AO929" s="7"/>
      <c r="AP929" s="7"/>
      <c r="AQ929" s="7"/>
      <c r="AR929" s="7"/>
      <c r="AS929" s="7"/>
      <c r="AT929" s="7"/>
    </row>
    <row r="930">
      <c r="W930" s="41"/>
      <c r="X930" s="41"/>
      <c r="Y930" s="7"/>
      <c r="Z930" s="7"/>
      <c r="AA930" s="7"/>
      <c r="AB930" s="7"/>
      <c r="AC930" s="7"/>
      <c r="AD930" s="7"/>
      <c r="AE930" s="7"/>
      <c r="AF930" s="7"/>
      <c r="AG930" s="7"/>
      <c r="AH930" s="7"/>
      <c r="AI930" s="7"/>
      <c r="AJ930" s="7"/>
      <c r="AK930" s="7"/>
      <c r="AL930" s="7"/>
      <c r="AM930" s="7"/>
      <c r="AN930" s="7"/>
      <c r="AO930" s="7"/>
      <c r="AP930" s="7"/>
      <c r="AQ930" s="7"/>
      <c r="AR930" s="7"/>
      <c r="AS930" s="7"/>
      <c r="AT930" s="7"/>
    </row>
    <row r="931">
      <c r="W931" s="41"/>
      <c r="X931" s="41"/>
      <c r="Y931" s="7"/>
      <c r="Z931" s="7"/>
      <c r="AA931" s="7"/>
      <c r="AB931" s="7"/>
      <c r="AC931" s="7"/>
      <c r="AD931" s="7"/>
      <c r="AE931" s="7"/>
      <c r="AF931" s="7"/>
      <c r="AG931" s="7"/>
      <c r="AH931" s="7"/>
      <c r="AI931" s="7"/>
      <c r="AJ931" s="7"/>
      <c r="AK931" s="7"/>
      <c r="AL931" s="7"/>
      <c r="AM931" s="7"/>
      <c r="AN931" s="7"/>
      <c r="AO931" s="7"/>
      <c r="AP931" s="7"/>
      <c r="AQ931" s="7"/>
      <c r="AR931" s="7"/>
      <c r="AS931" s="7"/>
      <c r="AT931" s="7"/>
    </row>
    <row r="932">
      <c r="W932" s="41"/>
      <c r="X932" s="41"/>
      <c r="Y932" s="7"/>
      <c r="Z932" s="7"/>
      <c r="AA932" s="7"/>
      <c r="AB932" s="7"/>
      <c r="AC932" s="7"/>
      <c r="AD932" s="7"/>
      <c r="AE932" s="7"/>
      <c r="AF932" s="7"/>
      <c r="AG932" s="7"/>
      <c r="AH932" s="7"/>
      <c r="AI932" s="7"/>
      <c r="AJ932" s="7"/>
      <c r="AK932" s="7"/>
      <c r="AL932" s="7"/>
      <c r="AM932" s="7"/>
      <c r="AN932" s="7"/>
      <c r="AO932" s="7"/>
      <c r="AP932" s="7"/>
      <c r="AQ932" s="7"/>
      <c r="AR932" s="7"/>
      <c r="AS932" s="7"/>
      <c r="AT932" s="7"/>
    </row>
    <row r="933">
      <c r="W933" s="41"/>
      <c r="X933" s="41"/>
      <c r="Y933" s="7"/>
      <c r="Z933" s="7"/>
      <c r="AA933" s="7"/>
      <c r="AB933" s="7"/>
      <c r="AC933" s="7"/>
      <c r="AD933" s="7"/>
      <c r="AE933" s="7"/>
      <c r="AF933" s="7"/>
      <c r="AG933" s="7"/>
      <c r="AH933" s="7"/>
      <c r="AI933" s="7"/>
      <c r="AJ933" s="7"/>
      <c r="AK933" s="7"/>
      <c r="AL933" s="7"/>
      <c r="AM933" s="7"/>
      <c r="AN933" s="7"/>
      <c r="AO933" s="7"/>
      <c r="AP933" s="7"/>
      <c r="AQ933" s="7"/>
      <c r="AR933" s="7"/>
      <c r="AS933" s="7"/>
      <c r="AT933" s="7"/>
    </row>
    <row r="934">
      <c r="W934" s="41"/>
      <c r="X934" s="41"/>
      <c r="Y934" s="7"/>
      <c r="Z934" s="7"/>
      <c r="AA934" s="7"/>
      <c r="AB934" s="7"/>
      <c r="AC934" s="7"/>
      <c r="AD934" s="7"/>
      <c r="AE934" s="7"/>
      <c r="AF934" s="7"/>
      <c r="AG934" s="7"/>
      <c r="AH934" s="7"/>
      <c r="AI934" s="7"/>
      <c r="AJ934" s="7"/>
      <c r="AK934" s="7"/>
      <c r="AL934" s="7"/>
      <c r="AM934" s="7"/>
      <c r="AN934" s="7"/>
      <c r="AO934" s="7"/>
      <c r="AP934" s="7"/>
      <c r="AQ934" s="7"/>
      <c r="AR934" s="7"/>
      <c r="AS934" s="7"/>
      <c r="AT934" s="7"/>
    </row>
    <row r="935">
      <c r="W935" s="41"/>
      <c r="X935" s="41"/>
      <c r="Y935" s="7"/>
      <c r="Z935" s="7"/>
      <c r="AA935" s="7"/>
      <c r="AB935" s="7"/>
      <c r="AC935" s="7"/>
      <c r="AD935" s="7"/>
      <c r="AE935" s="7"/>
      <c r="AF935" s="7"/>
      <c r="AG935" s="7"/>
      <c r="AH935" s="7"/>
      <c r="AI935" s="7"/>
      <c r="AJ935" s="7"/>
      <c r="AK935" s="7"/>
      <c r="AL935" s="7"/>
      <c r="AM935" s="7"/>
      <c r="AN935" s="7"/>
      <c r="AO935" s="7"/>
      <c r="AP935" s="7"/>
      <c r="AQ935" s="7"/>
      <c r="AR935" s="7"/>
      <c r="AS935" s="7"/>
      <c r="AT935" s="7"/>
    </row>
    <row r="936">
      <c r="W936" s="41"/>
      <c r="X936" s="41"/>
      <c r="Y936" s="7"/>
      <c r="Z936" s="7"/>
      <c r="AA936" s="7"/>
      <c r="AB936" s="7"/>
      <c r="AC936" s="7"/>
      <c r="AD936" s="7"/>
      <c r="AE936" s="7"/>
      <c r="AF936" s="7"/>
      <c r="AG936" s="7"/>
      <c r="AH936" s="7"/>
      <c r="AI936" s="7"/>
      <c r="AJ936" s="7"/>
      <c r="AK936" s="7"/>
      <c r="AL936" s="7"/>
      <c r="AM936" s="7"/>
      <c r="AN936" s="7"/>
      <c r="AO936" s="7"/>
      <c r="AP936" s="7"/>
      <c r="AQ936" s="7"/>
      <c r="AR936" s="7"/>
      <c r="AS936" s="7"/>
      <c r="AT936" s="7"/>
    </row>
    <row r="937">
      <c r="W937" s="41"/>
      <c r="X937" s="41"/>
      <c r="Y937" s="7"/>
      <c r="Z937" s="7"/>
      <c r="AA937" s="7"/>
      <c r="AB937" s="7"/>
      <c r="AC937" s="7"/>
      <c r="AD937" s="7"/>
      <c r="AE937" s="7"/>
      <c r="AF937" s="7"/>
      <c r="AG937" s="7"/>
      <c r="AH937" s="7"/>
      <c r="AI937" s="7"/>
      <c r="AJ937" s="7"/>
      <c r="AK937" s="7"/>
      <c r="AL937" s="7"/>
      <c r="AM937" s="7"/>
      <c r="AN937" s="7"/>
      <c r="AO937" s="7"/>
      <c r="AP937" s="7"/>
      <c r="AQ937" s="7"/>
      <c r="AR937" s="7"/>
      <c r="AS937" s="7"/>
      <c r="AT937" s="7"/>
    </row>
    <row r="938">
      <c r="W938" s="41"/>
      <c r="X938" s="41"/>
      <c r="Y938" s="7"/>
      <c r="Z938" s="7"/>
      <c r="AA938" s="7"/>
      <c r="AB938" s="7"/>
      <c r="AC938" s="7"/>
      <c r="AD938" s="7"/>
      <c r="AE938" s="7"/>
      <c r="AF938" s="7"/>
      <c r="AG938" s="7"/>
      <c r="AH938" s="7"/>
      <c r="AI938" s="7"/>
      <c r="AJ938" s="7"/>
      <c r="AK938" s="7"/>
      <c r="AL938" s="7"/>
      <c r="AM938" s="7"/>
      <c r="AN938" s="7"/>
      <c r="AO938" s="7"/>
      <c r="AP938" s="7"/>
      <c r="AQ938" s="7"/>
      <c r="AR938" s="7"/>
      <c r="AS938" s="7"/>
      <c r="AT938" s="7"/>
    </row>
    <row r="939">
      <c r="W939" s="41"/>
      <c r="X939" s="41"/>
      <c r="Y939" s="7"/>
      <c r="Z939" s="7"/>
      <c r="AA939" s="7"/>
      <c r="AB939" s="7"/>
      <c r="AC939" s="7"/>
      <c r="AD939" s="7"/>
      <c r="AE939" s="7"/>
      <c r="AF939" s="7"/>
      <c r="AG939" s="7"/>
      <c r="AH939" s="7"/>
      <c r="AI939" s="7"/>
      <c r="AJ939" s="7"/>
      <c r="AK939" s="7"/>
      <c r="AL939" s="7"/>
      <c r="AM939" s="7"/>
      <c r="AN939" s="7"/>
      <c r="AO939" s="7"/>
      <c r="AP939" s="7"/>
      <c r="AQ939" s="7"/>
      <c r="AR939" s="7"/>
      <c r="AS939" s="7"/>
      <c r="AT939" s="7"/>
    </row>
    <row r="940">
      <c r="W940" s="41"/>
      <c r="X940" s="41"/>
      <c r="Y940" s="7"/>
      <c r="Z940" s="7"/>
      <c r="AA940" s="7"/>
      <c r="AB940" s="7"/>
      <c r="AC940" s="7"/>
      <c r="AD940" s="7"/>
      <c r="AE940" s="7"/>
      <c r="AF940" s="7"/>
      <c r="AG940" s="7"/>
      <c r="AH940" s="7"/>
      <c r="AI940" s="7"/>
      <c r="AJ940" s="7"/>
      <c r="AK940" s="7"/>
      <c r="AL940" s="7"/>
      <c r="AM940" s="7"/>
      <c r="AN940" s="7"/>
      <c r="AO940" s="7"/>
      <c r="AP940" s="7"/>
      <c r="AQ940" s="7"/>
      <c r="AR940" s="7"/>
      <c r="AS940" s="7"/>
      <c r="AT940" s="7"/>
    </row>
    <row r="941">
      <c r="W941" s="41"/>
      <c r="X941" s="41"/>
      <c r="Y941" s="7"/>
      <c r="Z941" s="7"/>
      <c r="AA941" s="7"/>
      <c r="AB941" s="7"/>
      <c r="AC941" s="7"/>
      <c r="AD941" s="7"/>
      <c r="AE941" s="7"/>
      <c r="AF941" s="7"/>
      <c r="AG941" s="7"/>
      <c r="AH941" s="7"/>
      <c r="AI941" s="7"/>
      <c r="AJ941" s="7"/>
      <c r="AK941" s="7"/>
      <c r="AL941" s="7"/>
      <c r="AM941" s="7"/>
      <c r="AN941" s="7"/>
      <c r="AO941" s="7"/>
      <c r="AP941" s="7"/>
      <c r="AQ941" s="7"/>
      <c r="AR941" s="7"/>
      <c r="AS941" s="7"/>
      <c r="AT941" s="7"/>
    </row>
    <row r="942">
      <c r="W942" s="41"/>
      <c r="X942" s="41"/>
      <c r="Y942" s="7"/>
      <c r="Z942" s="7"/>
      <c r="AA942" s="7"/>
      <c r="AB942" s="7"/>
      <c r="AC942" s="7"/>
      <c r="AD942" s="7"/>
      <c r="AE942" s="7"/>
      <c r="AF942" s="7"/>
      <c r="AG942" s="7"/>
      <c r="AH942" s="7"/>
      <c r="AI942" s="7"/>
      <c r="AJ942" s="7"/>
      <c r="AK942" s="7"/>
      <c r="AL942" s="7"/>
      <c r="AM942" s="7"/>
      <c r="AN942" s="7"/>
      <c r="AO942" s="7"/>
      <c r="AP942" s="7"/>
      <c r="AQ942" s="7"/>
      <c r="AR942" s="7"/>
      <c r="AS942" s="7"/>
      <c r="AT942" s="7"/>
    </row>
    <row r="943">
      <c r="W943" s="41"/>
      <c r="X943" s="41"/>
      <c r="Y943" s="7"/>
      <c r="Z943" s="7"/>
      <c r="AA943" s="7"/>
      <c r="AB943" s="7"/>
      <c r="AC943" s="7"/>
      <c r="AD943" s="7"/>
      <c r="AE943" s="7"/>
      <c r="AF943" s="7"/>
      <c r="AG943" s="7"/>
      <c r="AH943" s="7"/>
      <c r="AI943" s="7"/>
      <c r="AJ943" s="7"/>
      <c r="AK943" s="7"/>
      <c r="AL943" s="7"/>
      <c r="AM943" s="7"/>
      <c r="AN943" s="7"/>
      <c r="AO943" s="7"/>
      <c r="AP943" s="7"/>
      <c r="AQ943" s="7"/>
      <c r="AR943" s="7"/>
      <c r="AS943" s="7"/>
      <c r="AT943" s="7"/>
    </row>
    <row r="944">
      <c r="W944" s="41"/>
      <c r="X944" s="41"/>
      <c r="Y944" s="7"/>
      <c r="Z944" s="7"/>
      <c r="AA944" s="7"/>
      <c r="AB944" s="7"/>
      <c r="AC944" s="7"/>
      <c r="AD944" s="7"/>
      <c r="AE944" s="7"/>
      <c r="AF944" s="7"/>
      <c r="AG944" s="7"/>
      <c r="AH944" s="7"/>
      <c r="AI944" s="7"/>
      <c r="AJ944" s="7"/>
      <c r="AK944" s="7"/>
      <c r="AL944" s="7"/>
      <c r="AM944" s="7"/>
      <c r="AN944" s="7"/>
      <c r="AO944" s="7"/>
      <c r="AP944" s="7"/>
      <c r="AQ944" s="7"/>
      <c r="AR944" s="7"/>
      <c r="AS944" s="7"/>
      <c r="AT944" s="7"/>
    </row>
    <row r="945">
      <c r="W945" s="41"/>
      <c r="X945" s="41"/>
      <c r="Y945" s="7"/>
      <c r="Z945" s="7"/>
      <c r="AA945" s="7"/>
      <c r="AB945" s="7"/>
      <c r="AC945" s="7"/>
      <c r="AD945" s="7"/>
      <c r="AE945" s="7"/>
      <c r="AF945" s="7"/>
      <c r="AG945" s="7"/>
      <c r="AH945" s="7"/>
      <c r="AI945" s="7"/>
      <c r="AJ945" s="7"/>
      <c r="AK945" s="7"/>
      <c r="AL945" s="7"/>
      <c r="AM945" s="7"/>
      <c r="AN945" s="7"/>
      <c r="AO945" s="7"/>
      <c r="AP945" s="7"/>
      <c r="AQ945" s="7"/>
      <c r="AR945" s="7"/>
      <c r="AS945" s="7"/>
      <c r="AT945" s="7"/>
    </row>
    <row r="946">
      <c r="W946" s="41"/>
      <c r="X946" s="41"/>
      <c r="Y946" s="7"/>
      <c r="Z946" s="7"/>
      <c r="AA946" s="7"/>
      <c r="AB946" s="7"/>
      <c r="AC946" s="7"/>
      <c r="AD946" s="7"/>
      <c r="AE946" s="7"/>
      <c r="AF946" s="7"/>
      <c r="AG946" s="7"/>
      <c r="AH946" s="7"/>
      <c r="AI946" s="7"/>
      <c r="AJ946" s="7"/>
      <c r="AK946" s="7"/>
      <c r="AL946" s="7"/>
      <c r="AM946" s="7"/>
      <c r="AN946" s="7"/>
      <c r="AO946" s="7"/>
      <c r="AP946" s="7"/>
      <c r="AQ946" s="7"/>
      <c r="AR946" s="7"/>
      <c r="AS946" s="7"/>
      <c r="AT946" s="7"/>
    </row>
    <row r="947">
      <c r="W947" s="41"/>
      <c r="X947" s="41"/>
      <c r="Y947" s="7"/>
      <c r="Z947" s="7"/>
      <c r="AA947" s="7"/>
      <c r="AB947" s="7"/>
      <c r="AC947" s="7"/>
      <c r="AD947" s="7"/>
      <c r="AE947" s="7"/>
      <c r="AF947" s="7"/>
      <c r="AG947" s="7"/>
      <c r="AH947" s="7"/>
      <c r="AI947" s="7"/>
      <c r="AJ947" s="7"/>
      <c r="AK947" s="7"/>
      <c r="AL947" s="7"/>
      <c r="AM947" s="7"/>
      <c r="AN947" s="7"/>
      <c r="AO947" s="7"/>
      <c r="AP947" s="7"/>
      <c r="AQ947" s="7"/>
      <c r="AR947" s="7"/>
      <c r="AS947" s="7"/>
      <c r="AT947" s="7"/>
    </row>
    <row r="948">
      <c r="W948" s="41"/>
      <c r="X948" s="41"/>
      <c r="Y948" s="7"/>
      <c r="Z948" s="7"/>
      <c r="AA948" s="7"/>
      <c r="AB948" s="7"/>
      <c r="AC948" s="7"/>
      <c r="AD948" s="7"/>
      <c r="AE948" s="7"/>
      <c r="AF948" s="7"/>
      <c r="AG948" s="7"/>
      <c r="AH948" s="7"/>
      <c r="AI948" s="7"/>
      <c r="AJ948" s="7"/>
      <c r="AK948" s="7"/>
      <c r="AL948" s="7"/>
      <c r="AM948" s="7"/>
      <c r="AN948" s="7"/>
      <c r="AO948" s="7"/>
      <c r="AP948" s="7"/>
      <c r="AQ948" s="7"/>
      <c r="AR948" s="7"/>
      <c r="AS948" s="7"/>
      <c r="AT948" s="7"/>
    </row>
    <row r="949">
      <c r="W949" s="41"/>
      <c r="X949" s="41"/>
      <c r="Y949" s="7"/>
      <c r="Z949" s="7"/>
      <c r="AA949" s="7"/>
      <c r="AB949" s="7"/>
      <c r="AC949" s="7"/>
      <c r="AD949" s="7"/>
      <c r="AE949" s="7"/>
      <c r="AF949" s="7"/>
      <c r="AG949" s="7"/>
      <c r="AH949" s="7"/>
      <c r="AI949" s="7"/>
      <c r="AJ949" s="7"/>
      <c r="AK949" s="7"/>
      <c r="AL949" s="7"/>
      <c r="AM949" s="7"/>
      <c r="AN949" s="7"/>
      <c r="AO949" s="7"/>
      <c r="AP949" s="7"/>
      <c r="AQ949" s="7"/>
      <c r="AR949" s="7"/>
      <c r="AS949" s="7"/>
      <c r="AT949" s="7"/>
    </row>
    <row r="950">
      <c r="W950" s="41"/>
      <c r="X950" s="41"/>
      <c r="Y950" s="7"/>
      <c r="Z950" s="7"/>
      <c r="AA950" s="7"/>
      <c r="AB950" s="7"/>
      <c r="AC950" s="7"/>
      <c r="AD950" s="7"/>
      <c r="AE950" s="7"/>
      <c r="AF950" s="7"/>
      <c r="AG950" s="7"/>
      <c r="AH950" s="7"/>
      <c r="AI950" s="7"/>
      <c r="AJ950" s="7"/>
      <c r="AK950" s="7"/>
      <c r="AL950" s="7"/>
      <c r="AM950" s="7"/>
      <c r="AN950" s="7"/>
      <c r="AO950" s="7"/>
      <c r="AP950" s="7"/>
      <c r="AQ950" s="7"/>
      <c r="AR950" s="7"/>
      <c r="AS950" s="7"/>
      <c r="AT950" s="7"/>
    </row>
    <row r="951">
      <c r="W951" s="41"/>
      <c r="X951" s="41"/>
      <c r="Y951" s="7"/>
      <c r="Z951" s="7"/>
      <c r="AA951" s="7"/>
      <c r="AB951" s="7"/>
      <c r="AC951" s="7"/>
      <c r="AD951" s="7"/>
      <c r="AE951" s="7"/>
      <c r="AF951" s="7"/>
      <c r="AG951" s="7"/>
      <c r="AH951" s="7"/>
      <c r="AI951" s="7"/>
      <c r="AJ951" s="7"/>
      <c r="AK951" s="7"/>
      <c r="AL951" s="7"/>
      <c r="AM951" s="7"/>
      <c r="AN951" s="7"/>
      <c r="AO951" s="7"/>
      <c r="AP951" s="7"/>
      <c r="AQ951" s="7"/>
      <c r="AR951" s="7"/>
      <c r="AS951" s="7"/>
      <c r="AT951" s="7"/>
    </row>
    <row r="952">
      <c r="W952" s="41"/>
      <c r="X952" s="41"/>
      <c r="Y952" s="7"/>
      <c r="Z952" s="7"/>
      <c r="AA952" s="7"/>
      <c r="AB952" s="7"/>
      <c r="AC952" s="7"/>
      <c r="AD952" s="7"/>
      <c r="AE952" s="7"/>
      <c r="AF952" s="7"/>
      <c r="AG952" s="7"/>
      <c r="AH952" s="7"/>
      <c r="AI952" s="7"/>
      <c r="AJ952" s="7"/>
      <c r="AK952" s="7"/>
      <c r="AL952" s="7"/>
      <c r="AM952" s="7"/>
      <c r="AN952" s="7"/>
      <c r="AO952" s="7"/>
      <c r="AP952" s="7"/>
      <c r="AQ952" s="7"/>
      <c r="AR952" s="7"/>
      <c r="AS952" s="7"/>
      <c r="AT952" s="7"/>
    </row>
    <row r="953">
      <c r="W953" s="41"/>
      <c r="X953" s="41"/>
      <c r="Y953" s="7"/>
      <c r="Z953" s="7"/>
      <c r="AA953" s="7"/>
      <c r="AB953" s="7"/>
      <c r="AC953" s="7"/>
      <c r="AD953" s="7"/>
      <c r="AE953" s="7"/>
      <c r="AF953" s="7"/>
      <c r="AG953" s="7"/>
      <c r="AH953" s="7"/>
      <c r="AI953" s="7"/>
      <c r="AJ953" s="7"/>
      <c r="AK953" s="7"/>
      <c r="AL953" s="7"/>
      <c r="AM953" s="7"/>
      <c r="AN953" s="7"/>
      <c r="AO953" s="7"/>
      <c r="AP953" s="7"/>
      <c r="AQ953" s="7"/>
      <c r="AR953" s="7"/>
      <c r="AS953" s="7"/>
      <c r="AT953" s="7"/>
    </row>
    <row r="954">
      <c r="W954" s="41"/>
      <c r="X954" s="41"/>
      <c r="Y954" s="7"/>
      <c r="Z954" s="7"/>
      <c r="AA954" s="7"/>
      <c r="AB954" s="7"/>
      <c r="AC954" s="7"/>
      <c r="AD954" s="7"/>
      <c r="AE954" s="7"/>
      <c r="AF954" s="7"/>
      <c r="AG954" s="7"/>
      <c r="AH954" s="7"/>
      <c r="AI954" s="7"/>
      <c r="AJ954" s="7"/>
      <c r="AK954" s="7"/>
      <c r="AL954" s="7"/>
      <c r="AM954" s="7"/>
      <c r="AN954" s="7"/>
      <c r="AO954" s="7"/>
      <c r="AP954" s="7"/>
      <c r="AQ954" s="7"/>
      <c r="AR954" s="7"/>
      <c r="AS954" s="7"/>
      <c r="AT954" s="7"/>
    </row>
    <row r="955">
      <c r="W955" s="41"/>
      <c r="X955" s="41"/>
      <c r="Y955" s="7"/>
      <c r="Z955" s="7"/>
      <c r="AA955" s="7"/>
      <c r="AB955" s="7"/>
      <c r="AC955" s="7"/>
      <c r="AD955" s="7"/>
      <c r="AE955" s="7"/>
      <c r="AF955" s="7"/>
      <c r="AG955" s="7"/>
      <c r="AH955" s="7"/>
      <c r="AI955" s="7"/>
      <c r="AJ955" s="7"/>
      <c r="AK955" s="7"/>
      <c r="AL955" s="7"/>
      <c r="AM955" s="7"/>
      <c r="AN955" s="7"/>
      <c r="AO955" s="7"/>
      <c r="AP955" s="7"/>
      <c r="AQ955" s="7"/>
      <c r="AR955" s="7"/>
      <c r="AS955" s="7"/>
      <c r="AT955" s="7"/>
    </row>
    <row r="956">
      <c r="W956" s="41"/>
      <c r="X956" s="41"/>
      <c r="Y956" s="7"/>
      <c r="Z956" s="7"/>
      <c r="AA956" s="7"/>
      <c r="AB956" s="7"/>
      <c r="AC956" s="7"/>
      <c r="AD956" s="7"/>
      <c r="AE956" s="7"/>
      <c r="AF956" s="7"/>
      <c r="AG956" s="7"/>
      <c r="AH956" s="7"/>
      <c r="AI956" s="7"/>
      <c r="AJ956" s="7"/>
      <c r="AK956" s="7"/>
      <c r="AL956" s="7"/>
      <c r="AM956" s="7"/>
      <c r="AN956" s="7"/>
      <c r="AO956" s="7"/>
      <c r="AP956" s="7"/>
      <c r="AQ956" s="7"/>
      <c r="AR956" s="7"/>
      <c r="AS956" s="7"/>
      <c r="AT956" s="7"/>
    </row>
    <row r="957">
      <c r="W957" s="41"/>
      <c r="X957" s="41"/>
      <c r="Y957" s="7"/>
      <c r="Z957" s="7"/>
      <c r="AA957" s="7"/>
      <c r="AB957" s="7"/>
      <c r="AC957" s="7"/>
      <c r="AD957" s="7"/>
      <c r="AE957" s="7"/>
      <c r="AF957" s="7"/>
      <c r="AG957" s="7"/>
      <c r="AH957" s="7"/>
      <c r="AI957" s="7"/>
      <c r="AJ957" s="7"/>
      <c r="AK957" s="7"/>
      <c r="AL957" s="7"/>
      <c r="AM957" s="7"/>
      <c r="AN957" s="7"/>
      <c r="AO957" s="7"/>
      <c r="AP957" s="7"/>
      <c r="AQ957" s="7"/>
      <c r="AR957" s="7"/>
      <c r="AS957" s="7"/>
      <c r="AT957" s="7"/>
    </row>
    <row r="958">
      <c r="W958" s="41"/>
      <c r="X958" s="41"/>
      <c r="Y958" s="7"/>
      <c r="Z958" s="7"/>
      <c r="AA958" s="7"/>
      <c r="AB958" s="7"/>
      <c r="AC958" s="7"/>
      <c r="AD958" s="7"/>
      <c r="AE958" s="7"/>
      <c r="AF958" s="7"/>
      <c r="AG958" s="7"/>
      <c r="AH958" s="7"/>
      <c r="AI958" s="7"/>
      <c r="AJ958" s="7"/>
      <c r="AK958" s="7"/>
      <c r="AL958" s="7"/>
      <c r="AM958" s="7"/>
      <c r="AN958" s="7"/>
      <c r="AO958" s="7"/>
      <c r="AP958" s="7"/>
      <c r="AQ958" s="7"/>
      <c r="AR958" s="7"/>
      <c r="AS958" s="7"/>
      <c r="AT958" s="7"/>
    </row>
    <row r="959">
      <c r="W959" s="41"/>
      <c r="X959" s="41"/>
      <c r="Y959" s="7"/>
      <c r="Z959" s="7"/>
      <c r="AA959" s="7"/>
      <c r="AB959" s="7"/>
      <c r="AC959" s="7"/>
      <c r="AD959" s="7"/>
      <c r="AE959" s="7"/>
      <c r="AF959" s="7"/>
      <c r="AG959" s="7"/>
      <c r="AH959" s="7"/>
      <c r="AI959" s="7"/>
      <c r="AJ959" s="7"/>
      <c r="AK959" s="7"/>
      <c r="AL959" s="7"/>
      <c r="AM959" s="7"/>
      <c r="AN959" s="7"/>
      <c r="AO959" s="7"/>
      <c r="AP959" s="7"/>
      <c r="AQ959" s="7"/>
      <c r="AR959" s="7"/>
      <c r="AS959" s="7"/>
      <c r="AT959" s="7"/>
    </row>
    <row r="960">
      <c r="W960" s="41"/>
      <c r="X960" s="41"/>
      <c r="Y960" s="7"/>
      <c r="Z960" s="7"/>
      <c r="AA960" s="7"/>
      <c r="AB960" s="7"/>
      <c r="AC960" s="7"/>
      <c r="AD960" s="7"/>
      <c r="AE960" s="7"/>
      <c r="AF960" s="7"/>
      <c r="AG960" s="7"/>
      <c r="AH960" s="7"/>
      <c r="AI960" s="7"/>
      <c r="AJ960" s="7"/>
      <c r="AK960" s="7"/>
      <c r="AL960" s="7"/>
      <c r="AM960" s="7"/>
      <c r="AN960" s="7"/>
      <c r="AO960" s="7"/>
      <c r="AP960" s="7"/>
      <c r="AQ960" s="7"/>
      <c r="AR960" s="7"/>
      <c r="AS960" s="7"/>
      <c r="AT960" s="7"/>
    </row>
    <row r="961">
      <c r="W961" s="41"/>
      <c r="X961" s="41"/>
      <c r="Y961" s="7"/>
      <c r="Z961" s="7"/>
      <c r="AA961" s="7"/>
      <c r="AB961" s="7"/>
      <c r="AC961" s="7"/>
      <c r="AD961" s="7"/>
      <c r="AE961" s="7"/>
      <c r="AF961" s="7"/>
      <c r="AG961" s="7"/>
      <c r="AH961" s="7"/>
      <c r="AI961" s="7"/>
      <c r="AJ961" s="7"/>
      <c r="AK961" s="7"/>
      <c r="AL961" s="7"/>
      <c r="AM961" s="7"/>
      <c r="AN961" s="7"/>
      <c r="AO961" s="7"/>
      <c r="AP961" s="7"/>
      <c r="AQ961" s="7"/>
      <c r="AR961" s="7"/>
      <c r="AS961" s="7"/>
      <c r="AT961" s="7"/>
    </row>
    <row r="962">
      <c r="W962" s="41"/>
      <c r="X962" s="41"/>
      <c r="Y962" s="7"/>
      <c r="Z962" s="7"/>
      <c r="AA962" s="7"/>
      <c r="AB962" s="7"/>
      <c r="AC962" s="7"/>
      <c r="AD962" s="7"/>
      <c r="AE962" s="7"/>
      <c r="AF962" s="7"/>
      <c r="AG962" s="7"/>
      <c r="AH962" s="7"/>
      <c r="AI962" s="7"/>
      <c r="AJ962" s="7"/>
      <c r="AK962" s="7"/>
      <c r="AL962" s="7"/>
      <c r="AM962" s="7"/>
      <c r="AN962" s="7"/>
      <c r="AO962" s="7"/>
      <c r="AP962" s="7"/>
      <c r="AQ962" s="7"/>
      <c r="AR962" s="7"/>
      <c r="AS962" s="7"/>
      <c r="AT962" s="7"/>
    </row>
    <row r="963">
      <c r="W963" s="41"/>
      <c r="X963" s="41"/>
      <c r="Y963" s="7"/>
      <c r="Z963" s="7"/>
      <c r="AA963" s="7"/>
      <c r="AB963" s="7"/>
      <c r="AC963" s="7"/>
      <c r="AD963" s="7"/>
      <c r="AE963" s="7"/>
      <c r="AF963" s="7"/>
      <c r="AG963" s="7"/>
      <c r="AH963" s="7"/>
      <c r="AI963" s="7"/>
      <c r="AJ963" s="7"/>
      <c r="AK963" s="7"/>
      <c r="AL963" s="7"/>
      <c r="AM963" s="7"/>
      <c r="AN963" s="7"/>
      <c r="AO963" s="7"/>
      <c r="AP963" s="7"/>
      <c r="AQ963" s="7"/>
      <c r="AR963" s="7"/>
      <c r="AS963" s="7"/>
      <c r="AT963" s="7"/>
    </row>
    <row r="964">
      <c r="W964" s="41"/>
      <c r="X964" s="41"/>
      <c r="Y964" s="7"/>
      <c r="Z964" s="7"/>
      <c r="AA964" s="7"/>
      <c r="AB964" s="7"/>
      <c r="AC964" s="7"/>
      <c r="AD964" s="7"/>
      <c r="AE964" s="7"/>
      <c r="AF964" s="7"/>
      <c r="AG964" s="7"/>
      <c r="AH964" s="7"/>
      <c r="AI964" s="7"/>
      <c r="AJ964" s="7"/>
      <c r="AK964" s="7"/>
      <c r="AL964" s="7"/>
      <c r="AM964" s="7"/>
      <c r="AN964" s="7"/>
      <c r="AO964" s="7"/>
      <c r="AP964" s="7"/>
      <c r="AQ964" s="7"/>
      <c r="AR964" s="7"/>
      <c r="AS964" s="7"/>
      <c r="AT964" s="7"/>
    </row>
    <row r="965">
      <c r="W965" s="41"/>
      <c r="X965" s="41"/>
      <c r="Y965" s="7"/>
      <c r="Z965" s="7"/>
      <c r="AA965" s="7"/>
      <c r="AB965" s="7"/>
      <c r="AC965" s="7"/>
      <c r="AD965" s="7"/>
      <c r="AE965" s="7"/>
      <c r="AF965" s="7"/>
      <c r="AG965" s="7"/>
      <c r="AH965" s="7"/>
      <c r="AI965" s="7"/>
      <c r="AJ965" s="7"/>
      <c r="AK965" s="7"/>
      <c r="AL965" s="7"/>
      <c r="AM965" s="7"/>
      <c r="AN965" s="7"/>
      <c r="AO965" s="7"/>
      <c r="AP965" s="7"/>
      <c r="AQ965" s="7"/>
      <c r="AR965" s="7"/>
      <c r="AS965" s="7"/>
      <c r="AT965" s="7"/>
    </row>
    <row r="966">
      <c r="W966" s="41"/>
      <c r="X966" s="41"/>
      <c r="Y966" s="7"/>
      <c r="Z966" s="7"/>
      <c r="AA966" s="7"/>
      <c r="AB966" s="7"/>
      <c r="AC966" s="7"/>
      <c r="AD966" s="7"/>
      <c r="AE966" s="7"/>
      <c r="AF966" s="7"/>
      <c r="AG966" s="7"/>
      <c r="AH966" s="7"/>
      <c r="AI966" s="7"/>
      <c r="AJ966" s="7"/>
      <c r="AK966" s="7"/>
      <c r="AL966" s="7"/>
      <c r="AM966" s="7"/>
      <c r="AN966" s="7"/>
      <c r="AO966" s="7"/>
      <c r="AP966" s="7"/>
      <c r="AQ966" s="7"/>
      <c r="AR966" s="7"/>
      <c r="AS966" s="7"/>
      <c r="AT966" s="7"/>
    </row>
    <row r="967">
      <c r="W967" s="41"/>
      <c r="X967" s="41"/>
      <c r="Y967" s="7"/>
      <c r="Z967" s="7"/>
      <c r="AA967" s="7"/>
      <c r="AB967" s="7"/>
      <c r="AC967" s="7"/>
      <c r="AD967" s="7"/>
      <c r="AE967" s="7"/>
      <c r="AF967" s="7"/>
      <c r="AG967" s="7"/>
      <c r="AH967" s="7"/>
      <c r="AI967" s="7"/>
      <c r="AJ967" s="7"/>
      <c r="AK967" s="7"/>
      <c r="AL967" s="7"/>
      <c r="AM967" s="7"/>
      <c r="AN967" s="7"/>
      <c r="AO967" s="7"/>
      <c r="AP967" s="7"/>
      <c r="AQ967" s="7"/>
      <c r="AR967" s="7"/>
      <c r="AS967" s="7"/>
      <c r="AT967" s="7"/>
    </row>
    <row r="968">
      <c r="W968" s="41"/>
      <c r="X968" s="41"/>
      <c r="Y968" s="7"/>
      <c r="Z968" s="7"/>
      <c r="AA968" s="7"/>
      <c r="AB968" s="7"/>
      <c r="AC968" s="7"/>
      <c r="AD968" s="7"/>
      <c r="AE968" s="7"/>
      <c r="AF968" s="7"/>
      <c r="AG968" s="7"/>
      <c r="AH968" s="7"/>
      <c r="AI968" s="7"/>
      <c r="AJ968" s="7"/>
      <c r="AK968" s="7"/>
      <c r="AL968" s="7"/>
      <c r="AM968" s="7"/>
      <c r="AN968" s="7"/>
      <c r="AO968" s="7"/>
      <c r="AP968" s="7"/>
      <c r="AQ968" s="7"/>
      <c r="AR968" s="7"/>
      <c r="AS968" s="7"/>
      <c r="AT968" s="7"/>
    </row>
    <row r="969">
      <c r="W969" s="41"/>
      <c r="X969" s="41"/>
      <c r="Y969" s="7"/>
      <c r="Z969" s="7"/>
      <c r="AA969" s="7"/>
      <c r="AB969" s="7"/>
      <c r="AC969" s="7"/>
      <c r="AD969" s="7"/>
      <c r="AE969" s="7"/>
      <c r="AF969" s="7"/>
      <c r="AG969" s="7"/>
      <c r="AH969" s="7"/>
      <c r="AI969" s="7"/>
      <c r="AJ969" s="7"/>
      <c r="AK969" s="7"/>
      <c r="AL969" s="7"/>
      <c r="AM969" s="7"/>
      <c r="AN969" s="7"/>
      <c r="AO969" s="7"/>
      <c r="AP969" s="7"/>
      <c r="AQ969" s="7"/>
      <c r="AR969" s="7"/>
      <c r="AS969" s="7"/>
      <c r="AT969" s="7"/>
    </row>
    <row r="970">
      <c r="W970" s="41"/>
      <c r="X970" s="41"/>
      <c r="Y970" s="7"/>
      <c r="Z970" s="7"/>
      <c r="AA970" s="7"/>
      <c r="AB970" s="7"/>
      <c r="AC970" s="7"/>
      <c r="AD970" s="7"/>
      <c r="AE970" s="7"/>
      <c r="AF970" s="7"/>
      <c r="AG970" s="7"/>
      <c r="AH970" s="7"/>
      <c r="AI970" s="7"/>
      <c r="AJ970" s="7"/>
      <c r="AK970" s="7"/>
      <c r="AL970" s="7"/>
      <c r="AM970" s="7"/>
      <c r="AN970" s="7"/>
      <c r="AO970" s="7"/>
      <c r="AP970" s="7"/>
      <c r="AQ970" s="7"/>
      <c r="AR970" s="7"/>
      <c r="AS970" s="7"/>
      <c r="AT970" s="7"/>
    </row>
    <row r="971">
      <c r="W971" s="41"/>
      <c r="X971" s="41"/>
      <c r="Y971" s="7"/>
      <c r="Z971" s="7"/>
      <c r="AA971" s="7"/>
      <c r="AB971" s="7"/>
      <c r="AC971" s="7"/>
      <c r="AD971" s="7"/>
      <c r="AE971" s="7"/>
      <c r="AF971" s="7"/>
      <c r="AG971" s="7"/>
      <c r="AH971" s="7"/>
      <c r="AI971" s="7"/>
      <c r="AJ971" s="7"/>
      <c r="AK971" s="7"/>
      <c r="AL971" s="7"/>
      <c r="AM971" s="7"/>
      <c r="AN971" s="7"/>
      <c r="AO971" s="7"/>
      <c r="AP971" s="7"/>
      <c r="AQ971" s="7"/>
      <c r="AR971" s="7"/>
      <c r="AS971" s="7"/>
      <c r="AT971" s="7"/>
    </row>
    <row r="972">
      <c r="W972" s="41"/>
      <c r="X972" s="41"/>
      <c r="Y972" s="7"/>
      <c r="Z972" s="7"/>
      <c r="AA972" s="7"/>
      <c r="AB972" s="7"/>
      <c r="AC972" s="7"/>
      <c r="AD972" s="7"/>
      <c r="AE972" s="7"/>
      <c r="AF972" s="7"/>
      <c r="AG972" s="7"/>
      <c r="AH972" s="7"/>
      <c r="AI972" s="7"/>
      <c r="AJ972" s="7"/>
      <c r="AK972" s="7"/>
      <c r="AL972" s="7"/>
      <c r="AM972" s="7"/>
      <c r="AN972" s="7"/>
      <c r="AO972" s="7"/>
      <c r="AP972" s="7"/>
      <c r="AQ972" s="7"/>
      <c r="AR972" s="7"/>
      <c r="AS972" s="7"/>
      <c r="AT972" s="7"/>
    </row>
    <row r="973">
      <c r="W973" s="41"/>
      <c r="X973" s="41"/>
      <c r="Y973" s="7"/>
      <c r="Z973" s="7"/>
      <c r="AA973" s="7"/>
      <c r="AB973" s="7"/>
      <c r="AC973" s="7"/>
      <c r="AD973" s="7"/>
      <c r="AE973" s="7"/>
      <c r="AF973" s="7"/>
      <c r="AG973" s="7"/>
      <c r="AH973" s="7"/>
      <c r="AI973" s="7"/>
      <c r="AJ973" s="7"/>
      <c r="AK973" s="7"/>
      <c r="AL973" s="7"/>
      <c r="AM973" s="7"/>
      <c r="AN973" s="7"/>
      <c r="AO973" s="7"/>
      <c r="AP973" s="7"/>
      <c r="AQ973" s="7"/>
      <c r="AR973" s="7"/>
      <c r="AS973" s="7"/>
      <c r="AT973" s="7"/>
    </row>
    <row r="974">
      <c r="W974" s="41"/>
      <c r="X974" s="41"/>
      <c r="Y974" s="7"/>
      <c r="Z974" s="7"/>
      <c r="AA974" s="7"/>
      <c r="AB974" s="7"/>
      <c r="AC974" s="7"/>
      <c r="AD974" s="7"/>
      <c r="AE974" s="7"/>
      <c r="AF974" s="7"/>
      <c r="AG974" s="7"/>
      <c r="AH974" s="7"/>
      <c r="AI974" s="7"/>
      <c r="AJ974" s="7"/>
      <c r="AK974" s="7"/>
      <c r="AL974" s="7"/>
      <c r="AM974" s="7"/>
      <c r="AN974" s="7"/>
      <c r="AO974" s="7"/>
      <c r="AP974" s="7"/>
      <c r="AQ974" s="7"/>
      <c r="AR974" s="7"/>
      <c r="AS974" s="7"/>
      <c r="AT974" s="7"/>
    </row>
    <row r="975">
      <c r="W975" s="41"/>
      <c r="X975" s="41"/>
      <c r="Y975" s="7"/>
      <c r="Z975" s="7"/>
      <c r="AA975" s="7"/>
      <c r="AB975" s="7"/>
      <c r="AC975" s="7"/>
      <c r="AD975" s="7"/>
      <c r="AE975" s="7"/>
      <c r="AF975" s="7"/>
      <c r="AG975" s="7"/>
      <c r="AH975" s="7"/>
      <c r="AI975" s="7"/>
      <c r="AJ975" s="7"/>
      <c r="AK975" s="7"/>
      <c r="AL975" s="7"/>
      <c r="AM975" s="7"/>
      <c r="AN975" s="7"/>
      <c r="AO975" s="7"/>
      <c r="AP975" s="7"/>
      <c r="AQ975" s="7"/>
      <c r="AR975" s="7"/>
      <c r="AS975" s="7"/>
      <c r="AT975" s="7"/>
    </row>
    <row r="976">
      <c r="W976" s="41"/>
      <c r="X976" s="41"/>
      <c r="Y976" s="7"/>
      <c r="Z976" s="7"/>
      <c r="AA976" s="7"/>
      <c r="AB976" s="7"/>
      <c r="AC976" s="7"/>
      <c r="AD976" s="7"/>
      <c r="AE976" s="7"/>
      <c r="AF976" s="7"/>
      <c r="AG976" s="7"/>
      <c r="AH976" s="7"/>
      <c r="AI976" s="7"/>
      <c r="AJ976" s="7"/>
      <c r="AK976" s="7"/>
      <c r="AL976" s="7"/>
      <c r="AM976" s="7"/>
      <c r="AN976" s="7"/>
      <c r="AO976" s="7"/>
      <c r="AP976" s="7"/>
      <c r="AQ976" s="7"/>
      <c r="AR976" s="7"/>
      <c r="AS976" s="7"/>
      <c r="AT976" s="7"/>
    </row>
    <row r="977">
      <c r="W977" s="41"/>
      <c r="X977" s="41"/>
      <c r="Y977" s="7"/>
      <c r="Z977" s="7"/>
      <c r="AA977" s="7"/>
      <c r="AB977" s="7"/>
      <c r="AC977" s="7"/>
      <c r="AD977" s="7"/>
      <c r="AE977" s="7"/>
      <c r="AF977" s="7"/>
      <c r="AG977" s="7"/>
      <c r="AH977" s="7"/>
      <c r="AI977" s="7"/>
      <c r="AJ977" s="7"/>
      <c r="AK977" s="7"/>
      <c r="AL977" s="7"/>
      <c r="AM977" s="7"/>
      <c r="AN977" s="7"/>
      <c r="AO977" s="7"/>
      <c r="AP977" s="7"/>
      <c r="AQ977" s="7"/>
      <c r="AR977" s="7"/>
      <c r="AS977" s="7"/>
      <c r="AT977" s="7"/>
    </row>
    <row r="978">
      <c r="W978" s="41"/>
      <c r="X978" s="41"/>
      <c r="Y978" s="7"/>
      <c r="Z978" s="7"/>
      <c r="AA978" s="7"/>
      <c r="AB978" s="7"/>
      <c r="AC978" s="7"/>
      <c r="AD978" s="7"/>
      <c r="AE978" s="7"/>
      <c r="AF978" s="7"/>
      <c r="AG978" s="7"/>
      <c r="AH978" s="7"/>
      <c r="AI978" s="7"/>
      <c r="AJ978" s="7"/>
      <c r="AK978" s="7"/>
      <c r="AL978" s="7"/>
      <c r="AM978" s="7"/>
      <c r="AN978" s="7"/>
      <c r="AO978" s="7"/>
      <c r="AP978" s="7"/>
      <c r="AQ978" s="7"/>
      <c r="AR978" s="7"/>
      <c r="AS978" s="7"/>
      <c r="AT978" s="7"/>
    </row>
    <row r="979">
      <c r="W979" s="41"/>
      <c r="X979" s="41"/>
      <c r="Y979" s="7"/>
      <c r="Z979" s="7"/>
      <c r="AA979" s="7"/>
      <c r="AB979" s="7"/>
      <c r="AC979" s="7"/>
      <c r="AD979" s="7"/>
      <c r="AE979" s="7"/>
      <c r="AF979" s="7"/>
      <c r="AG979" s="7"/>
      <c r="AH979" s="7"/>
      <c r="AI979" s="7"/>
      <c r="AJ979" s="7"/>
      <c r="AK979" s="7"/>
      <c r="AL979" s="7"/>
      <c r="AM979" s="7"/>
      <c r="AN979" s="7"/>
      <c r="AO979" s="7"/>
      <c r="AP979" s="7"/>
      <c r="AQ979" s="7"/>
      <c r="AR979" s="7"/>
      <c r="AS979" s="7"/>
      <c r="AT979" s="7"/>
    </row>
    <row r="980">
      <c r="W980" s="41"/>
      <c r="X980" s="41"/>
      <c r="Y980" s="7"/>
      <c r="Z980" s="7"/>
      <c r="AA980" s="7"/>
      <c r="AB980" s="7"/>
      <c r="AC980" s="7"/>
      <c r="AD980" s="7"/>
      <c r="AE980" s="7"/>
      <c r="AF980" s="7"/>
      <c r="AG980" s="7"/>
      <c r="AH980" s="7"/>
      <c r="AI980" s="7"/>
      <c r="AJ980" s="7"/>
      <c r="AK980" s="7"/>
      <c r="AL980" s="7"/>
      <c r="AM980" s="7"/>
      <c r="AN980" s="7"/>
      <c r="AO980" s="7"/>
      <c r="AP980" s="7"/>
      <c r="AQ980" s="7"/>
      <c r="AR980" s="7"/>
      <c r="AS980" s="7"/>
      <c r="AT980" s="7"/>
    </row>
    <row r="981">
      <c r="W981" s="41"/>
      <c r="X981" s="41"/>
      <c r="Y981" s="7"/>
      <c r="Z981" s="7"/>
      <c r="AA981" s="7"/>
      <c r="AB981" s="7"/>
      <c r="AC981" s="7"/>
      <c r="AD981" s="7"/>
      <c r="AE981" s="7"/>
      <c r="AF981" s="7"/>
      <c r="AG981" s="7"/>
      <c r="AH981" s="7"/>
      <c r="AI981" s="7"/>
      <c r="AJ981" s="7"/>
      <c r="AK981" s="7"/>
      <c r="AL981" s="7"/>
      <c r="AM981" s="7"/>
      <c r="AN981" s="7"/>
      <c r="AO981" s="7"/>
      <c r="AP981" s="7"/>
      <c r="AQ981" s="7"/>
      <c r="AR981" s="7"/>
      <c r="AS981" s="7"/>
      <c r="AT981" s="7"/>
    </row>
    <row r="982">
      <c r="W982" s="41"/>
      <c r="X982" s="41"/>
      <c r="Y982" s="7"/>
      <c r="Z982" s="7"/>
      <c r="AA982" s="7"/>
      <c r="AB982" s="7"/>
      <c r="AC982" s="7"/>
      <c r="AD982" s="7"/>
      <c r="AE982" s="7"/>
      <c r="AF982" s="7"/>
      <c r="AG982" s="7"/>
      <c r="AH982" s="7"/>
      <c r="AI982" s="7"/>
      <c r="AJ982" s="7"/>
      <c r="AK982" s="7"/>
      <c r="AL982" s="7"/>
      <c r="AM982" s="7"/>
      <c r="AN982" s="7"/>
      <c r="AO982" s="7"/>
      <c r="AP982" s="7"/>
      <c r="AQ982" s="7"/>
      <c r="AR982" s="7"/>
      <c r="AS982" s="7"/>
      <c r="AT982" s="7"/>
    </row>
    <row r="983">
      <c r="W983" s="41"/>
      <c r="X983" s="41"/>
      <c r="Y983" s="7"/>
      <c r="Z983" s="7"/>
      <c r="AA983" s="7"/>
      <c r="AB983" s="7"/>
      <c r="AC983" s="7"/>
      <c r="AD983" s="7"/>
      <c r="AE983" s="7"/>
      <c r="AF983" s="7"/>
      <c r="AG983" s="7"/>
      <c r="AH983" s="7"/>
      <c r="AI983" s="7"/>
      <c r="AJ983" s="7"/>
      <c r="AK983" s="7"/>
      <c r="AL983" s="7"/>
      <c r="AM983" s="7"/>
      <c r="AN983" s="7"/>
      <c r="AO983" s="7"/>
      <c r="AP983" s="7"/>
      <c r="AQ983" s="7"/>
      <c r="AR983" s="7"/>
      <c r="AS983" s="7"/>
      <c r="AT983" s="7"/>
    </row>
    <row r="984">
      <c r="W984" s="41"/>
      <c r="X984" s="41"/>
      <c r="Y984" s="7"/>
      <c r="Z984" s="7"/>
      <c r="AA984" s="7"/>
      <c r="AB984" s="7"/>
      <c r="AC984" s="7"/>
      <c r="AD984" s="7"/>
      <c r="AE984" s="7"/>
      <c r="AF984" s="7"/>
      <c r="AG984" s="7"/>
      <c r="AH984" s="7"/>
      <c r="AI984" s="7"/>
      <c r="AJ984" s="7"/>
      <c r="AK984" s="7"/>
      <c r="AL984" s="7"/>
      <c r="AM984" s="7"/>
      <c r="AN984" s="7"/>
      <c r="AO984" s="7"/>
      <c r="AP984" s="7"/>
      <c r="AQ984" s="7"/>
      <c r="AR984" s="7"/>
      <c r="AS984" s="7"/>
      <c r="AT984" s="7"/>
    </row>
    <row r="985">
      <c r="W985" s="41"/>
      <c r="X985" s="41"/>
      <c r="Y985" s="7"/>
      <c r="Z985" s="7"/>
      <c r="AA985" s="7"/>
      <c r="AB985" s="7"/>
      <c r="AC985" s="7"/>
      <c r="AD985" s="7"/>
      <c r="AE985" s="7"/>
      <c r="AF985" s="7"/>
      <c r="AG985" s="7"/>
      <c r="AH985" s="7"/>
      <c r="AI985" s="7"/>
      <c r="AJ985" s="7"/>
      <c r="AK985" s="7"/>
      <c r="AL985" s="7"/>
      <c r="AM985" s="7"/>
      <c r="AN985" s="7"/>
      <c r="AO985" s="7"/>
      <c r="AP985" s="7"/>
      <c r="AQ985" s="7"/>
      <c r="AR985" s="7"/>
      <c r="AS985" s="7"/>
      <c r="AT985" s="7"/>
    </row>
    <row r="986">
      <c r="W986" s="41"/>
      <c r="X986" s="41"/>
      <c r="Y986" s="7"/>
      <c r="Z986" s="7"/>
      <c r="AA986" s="7"/>
      <c r="AB986" s="7"/>
      <c r="AC986" s="7"/>
      <c r="AD986" s="7"/>
      <c r="AE986" s="7"/>
      <c r="AF986" s="7"/>
      <c r="AG986" s="7"/>
      <c r="AH986" s="7"/>
      <c r="AI986" s="7"/>
      <c r="AJ986" s="7"/>
      <c r="AK986" s="7"/>
      <c r="AL986" s="7"/>
      <c r="AM986" s="7"/>
      <c r="AN986" s="7"/>
      <c r="AO986" s="7"/>
      <c r="AP986" s="7"/>
      <c r="AQ986" s="7"/>
      <c r="AR986" s="7"/>
      <c r="AS986" s="7"/>
      <c r="AT986" s="7"/>
    </row>
    <row r="987">
      <c r="W987" s="41"/>
      <c r="X987" s="41"/>
      <c r="Y987" s="7"/>
      <c r="Z987" s="7"/>
      <c r="AA987" s="7"/>
      <c r="AB987" s="7"/>
      <c r="AC987" s="7"/>
      <c r="AD987" s="7"/>
      <c r="AE987" s="7"/>
      <c r="AF987" s="7"/>
      <c r="AG987" s="7"/>
      <c r="AH987" s="7"/>
      <c r="AI987" s="7"/>
      <c r="AJ987" s="7"/>
      <c r="AK987" s="7"/>
      <c r="AL987" s="7"/>
      <c r="AM987" s="7"/>
      <c r="AN987" s="7"/>
      <c r="AO987" s="7"/>
      <c r="AP987" s="7"/>
      <c r="AQ987" s="7"/>
      <c r="AR987" s="7"/>
      <c r="AS987" s="7"/>
      <c r="AT987" s="7"/>
    </row>
    <row r="988">
      <c r="W988" s="41"/>
      <c r="X988" s="41"/>
      <c r="Y988" s="7"/>
      <c r="Z988" s="7"/>
      <c r="AA988" s="7"/>
      <c r="AB988" s="7"/>
      <c r="AC988" s="7"/>
      <c r="AD988" s="7"/>
      <c r="AE988" s="7"/>
      <c r="AF988" s="7"/>
      <c r="AG988" s="7"/>
      <c r="AH988" s="7"/>
      <c r="AI988" s="7"/>
      <c r="AJ988" s="7"/>
      <c r="AK988" s="7"/>
      <c r="AL988" s="7"/>
      <c r="AM988" s="7"/>
      <c r="AN988" s="7"/>
      <c r="AO988" s="7"/>
      <c r="AP988" s="7"/>
      <c r="AQ988" s="7"/>
      <c r="AR988" s="7"/>
      <c r="AS988" s="7"/>
      <c r="AT988" s="7"/>
    </row>
    <row r="989">
      <c r="W989" s="41"/>
      <c r="X989" s="41"/>
      <c r="Y989" s="7"/>
      <c r="Z989" s="7"/>
      <c r="AA989" s="7"/>
      <c r="AB989" s="7"/>
      <c r="AC989" s="7"/>
      <c r="AD989" s="7"/>
      <c r="AE989" s="7"/>
      <c r="AF989" s="7"/>
      <c r="AG989" s="7"/>
      <c r="AH989" s="7"/>
      <c r="AI989" s="7"/>
      <c r="AJ989" s="7"/>
      <c r="AK989" s="7"/>
      <c r="AL989" s="7"/>
      <c r="AM989" s="7"/>
      <c r="AN989" s="7"/>
      <c r="AO989" s="7"/>
      <c r="AP989" s="7"/>
      <c r="AQ989" s="7"/>
      <c r="AR989" s="7"/>
      <c r="AS989" s="7"/>
      <c r="AT989" s="7"/>
    </row>
    <row r="990">
      <c r="W990" s="41"/>
      <c r="X990" s="41"/>
      <c r="Y990" s="7"/>
      <c r="Z990" s="7"/>
      <c r="AA990" s="7"/>
      <c r="AB990" s="7"/>
      <c r="AC990" s="7"/>
      <c r="AD990" s="7"/>
      <c r="AE990" s="7"/>
      <c r="AF990" s="7"/>
      <c r="AG990" s="7"/>
      <c r="AH990" s="7"/>
      <c r="AI990" s="7"/>
      <c r="AJ990" s="7"/>
      <c r="AK990" s="7"/>
      <c r="AL990" s="7"/>
      <c r="AM990" s="7"/>
      <c r="AN990" s="7"/>
      <c r="AO990" s="7"/>
      <c r="AP990" s="7"/>
      <c r="AQ990" s="7"/>
      <c r="AR990" s="7"/>
      <c r="AS990" s="7"/>
      <c r="AT990" s="7"/>
    </row>
    <row r="991">
      <c r="W991" s="41"/>
      <c r="X991" s="41"/>
      <c r="Y991" s="7"/>
      <c r="Z991" s="7"/>
      <c r="AA991" s="7"/>
      <c r="AB991" s="7"/>
      <c r="AC991" s="7"/>
      <c r="AD991" s="7"/>
      <c r="AE991" s="7"/>
      <c r="AF991" s="7"/>
      <c r="AG991" s="7"/>
      <c r="AH991" s="7"/>
      <c r="AI991" s="7"/>
      <c r="AJ991" s="7"/>
      <c r="AK991" s="7"/>
      <c r="AL991" s="7"/>
      <c r="AM991" s="7"/>
      <c r="AN991" s="7"/>
      <c r="AO991" s="7"/>
      <c r="AP991" s="7"/>
      <c r="AQ991" s="7"/>
      <c r="AR991" s="7"/>
      <c r="AS991" s="7"/>
      <c r="AT991" s="7"/>
    </row>
    <row r="992">
      <c r="W992" s="41"/>
      <c r="X992" s="41"/>
      <c r="Y992" s="7"/>
      <c r="Z992" s="7"/>
      <c r="AA992" s="7"/>
      <c r="AB992" s="7"/>
      <c r="AC992" s="7"/>
      <c r="AD992" s="7"/>
      <c r="AE992" s="7"/>
      <c r="AF992" s="7"/>
      <c r="AG992" s="7"/>
      <c r="AH992" s="7"/>
      <c r="AI992" s="7"/>
      <c r="AJ992" s="7"/>
      <c r="AK992" s="7"/>
      <c r="AL992" s="7"/>
      <c r="AM992" s="7"/>
      <c r="AN992" s="7"/>
      <c r="AO992" s="7"/>
      <c r="AP992" s="7"/>
      <c r="AQ992" s="7"/>
      <c r="AR992" s="7"/>
      <c r="AS992" s="7"/>
      <c r="AT992" s="7"/>
    </row>
    <row r="993">
      <c r="W993" s="41"/>
      <c r="X993" s="41"/>
      <c r="Y993" s="7"/>
      <c r="Z993" s="7"/>
      <c r="AA993" s="7"/>
      <c r="AB993" s="7"/>
      <c r="AC993" s="7"/>
      <c r="AD993" s="7"/>
      <c r="AE993" s="7"/>
      <c r="AF993" s="7"/>
      <c r="AG993" s="7"/>
      <c r="AH993" s="7"/>
      <c r="AI993" s="7"/>
      <c r="AJ993" s="7"/>
      <c r="AK993" s="7"/>
      <c r="AL993" s="7"/>
      <c r="AM993" s="7"/>
      <c r="AN993" s="7"/>
      <c r="AO993" s="7"/>
      <c r="AP993" s="7"/>
      <c r="AQ993" s="7"/>
      <c r="AR993" s="7"/>
      <c r="AS993" s="7"/>
      <c r="AT993" s="7"/>
    </row>
    <row r="994">
      <c r="W994" s="41"/>
      <c r="X994" s="41"/>
      <c r="Y994" s="7"/>
      <c r="Z994" s="7"/>
      <c r="AA994" s="7"/>
      <c r="AB994" s="7"/>
      <c r="AC994" s="7"/>
      <c r="AD994" s="7"/>
      <c r="AE994" s="7"/>
      <c r="AF994" s="7"/>
      <c r="AG994" s="7"/>
      <c r="AH994" s="7"/>
      <c r="AI994" s="7"/>
      <c r="AJ994" s="7"/>
      <c r="AK994" s="7"/>
      <c r="AL994" s="7"/>
      <c r="AM994" s="7"/>
      <c r="AN994" s="7"/>
      <c r="AO994" s="7"/>
      <c r="AP994" s="7"/>
      <c r="AQ994" s="7"/>
      <c r="AR994" s="7"/>
      <c r="AS994" s="7"/>
      <c r="AT994" s="7"/>
    </row>
    <row r="995">
      <c r="W995" s="41"/>
      <c r="X995" s="41"/>
      <c r="Y995" s="7"/>
      <c r="Z995" s="7"/>
      <c r="AA995" s="7"/>
      <c r="AB995" s="7"/>
      <c r="AC995" s="7"/>
      <c r="AD995" s="7"/>
      <c r="AE995" s="7"/>
      <c r="AF995" s="7"/>
      <c r="AG995" s="7"/>
      <c r="AH995" s="7"/>
      <c r="AI995" s="7"/>
      <c r="AJ995" s="7"/>
      <c r="AK995" s="7"/>
      <c r="AL995" s="7"/>
      <c r="AM995" s="7"/>
      <c r="AN995" s="7"/>
      <c r="AO995" s="7"/>
      <c r="AP995" s="7"/>
      <c r="AQ995" s="7"/>
      <c r="AR995" s="7"/>
      <c r="AS995" s="7"/>
      <c r="AT995" s="7"/>
    </row>
    <row r="996">
      <c r="W996" s="41"/>
      <c r="X996" s="41"/>
      <c r="Y996" s="7"/>
      <c r="Z996" s="7"/>
      <c r="AA996" s="7"/>
      <c r="AB996" s="7"/>
      <c r="AC996" s="7"/>
      <c r="AD996" s="7"/>
      <c r="AE996" s="7"/>
      <c r="AF996" s="7"/>
      <c r="AG996" s="7"/>
      <c r="AH996" s="7"/>
      <c r="AI996" s="7"/>
      <c r="AJ996" s="7"/>
      <c r="AK996" s="7"/>
      <c r="AL996" s="7"/>
      <c r="AM996" s="7"/>
      <c r="AN996" s="7"/>
      <c r="AO996" s="7"/>
      <c r="AP996" s="7"/>
      <c r="AQ996" s="7"/>
      <c r="AR996" s="7"/>
      <c r="AS996" s="7"/>
      <c r="AT996" s="7"/>
    </row>
    <row r="997">
      <c r="W997" s="41"/>
      <c r="X997" s="41"/>
      <c r="Y997" s="7"/>
      <c r="Z997" s="7"/>
      <c r="AA997" s="7"/>
      <c r="AB997" s="7"/>
      <c r="AC997" s="7"/>
      <c r="AD997" s="7"/>
      <c r="AE997" s="7"/>
      <c r="AF997" s="7"/>
      <c r="AG997" s="7"/>
      <c r="AH997" s="7"/>
      <c r="AI997" s="7"/>
      <c r="AJ997" s="7"/>
      <c r="AK997" s="7"/>
      <c r="AL997" s="7"/>
      <c r="AM997" s="7"/>
      <c r="AN997" s="7"/>
      <c r="AO997" s="7"/>
      <c r="AP997" s="7"/>
      <c r="AQ997" s="7"/>
      <c r="AR997" s="7"/>
      <c r="AS997" s="7"/>
      <c r="AT997" s="7"/>
    </row>
    <row r="998">
      <c r="W998" s="41"/>
      <c r="X998" s="41"/>
      <c r="Y998" s="7"/>
      <c r="Z998" s="7"/>
      <c r="AA998" s="7"/>
      <c r="AB998" s="7"/>
      <c r="AC998" s="7"/>
      <c r="AD998" s="7"/>
      <c r="AE998" s="7"/>
      <c r="AF998" s="7"/>
      <c r="AG998" s="7"/>
      <c r="AH998" s="7"/>
      <c r="AI998" s="7"/>
      <c r="AJ998" s="7"/>
      <c r="AK998" s="7"/>
      <c r="AL998" s="7"/>
      <c r="AM998" s="7"/>
      <c r="AN998" s="7"/>
      <c r="AO998" s="7"/>
      <c r="AP998" s="7"/>
      <c r="AQ998" s="7"/>
      <c r="AR998" s="7"/>
      <c r="AS998" s="7"/>
      <c r="AT998" s="7"/>
    </row>
    <row r="999">
      <c r="W999" s="41"/>
      <c r="X999" s="41"/>
      <c r="Y999" s="7"/>
      <c r="Z999" s="7"/>
      <c r="AA999" s="7"/>
      <c r="AB999" s="7"/>
      <c r="AC999" s="7"/>
      <c r="AD999" s="7"/>
      <c r="AE999" s="7"/>
      <c r="AF999" s="7"/>
      <c r="AG999" s="7"/>
      <c r="AH999" s="7"/>
      <c r="AI999" s="7"/>
      <c r="AJ999" s="7"/>
      <c r="AK999" s="7"/>
      <c r="AL999" s="7"/>
      <c r="AM999" s="7"/>
      <c r="AN999" s="7"/>
      <c r="AO999" s="7"/>
      <c r="AP999" s="7"/>
      <c r="AQ999" s="7"/>
      <c r="AR999" s="7"/>
      <c r="AS999" s="7"/>
      <c r="AT999" s="7"/>
    </row>
    <row r="1000">
      <c r="W1000" s="41"/>
      <c r="X1000" s="41"/>
      <c r="Y1000" s="7"/>
      <c r="Z1000" s="7"/>
      <c r="AA1000" s="7"/>
      <c r="AB1000" s="7"/>
      <c r="AC1000" s="7"/>
      <c r="AD1000" s="7"/>
      <c r="AE1000" s="7"/>
      <c r="AF1000" s="7"/>
      <c r="AG1000" s="7"/>
      <c r="AH1000" s="7"/>
      <c r="AI1000" s="7"/>
      <c r="AJ1000" s="7"/>
      <c r="AK1000" s="7"/>
      <c r="AL1000" s="7"/>
      <c r="AM1000" s="7"/>
      <c r="AN1000" s="7"/>
      <c r="AO1000" s="7"/>
      <c r="AP1000" s="7"/>
      <c r="AQ1000" s="7"/>
      <c r="AR1000" s="7"/>
      <c r="AS1000" s="7"/>
      <c r="AT1000" s="7"/>
    </row>
    <row r="1001">
      <c r="W1001" s="41"/>
      <c r="X1001" s="41"/>
      <c r="Y1001" s="7"/>
      <c r="Z1001" s="7"/>
      <c r="AA1001" s="7"/>
      <c r="AB1001" s="7"/>
      <c r="AC1001" s="7"/>
      <c r="AD1001" s="7"/>
      <c r="AE1001" s="7"/>
      <c r="AF1001" s="7"/>
      <c r="AG1001" s="7"/>
      <c r="AH1001" s="7"/>
      <c r="AI1001" s="7"/>
      <c r="AJ1001" s="7"/>
      <c r="AK1001" s="7"/>
      <c r="AL1001" s="7"/>
      <c r="AM1001" s="7"/>
      <c r="AN1001" s="7"/>
      <c r="AO1001" s="7"/>
      <c r="AP1001" s="7"/>
      <c r="AQ1001" s="7"/>
      <c r="AR1001" s="7"/>
      <c r="AS1001" s="7"/>
      <c r="AT1001" s="7"/>
    </row>
    <row r="1002">
      <c r="W1002" s="41"/>
      <c r="X1002" s="41"/>
      <c r="Y1002" s="7"/>
      <c r="Z1002" s="7"/>
      <c r="AA1002" s="7"/>
      <c r="AB1002" s="7"/>
      <c r="AC1002" s="7"/>
      <c r="AD1002" s="7"/>
      <c r="AE1002" s="7"/>
      <c r="AF1002" s="7"/>
      <c r="AG1002" s="7"/>
      <c r="AH1002" s="7"/>
      <c r="AI1002" s="7"/>
      <c r="AJ1002" s="7"/>
      <c r="AK1002" s="7"/>
      <c r="AL1002" s="7"/>
      <c r="AM1002" s="7"/>
      <c r="AN1002" s="7"/>
      <c r="AO1002" s="7"/>
      <c r="AP1002" s="7"/>
      <c r="AQ1002" s="7"/>
      <c r="AR1002" s="7"/>
      <c r="AS1002" s="7"/>
      <c r="AT1002" s="7"/>
    </row>
    <row r="1003">
      <c r="W1003" s="41"/>
      <c r="X1003" s="41"/>
      <c r="Y1003" s="7"/>
      <c r="Z1003" s="7"/>
      <c r="AA1003" s="7"/>
      <c r="AB1003" s="7"/>
      <c r="AC1003" s="7"/>
      <c r="AD1003" s="7"/>
      <c r="AE1003" s="7"/>
      <c r="AF1003" s="7"/>
      <c r="AG1003" s="7"/>
      <c r="AH1003" s="7"/>
      <c r="AI1003" s="7"/>
      <c r="AJ1003" s="7"/>
      <c r="AK1003" s="7"/>
      <c r="AL1003" s="7"/>
      <c r="AM1003" s="7"/>
      <c r="AN1003" s="7"/>
      <c r="AO1003" s="7"/>
      <c r="AP1003" s="7"/>
      <c r="AQ1003" s="7"/>
      <c r="AR1003" s="7"/>
      <c r="AS1003" s="7"/>
      <c r="AT1003" s="7"/>
    </row>
    <row r="1004">
      <c r="W1004" s="41"/>
      <c r="X1004" s="41"/>
      <c r="Y1004" s="7"/>
      <c r="Z1004" s="7"/>
      <c r="AA1004" s="7"/>
      <c r="AB1004" s="7"/>
      <c r="AC1004" s="7"/>
      <c r="AD1004" s="7"/>
      <c r="AE1004" s="7"/>
      <c r="AF1004" s="7"/>
      <c r="AG1004" s="7"/>
      <c r="AH1004" s="7"/>
      <c r="AI1004" s="7"/>
      <c r="AJ1004" s="7"/>
      <c r="AK1004" s="7"/>
      <c r="AL1004" s="7"/>
      <c r="AM1004" s="7"/>
      <c r="AN1004" s="7"/>
      <c r="AO1004" s="7"/>
      <c r="AP1004" s="7"/>
      <c r="AQ1004" s="7"/>
      <c r="AR1004" s="7"/>
      <c r="AS1004" s="7"/>
      <c r="AT1004" s="7"/>
    </row>
    <row r="1005">
      <c r="W1005" s="41"/>
      <c r="X1005" s="41"/>
      <c r="Y1005" s="7"/>
      <c r="Z1005" s="7"/>
      <c r="AA1005" s="7"/>
      <c r="AB1005" s="7"/>
      <c r="AC1005" s="7"/>
      <c r="AD1005" s="7"/>
      <c r="AE1005" s="7"/>
      <c r="AF1005" s="7"/>
      <c r="AG1005" s="7"/>
      <c r="AH1005" s="7"/>
      <c r="AI1005" s="7"/>
      <c r="AJ1005" s="7"/>
      <c r="AK1005" s="7"/>
      <c r="AL1005" s="7"/>
      <c r="AM1005" s="7"/>
      <c r="AN1005" s="7"/>
      <c r="AO1005" s="7"/>
      <c r="AP1005" s="7"/>
      <c r="AQ1005" s="7"/>
      <c r="AR1005" s="7"/>
      <c r="AS1005" s="7"/>
      <c r="AT1005" s="7"/>
    </row>
    <row r="1006">
      <c r="W1006" s="41"/>
      <c r="X1006" s="41"/>
      <c r="Y1006" s="7"/>
      <c r="Z1006" s="7"/>
      <c r="AA1006" s="7"/>
      <c r="AB1006" s="7"/>
      <c r="AC1006" s="7"/>
      <c r="AD1006" s="7"/>
      <c r="AE1006" s="7"/>
      <c r="AF1006" s="7"/>
      <c r="AG1006" s="7"/>
      <c r="AH1006" s="7"/>
      <c r="AI1006" s="7"/>
      <c r="AJ1006" s="7"/>
      <c r="AK1006" s="7"/>
      <c r="AL1006" s="7"/>
      <c r="AM1006" s="7"/>
      <c r="AN1006" s="7"/>
      <c r="AO1006" s="7"/>
      <c r="AP1006" s="7"/>
      <c r="AQ1006" s="7"/>
      <c r="AR1006" s="7"/>
      <c r="AS1006" s="7"/>
      <c r="AT1006" s="7"/>
    </row>
    <row r="1007">
      <c r="W1007" s="41"/>
      <c r="X1007" s="41"/>
      <c r="Y1007" s="7"/>
      <c r="Z1007" s="7"/>
      <c r="AA1007" s="7"/>
      <c r="AB1007" s="7"/>
      <c r="AC1007" s="7"/>
      <c r="AD1007" s="7"/>
      <c r="AE1007" s="7"/>
      <c r="AF1007" s="7"/>
      <c r="AG1007" s="7"/>
      <c r="AH1007" s="7"/>
      <c r="AI1007" s="7"/>
      <c r="AJ1007" s="7"/>
      <c r="AK1007" s="7"/>
      <c r="AL1007" s="7"/>
      <c r="AM1007" s="7"/>
      <c r="AN1007" s="7"/>
      <c r="AO1007" s="7"/>
      <c r="AP1007" s="7"/>
      <c r="AQ1007" s="7"/>
      <c r="AR1007" s="7"/>
      <c r="AS1007" s="7"/>
      <c r="AT1007" s="7"/>
    </row>
    <row r="1008">
      <c r="W1008" s="41"/>
      <c r="X1008" s="41"/>
      <c r="Y1008" s="7"/>
      <c r="Z1008" s="7"/>
      <c r="AA1008" s="7"/>
      <c r="AB1008" s="7"/>
      <c r="AC1008" s="7"/>
      <c r="AD1008" s="7"/>
      <c r="AE1008" s="7"/>
      <c r="AF1008" s="7"/>
      <c r="AG1008" s="7"/>
      <c r="AH1008" s="7"/>
      <c r="AI1008" s="7"/>
      <c r="AJ1008" s="7"/>
      <c r="AK1008" s="7"/>
      <c r="AL1008" s="7"/>
      <c r="AM1008" s="7"/>
      <c r="AN1008" s="7"/>
      <c r="AO1008" s="7"/>
      <c r="AP1008" s="7"/>
      <c r="AQ1008" s="7"/>
      <c r="AR1008" s="7"/>
      <c r="AS1008" s="7"/>
      <c r="AT1008" s="7"/>
    </row>
    <row r="1009">
      <c r="W1009" s="41"/>
      <c r="X1009" s="41"/>
      <c r="Y1009" s="7"/>
      <c r="Z1009" s="7"/>
      <c r="AA1009" s="7"/>
      <c r="AB1009" s="7"/>
      <c r="AC1009" s="7"/>
      <c r="AD1009" s="7"/>
      <c r="AE1009" s="7"/>
      <c r="AF1009" s="7"/>
      <c r="AG1009" s="7"/>
      <c r="AH1009" s="7"/>
      <c r="AI1009" s="7"/>
      <c r="AJ1009" s="7"/>
      <c r="AK1009" s="7"/>
      <c r="AL1009" s="7"/>
      <c r="AM1009" s="7"/>
      <c r="AN1009" s="7"/>
      <c r="AO1009" s="7"/>
      <c r="AP1009" s="7"/>
      <c r="AQ1009" s="7"/>
      <c r="AR1009" s="7"/>
      <c r="AS1009" s="7"/>
      <c r="AT1009" s="7"/>
    </row>
    <row r="1010">
      <c r="W1010" s="41"/>
      <c r="X1010" s="41"/>
      <c r="Y1010" s="7"/>
      <c r="Z1010" s="7"/>
      <c r="AA1010" s="7"/>
      <c r="AB1010" s="7"/>
      <c r="AC1010" s="7"/>
      <c r="AD1010" s="7"/>
      <c r="AE1010" s="7"/>
      <c r="AF1010" s="7"/>
      <c r="AG1010" s="7"/>
      <c r="AH1010" s="7"/>
      <c r="AI1010" s="7"/>
      <c r="AJ1010" s="7"/>
      <c r="AK1010" s="7"/>
      <c r="AL1010" s="7"/>
      <c r="AM1010" s="7"/>
      <c r="AN1010" s="7"/>
      <c r="AO1010" s="7"/>
      <c r="AP1010" s="7"/>
      <c r="AQ1010" s="7"/>
      <c r="AR1010" s="7"/>
      <c r="AS1010" s="7"/>
      <c r="AT1010" s="7"/>
    </row>
    <row r="1011">
      <c r="W1011" s="41"/>
      <c r="X1011" s="41"/>
      <c r="Y1011" s="7"/>
      <c r="Z1011" s="7"/>
      <c r="AA1011" s="7"/>
      <c r="AB1011" s="7"/>
      <c r="AC1011" s="7"/>
      <c r="AD1011" s="7"/>
      <c r="AE1011" s="7"/>
      <c r="AF1011" s="7"/>
      <c r="AG1011" s="7"/>
      <c r="AH1011" s="7"/>
      <c r="AI1011" s="7"/>
      <c r="AJ1011" s="7"/>
      <c r="AK1011" s="7"/>
      <c r="AL1011" s="7"/>
      <c r="AM1011" s="7"/>
      <c r="AN1011" s="7"/>
      <c r="AO1011" s="7"/>
      <c r="AP1011" s="7"/>
      <c r="AQ1011" s="7"/>
      <c r="AR1011" s="7"/>
      <c r="AS1011" s="7"/>
      <c r="AT1011" s="7"/>
    </row>
    <row r="1012">
      <c r="W1012" s="41"/>
      <c r="X1012" s="41"/>
      <c r="Y1012" s="7"/>
      <c r="Z1012" s="7"/>
      <c r="AA1012" s="7"/>
      <c r="AB1012" s="7"/>
      <c r="AC1012" s="7"/>
      <c r="AD1012" s="7"/>
      <c r="AE1012" s="7"/>
      <c r="AF1012" s="7"/>
      <c r="AG1012" s="7"/>
      <c r="AH1012" s="7"/>
      <c r="AI1012" s="7"/>
      <c r="AJ1012" s="7"/>
      <c r="AK1012" s="7"/>
      <c r="AL1012" s="7"/>
      <c r="AM1012" s="7"/>
      <c r="AN1012" s="7"/>
      <c r="AO1012" s="7"/>
      <c r="AP1012" s="7"/>
      <c r="AQ1012" s="7"/>
      <c r="AR1012" s="7"/>
      <c r="AS1012" s="7"/>
      <c r="AT1012" s="7"/>
    </row>
    <row r="1013">
      <c r="W1013" s="41"/>
      <c r="X1013" s="41"/>
      <c r="Y1013" s="7"/>
      <c r="Z1013" s="7"/>
      <c r="AA1013" s="7"/>
      <c r="AB1013" s="7"/>
      <c r="AC1013" s="7"/>
      <c r="AD1013" s="7"/>
      <c r="AE1013" s="7"/>
      <c r="AF1013" s="7"/>
      <c r="AG1013" s="7"/>
      <c r="AH1013" s="7"/>
      <c r="AI1013" s="7"/>
      <c r="AJ1013" s="7"/>
      <c r="AK1013" s="7"/>
      <c r="AL1013" s="7"/>
      <c r="AM1013" s="7"/>
      <c r="AN1013" s="7"/>
      <c r="AO1013" s="7"/>
      <c r="AP1013" s="7"/>
      <c r="AQ1013" s="7"/>
      <c r="AR1013" s="7"/>
      <c r="AS1013" s="7"/>
      <c r="AT1013" s="7"/>
    </row>
    <row r="1014">
      <c r="W1014" s="41"/>
      <c r="X1014" s="41"/>
      <c r="Y1014" s="7"/>
      <c r="Z1014" s="7"/>
      <c r="AA1014" s="7"/>
      <c r="AB1014" s="7"/>
      <c r="AC1014" s="7"/>
      <c r="AD1014" s="7"/>
      <c r="AE1014" s="7"/>
      <c r="AF1014" s="7"/>
      <c r="AG1014" s="7"/>
      <c r="AH1014" s="7"/>
      <c r="AI1014" s="7"/>
      <c r="AJ1014" s="7"/>
      <c r="AK1014" s="7"/>
      <c r="AL1014" s="7"/>
      <c r="AM1014" s="7"/>
      <c r="AN1014" s="7"/>
      <c r="AO1014" s="7"/>
      <c r="AP1014" s="7"/>
      <c r="AQ1014" s="7"/>
      <c r="AR1014" s="7"/>
      <c r="AS1014" s="7"/>
      <c r="AT1014" s="7"/>
    </row>
    <row r="1015">
      <c r="W1015" s="41"/>
      <c r="X1015" s="41"/>
      <c r="Y1015" s="7"/>
      <c r="Z1015" s="7"/>
      <c r="AA1015" s="7"/>
      <c r="AB1015" s="7"/>
      <c r="AC1015" s="7"/>
      <c r="AD1015" s="7"/>
      <c r="AE1015" s="7"/>
      <c r="AF1015" s="7"/>
      <c r="AG1015" s="7"/>
      <c r="AH1015" s="7"/>
      <c r="AI1015" s="7"/>
      <c r="AJ1015" s="7"/>
      <c r="AK1015" s="7"/>
      <c r="AL1015" s="7"/>
      <c r="AM1015" s="7"/>
      <c r="AN1015" s="7"/>
      <c r="AO1015" s="7"/>
      <c r="AP1015" s="7"/>
      <c r="AQ1015" s="7"/>
      <c r="AR1015" s="7"/>
      <c r="AS1015" s="7"/>
      <c r="AT1015" s="7"/>
    </row>
    <row r="1016">
      <c r="W1016" s="41"/>
      <c r="X1016" s="41"/>
      <c r="Y1016" s="7"/>
      <c r="Z1016" s="7"/>
      <c r="AA1016" s="7"/>
      <c r="AB1016" s="7"/>
      <c r="AC1016" s="7"/>
      <c r="AD1016" s="7"/>
      <c r="AE1016" s="7"/>
      <c r="AF1016" s="7"/>
      <c r="AG1016" s="7"/>
      <c r="AH1016" s="7"/>
      <c r="AI1016" s="7"/>
      <c r="AJ1016" s="7"/>
      <c r="AK1016" s="7"/>
      <c r="AL1016" s="7"/>
      <c r="AM1016" s="7"/>
      <c r="AN1016" s="7"/>
      <c r="AO1016" s="7"/>
      <c r="AP1016" s="7"/>
      <c r="AQ1016" s="7"/>
      <c r="AR1016" s="7"/>
      <c r="AS1016" s="7"/>
      <c r="AT1016" s="7"/>
    </row>
    <row r="1017">
      <c r="W1017" s="41"/>
      <c r="X1017" s="41"/>
      <c r="Y1017" s="7"/>
      <c r="Z1017" s="7"/>
      <c r="AA1017" s="7"/>
      <c r="AB1017" s="7"/>
      <c r="AC1017" s="7"/>
      <c r="AD1017" s="7"/>
      <c r="AE1017" s="7"/>
      <c r="AF1017" s="7"/>
      <c r="AG1017" s="7"/>
      <c r="AH1017" s="7"/>
      <c r="AI1017" s="7"/>
      <c r="AJ1017" s="7"/>
      <c r="AK1017" s="7"/>
      <c r="AL1017" s="7"/>
      <c r="AM1017" s="7"/>
      <c r="AN1017" s="7"/>
      <c r="AO1017" s="7"/>
      <c r="AP1017" s="7"/>
      <c r="AQ1017" s="7"/>
      <c r="AR1017" s="7"/>
      <c r="AS1017" s="7"/>
      <c r="AT1017" s="7"/>
    </row>
    <row r="1018">
      <c r="W1018" s="41"/>
      <c r="X1018" s="41"/>
      <c r="Y1018" s="7"/>
      <c r="Z1018" s="7"/>
      <c r="AA1018" s="7"/>
      <c r="AB1018" s="7"/>
      <c r="AC1018" s="7"/>
      <c r="AD1018" s="7"/>
      <c r="AE1018" s="7"/>
      <c r="AF1018" s="7"/>
      <c r="AG1018" s="7"/>
      <c r="AH1018" s="7"/>
      <c r="AI1018" s="7"/>
      <c r="AJ1018" s="7"/>
      <c r="AK1018" s="7"/>
      <c r="AL1018" s="7"/>
      <c r="AM1018" s="7"/>
      <c r="AN1018" s="7"/>
      <c r="AO1018" s="7"/>
      <c r="AP1018" s="7"/>
      <c r="AQ1018" s="7"/>
      <c r="AR1018" s="7"/>
      <c r="AS1018" s="7"/>
      <c r="AT1018" s="7"/>
    </row>
    <row r="1019">
      <c r="W1019" s="41"/>
      <c r="X1019" s="41"/>
      <c r="Y1019" s="7"/>
      <c r="Z1019" s="7"/>
      <c r="AA1019" s="7"/>
      <c r="AB1019" s="7"/>
      <c r="AC1019" s="7"/>
      <c r="AD1019" s="7"/>
      <c r="AE1019" s="7"/>
      <c r="AF1019" s="7"/>
      <c r="AG1019" s="7"/>
      <c r="AH1019" s="7"/>
      <c r="AI1019" s="7"/>
      <c r="AJ1019" s="7"/>
      <c r="AK1019" s="7"/>
      <c r="AL1019" s="7"/>
      <c r="AM1019" s="7"/>
      <c r="AN1019" s="7"/>
      <c r="AO1019" s="7"/>
      <c r="AP1019" s="7"/>
      <c r="AQ1019" s="7"/>
      <c r="AR1019" s="7"/>
      <c r="AS1019" s="7"/>
      <c r="AT1019" s="7"/>
    </row>
    <row r="1020">
      <c r="W1020" s="41"/>
      <c r="X1020" s="41"/>
      <c r="Y1020" s="7"/>
      <c r="Z1020" s="7"/>
      <c r="AA1020" s="7"/>
      <c r="AB1020" s="7"/>
      <c r="AC1020" s="7"/>
      <c r="AD1020" s="7"/>
      <c r="AE1020" s="7"/>
      <c r="AF1020" s="7"/>
      <c r="AG1020" s="7"/>
      <c r="AH1020" s="7"/>
      <c r="AI1020" s="7"/>
      <c r="AJ1020" s="7"/>
      <c r="AK1020" s="7"/>
      <c r="AL1020" s="7"/>
      <c r="AM1020" s="7"/>
      <c r="AN1020" s="7"/>
      <c r="AO1020" s="7"/>
      <c r="AP1020" s="7"/>
      <c r="AQ1020" s="7"/>
      <c r="AR1020" s="7"/>
      <c r="AS1020" s="7"/>
      <c r="AT1020" s="7"/>
    </row>
    <row r="1021">
      <c r="W1021" s="41"/>
      <c r="X1021" s="41"/>
      <c r="Y1021" s="7"/>
      <c r="Z1021" s="7"/>
      <c r="AA1021" s="7"/>
      <c r="AB1021" s="7"/>
      <c r="AC1021" s="7"/>
      <c r="AD1021" s="7"/>
      <c r="AE1021" s="7"/>
      <c r="AF1021" s="7"/>
      <c r="AG1021" s="7"/>
      <c r="AH1021" s="7"/>
      <c r="AI1021" s="7"/>
      <c r="AJ1021" s="7"/>
      <c r="AK1021" s="7"/>
      <c r="AL1021" s="7"/>
      <c r="AM1021" s="7"/>
      <c r="AN1021" s="7"/>
      <c r="AO1021" s="7"/>
      <c r="AP1021" s="7"/>
      <c r="AQ1021" s="7"/>
      <c r="AR1021" s="7"/>
      <c r="AS1021" s="7"/>
      <c r="AT1021" s="7"/>
    </row>
    <row r="1022">
      <c r="W1022" s="41"/>
      <c r="X1022" s="41"/>
      <c r="Y1022" s="7"/>
      <c r="Z1022" s="7"/>
      <c r="AA1022" s="7"/>
      <c r="AB1022" s="7"/>
      <c r="AC1022" s="7"/>
      <c r="AD1022" s="7"/>
      <c r="AE1022" s="7"/>
      <c r="AF1022" s="7"/>
      <c r="AG1022" s="7"/>
      <c r="AH1022" s="7"/>
      <c r="AI1022" s="7"/>
      <c r="AJ1022" s="7"/>
      <c r="AK1022" s="7"/>
      <c r="AL1022" s="7"/>
      <c r="AM1022" s="7"/>
      <c r="AN1022" s="7"/>
      <c r="AO1022" s="7"/>
      <c r="AP1022" s="7"/>
      <c r="AQ1022" s="7"/>
      <c r="AR1022" s="7"/>
      <c r="AS1022" s="7"/>
      <c r="AT1022" s="7"/>
    </row>
    <row r="1023">
      <c r="W1023" s="41"/>
      <c r="X1023" s="41"/>
      <c r="Y1023" s="7"/>
      <c r="Z1023" s="7"/>
      <c r="AA1023" s="7"/>
      <c r="AB1023" s="7"/>
      <c r="AC1023" s="7"/>
      <c r="AD1023" s="7"/>
      <c r="AE1023" s="7"/>
      <c r="AF1023" s="7"/>
      <c r="AG1023" s="7"/>
      <c r="AH1023" s="7"/>
      <c r="AI1023" s="7"/>
      <c r="AJ1023" s="7"/>
      <c r="AK1023" s="7"/>
      <c r="AL1023" s="7"/>
      <c r="AM1023" s="7"/>
      <c r="AN1023" s="7"/>
      <c r="AO1023" s="7"/>
      <c r="AP1023" s="7"/>
      <c r="AQ1023" s="7"/>
      <c r="AR1023" s="7"/>
      <c r="AS1023" s="7"/>
      <c r="AT1023" s="7"/>
    </row>
    <row r="1024">
      <c r="W1024" s="41"/>
      <c r="X1024" s="41"/>
      <c r="Y1024" s="7"/>
      <c r="Z1024" s="7"/>
      <c r="AA1024" s="7"/>
      <c r="AB1024" s="7"/>
      <c r="AC1024" s="7"/>
      <c r="AD1024" s="7"/>
      <c r="AE1024" s="7"/>
      <c r="AF1024" s="7"/>
      <c r="AG1024" s="7"/>
      <c r="AH1024" s="7"/>
      <c r="AI1024" s="7"/>
      <c r="AJ1024" s="7"/>
      <c r="AK1024" s="7"/>
      <c r="AL1024" s="7"/>
      <c r="AM1024" s="7"/>
      <c r="AN1024" s="7"/>
      <c r="AO1024" s="7"/>
      <c r="AP1024" s="7"/>
      <c r="AQ1024" s="7"/>
      <c r="AR1024" s="7"/>
      <c r="AS1024" s="7"/>
      <c r="AT1024" s="7"/>
    </row>
    <row r="1025">
      <c r="W1025" s="41"/>
      <c r="X1025" s="41"/>
      <c r="Y1025" s="7"/>
      <c r="Z1025" s="7"/>
      <c r="AA1025" s="7"/>
      <c r="AB1025" s="7"/>
      <c r="AC1025" s="7"/>
      <c r="AD1025" s="7"/>
      <c r="AE1025" s="7"/>
      <c r="AF1025" s="7"/>
      <c r="AG1025" s="7"/>
      <c r="AH1025" s="7"/>
      <c r="AI1025" s="7"/>
      <c r="AJ1025" s="7"/>
      <c r="AK1025" s="7"/>
      <c r="AL1025" s="7"/>
      <c r="AM1025" s="7"/>
      <c r="AN1025" s="7"/>
      <c r="AO1025" s="7"/>
      <c r="AP1025" s="7"/>
      <c r="AQ1025" s="7"/>
      <c r="AR1025" s="7"/>
      <c r="AS1025" s="7"/>
      <c r="AT1025" s="7"/>
    </row>
    <row r="1026">
      <c r="W1026" s="41"/>
      <c r="X1026" s="41"/>
      <c r="Y1026" s="7"/>
      <c r="Z1026" s="7"/>
      <c r="AA1026" s="7"/>
      <c r="AB1026" s="7"/>
      <c r="AC1026" s="7"/>
      <c r="AD1026" s="7"/>
      <c r="AE1026" s="7"/>
      <c r="AF1026" s="7"/>
      <c r="AG1026" s="7"/>
      <c r="AH1026" s="7"/>
      <c r="AI1026" s="7"/>
      <c r="AJ1026" s="7"/>
      <c r="AK1026" s="7"/>
      <c r="AL1026" s="7"/>
      <c r="AM1026" s="7"/>
      <c r="AN1026" s="7"/>
      <c r="AO1026" s="7"/>
      <c r="AP1026" s="7"/>
      <c r="AQ1026" s="7"/>
      <c r="AR1026" s="7"/>
      <c r="AS1026" s="7"/>
      <c r="AT1026" s="7"/>
    </row>
    <row r="1027">
      <c r="W1027" s="41"/>
      <c r="X1027" s="41"/>
      <c r="Y1027" s="7"/>
      <c r="Z1027" s="7"/>
      <c r="AA1027" s="7"/>
      <c r="AB1027" s="7"/>
      <c r="AC1027" s="7"/>
      <c r="AD1027" s="7"/>
      <c r="AE1027" s="7"/>
      <c r="AF1027" s="7"/>
      <c r="AG1027" s="7"/>
      <c r="AH1027" s="7"/>
      <c r="AI1027" s="7"/>
      <c r="AJ1027" s="7"/>
      <c r="AK1027" s="7"/>
      <c r="AL1027" s="7"/>
      <c r="AM1027" s="7"/>
      <c r="AN1027" s="7"/>
      <c r="AO1027" s="7"/>
      <c r="AP1027" s="7"/>
      <c r="AQ1027" s="7"/>
      <c r="AR1027" s="7"/>
      <c r="AS1027" s="7"/>
      <c r="AT1027" s="7"/>
    </row>
    <row r="1028">
      <c r="W1028" s="41"/>
      <c r="X1028" s="41"/>
      <c r="Y1028" s="7"/>
      <c r="Z1028" s="7"/>
      <c r="AA1028" s="7"/>
      <c r="AB1028" s="7"/>
      <c r="AC1028" s="7"/>
      <c r="AD1028" s="7"/>
      <c r="AE1028" s="7"/>
      <c r="AF1028" s="7"/>
      <c r="AG1028" s="7"/>
      <c r="AH1028" s="7"/>
      <c r="AI1028" s="7"/>
      <c r="AJ1028" s="7"/>
      <c r="AK1028" s="7"/>
      <c r="AL1028" s="7"/>
      <c r="AM1028" s="7"/>
      <c r="AN1028" s="7"/>
      <c r="AO1028" s="7"/>
      <c r="AP1028" s="7"/>
      <c r="AQ1028" s="7"/>
      <c r="AR1028" s="7"/>
      <c r="AS1028" s="7"/>
      <c r="AT1028" s="7"/>
    </row>
    <row r="1029">
      <c r="W1029" s="41"/>
      <c r="X1029" s="41"/>
      <c r="Y1029" s="7"/>
      <c r="Z1029" s="7"/>
      <c r="AA1029" s="7"/>
      <c r="AB1029" s="7"/>
      <c r="AC1029" s="7"/>
      <c r="AD1029" s="7"/>
      <c r="AE1029" s="7"/>
      <c r="AF1029" s="7"/>
      <c r="AG1029" s="7"/>
      <c r="AH1029" s="7"/>
      <c r="AI1029" s="7"/>
      <c r="AJ1029" s="7"/>
      <c r="AK1029" s="7"/>
      <c r="AL1029" s="7"/>
      <c r="AM1029" s="7"/>
      <c r="AN1029" s="7"/>
      <c r="AO1029" s="7"/>
      <c r="AP1029" s="7"/>
      <c r="AQ1029" s="7"/>
      <c r="AR1029" s="7"/>
      <c r="AS1029" s="7"/>
      <c r="AT1029" s="7"/>
    </row>
  </sheetData>
  <customSheetViews>
    <customSheetView guid="{A3F522EF-1DFD-42F5-BAFD-055748B1AB39}" filter="1" showAutoFilter="1">
      <autoFilter ref="$A$1:$BJ$1029">
        <sortState ref="A1:BJ1029">
          <sortCondition ref="A1:A1029"/>
        </sortState>
      </autoFilter>
    </customSheetView>
    <customSheetView guid="{6878C689-F947-4444-994C-56A70B40FF81}" filter="1" showAutoFilter="1">
      <autoFilter ref="$A$1:$BJ$643"/>
    </customSheetView>
  </customSheetViews>
  <hyperlinks>
    <hyperlink r:id="rId1" ref="I61"/>
    <hyperlink r:id="rId2" ref="I62"/>
    <hyperlink r:id="rId3" ref="O70"/>
    <hyperlink r:id="rId4" ref="I138"/>
    <hyperlink r:id="rId5" ref="I139"/>
    <hyperlink r:id="rId6" ref="I140"/>
    <hyperlink r:id="rId7" ref="I231"/>
    <hyperlink r:id="rId8" ref="I302"/>
    <hyperlink r:id="rId9" ref="I407"/>
    <hyperlink r:id="rId10" ref="I421"/>
    <hyperlink r:id="rId11" ref="I455"/>
  </hyperlinks>
  <drawing r:id="rId1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0.57"/>
  </cols>
  <sheetData>
    <row r="1">
      <c r="A1" s="73" t="s">
        <v>2281</v>
      </c>
      <c r="C1" s="73" t="s">
        <v>2281</v>
      </c>
    </row>
    <row r="2">
      <c r="A2" s="73" t="s">
        <v>72</v>
      </c>
      <c r="C2" s="1" t="s">
        <v>72</v>
      </c>
    </row>
    <row r="3">
      <c r="A3" s="73" t="s">
        <v>96</v>
      </c>
      <c r="C3" s="1" t="s">
        <v>96</v>
      </c>
    </row>
    <row r="4">
      <c r="A4" s="73" t="s">
        <v>96</v>
      </c>
      <c r="C4" s="1" t="s">
        <v>96</v>
      </c>
    </row>
    <row r="5">
      <c r="A5" s="73" t="s">
        <v>137</v>
      </c>
      <c r="C5" s="1" t="s">
        <v>137</v>
      </c>
    </row>
    <row r="6">
      <c r="A6" s="73" t="s">
        <v>72</v>
      </c>
      <c r="C6" s="1" t="s">
        <v>72</v>
      </c>
    </row>
    <row r="7">
      <c r="A7" s="73" t="s">
        <v>656</v>
      </c>
      <c r="C7" s="1" t="s">
        <v>656</v>
      </c>
    </row>
    <row r="8">
      <c r="A8" s="73" t="s">
        <v>656</v>
      </c>
      <c r="C8" s="1" t="s">
        <v>656</v>
      </c>
    </row>
    <row r="9">
      <c r="A9" s="73" t="s">
        <v>656</v>
      </c>
      <c r="C9" s="1" t="s">
        <v>656</v>
      </c>
    </row>
    <row r="10">
      <c r="A10" s="73" t="s">
        <v>656</v>
      </c>
      <c r="C10" s="1" t="s">
        <v>656</v>
      </c>
    </row>
    <row r="11">
      <c r="A11" s="73" t="s">
        <v>656</v>
      </c>
      <c r="C11" s="1" t="s">
        <v>656</v>
      </c>
    </row>
    <row r="12">
      <c r="A12" s="73" t="s">
        <v>656</v>
      </c>
      <c r="C12" s="1" t="s">
        <v>656</v>
      </c>
    </row>
    <row r="13">
      <c r="A13" s="73" t="s">
        <v>656</v>
      </c>
      <c r="C13" s="1" t="s">
        <v>656</v>
      </c>
    </row>
    <row r="14">
      <c r="A14" s="73" t="s">
        <v>656</v>
      </c>
      <c r="C14" s="1" t="s">
        <v>656</v>
      </c>
    </row>
    <row r="15">
      <c r="A15" s="73" t="s">
        <v>656</v>
      </c>
      <c r="C15" s="1" t="s">
        <v>656</v>
      </c>
    </row>
    <row r="16">
      <c r="A16" s="73" t="s">
        <v>656</v>
      </c>
      <c r="C16" s="1" t="s">
        <v>656</v>
      </c>
    </row>
    <row r="17">
      <c r="A17" s="73" t="s">
        <v>656</v>
      </c>
      <c r="C17" s="1" t="s">
        <v>656</v>
      </c>
    </row>
    <row r="18">
      <c r="A18" s="73" t="s">
        <v>656</v>
      </c>
      <c r="C18" s="1" t="s">
        <v>656</v>
      </c>
    </row>
    <row r="19">
      <c r="A19" s="73" t="s">
        <v>656</v>
      </c>
      <c r="C19" s="1" t="s">
        <v>656</v>
      </c>
    </row>
    <row r="20">
      <c r="A20" s="73" t="s">
        <v>656</v>
      </c>
      <c r="C20" s="1" t="s">
        <v>656</v>
      </c>
    </row>
    <row r="21">
      <c r="A21" s="73" t="s">
        <v>656</v>
      </c>
      <c r="C21" s="1" t="s">
        <v>656</v>
      </c>
    </row>
    <row r="22">
      <c r="A22" s="73" t="s">
        <v>656</v>
      </c>
      <c r="C22" s="1" t="s">
        <v>656</v>
      </c>
    </row>
    <row r="23">
      <c r="A23" s="73" t="s">
        <v>656</v>
      </c>
      <c r="C23" s="1" t="s">
        <v>656</v>
      </c>
    </row>
    <row r="24">
      <c r="A24" s="73" t="s">
        <v>656</v>
      </c>
      <c r="C24" s="1" t="s">
        <v>656</v>
      </c>
    </row>
    <row r="25">
      <c r="A25" s="73" t="s">
        <v>656</v>
      </c>
      <c r="C25" s="1" t="s">
        <v>656</v>
      </c>
    </row>
    <row r="26">
      <c r="A26" s="73" t="s">
        <v>656</v>
      </c>
      <c r="C26" s="1" t="s">
        <v>656</v>
      </c>
    </row>
    <row r="27">
      <c r="A27" s="73" t="s">
        <v>656</v>
      </c>
      <c r="C27" s="1" t="s">
        <v>656</v>
      </c>
    </row>
    <row r="28">
      <c r="A28" s="73" t="s">
        <v>656</v>
      </c>
      <c r="C28" s="1" t="s">
        <v>656</v>
      </c>
    </row>
    <row r="29">
      <c r="A29" s="73" t="s">
        <v>656</v>
      </c>
      <c r="C29" s="1" t="s">
        <v>656</v>
      </c>
    </row>
    <row r="30">
      <c r="A30" s="73" t="s">
        <v>656</v>
      </c>
      <c r="C30" s="1" t="s">
        <v>656</v>
      </c>
    </row>
    <row r="31">
      <c r="A31" s="73" t="s">
        <v>656</v>
      </c>
      <c r="C31" s="1" t="s">
        <v>656</v>
      </c>
    </row>
    <row r="32">
      <c r="A32" s="73" t="s">
        <v>656</v>
      </c>
      <c r="C32" s="1" t="s">
        <v>656</v>
      </c>
    </row>
    <row r="33">
      <c r="A33" s="73" t="s">
        <v>96</v>
      </c>
      <c r="C33" s="1" t="s">
        <v>96</v>
      </c>
    </row>
    <row r="34">
      <c r="A34" s="73" t="s">
        <v>96</v>
      </c>
      <c r="C34" s="1" t="s">
        <v>96</v>
      </c>
    </row>
    <row r="35">
      <c r="A35" s="73" t="s">
        <v>1533</v>
      </c>
      <c r="C35" s="1" t="s">
        <v>1533</v>
      </c>
    </row>
    <row r="36">
      <c r="A36" s="73" t="s">
        <v>1533</v>
      </c>
      <c r="C36" s="1" t="s">
        <v>1533</v>
      </c>
    </row>
    <row r="37">
      <c r="A37" s="73" t="s">
        <v>276</v>
      </c>
      <c r="C37" s="1" t="s">
        <v>276</v>
      </c>
    </row>
    <row r="38">
      <c r="A38" s="73" t="s">
        <v>1533</v>
      </c>
      <c r="C38" s="1" t="s">
        <v>1533</v>
      </c>
    </row>
    <row r="39">
      <c r="A39" s="73" t="s">
        <v>72</v>
      </c>
      <c r="C39" s="1" t="s">
        <v>72</v>
      </c>
    </row>
    <row r="40">
      <c r="A40" s="73" t="s">
        <v>72</v>
      </c>
      <c r="C40" s="1" t="s">
        <v>72</v>
      </c>
    </row>
    <row r="41">
      <c r="A41" s="73" t="s">
        <v>156</v>
      </c>
      <c r="C41" s="1" t="s">
        <v>156</v>
      </c>
    </row>
    <row r="42">
      <c r="A42" s="73" t="s">
        <v>156</v>
      </c>
      <c r="C42" s="1" t="s">
        <v>156</v>
      </c>
    </row>
    <row r="43">
      <c r="A43" s="73" t="s">
        <v>156</v>
      </c>
      <c r="C43" s="1" t="s">
        <v>156</v>
      </c>
    </row>
    <row r="44">
      <c r="A44" s="73" t="s">
        <v>156</v>
      </c>
      <c r="C44" s="1" t="s">
        <v>156</v>
      </c>
    </row>
    <row r="45">
      <c r="A45" s="73" t="s">
        <v>72</v>
      </c>
      <c r="C45" s="1" t="s">
        <v>72</v>
      </c>
    </row>
    <row r="46">
      <c r="A46" s="73" t="s">
        <v>2282</v>
      </c>
      <c r="C46" s="1" t="s">
        <v>2283</v>
      </c>
    </row>
    <row r="47">
      <c r="A47" s="73" t="s">
        <v>96</v>
      </c>
      <c r="C47" s="1" t="s">
        <v>96</v>
      </c>
    </row>
    <row r="48">
      <c r="A48" s="73" t="s">
        <v>96</v>
      </c>
      <c r="C48" s="1" t="s">
        <v>96</v>
      </c>
    </row>
    <row r="49">
      <c r="A49" s="73" t="s">
        <v>96</v>
      </c>
      <c r="C49" s="1" t="s">
        <v>96</v>
      </c>
    </row>
    <row r="50">
      <c r="A50" s="73" t="s">
        <v>2282</v>
      </c>
      <c r="C50" s="1" t="s">
        <v>2283</v>
      </c>
    </row>
    <row r="51">
      <c r="A51" s="73" t="s">
        <v>2282</v>
      </c>
      <c r="C51" s="1" t="s">
        <v>2283</v>
      </c>
    </row>
    <row r="52">
      <c r="A52" s="73" t="s">
        <v>156</v>
      </c>
      <c r="C52" s="1" t="s">
        <v>156</v>
      </c>
    </row>
    <row r="53">
      <c r="A53" s="73" t="s">
        <v>156</v>
      </c>
      <c r="C53" s="1" t="s">
        <v>156</v>
      </c>
    </row>
    <row r="54">
      <c r="A54" s="73" t="s">
        <v>615</v>
      </c>
      <c r="C54" s="1" t="s">
        <v>615</v>
      </c>
    </row>
    <row r="55">
      <c r="A55" s="73" t="s">
        <v>2284</v>
      </c>
      <c r="C55" s="1" t="s">
        <v>2285</v>
      </c>
    </row>
    <row r="56">
      <c r="A56" s="73" t="s">
        <v>156</v>
      </c>
      <c r="C56" s="1" t="s">
        <v>156</v>
      </c>
    </row>
    <row r="57">
      <c r="A57" s="73" t="s">
        <v>72</v>
      </c>
      <c r="C57" s="1" t="s">
        <v>72</v>
      </c>
    </row>
    <row r="58">
      <c r="A58" s="73" t="s">
        <v>2282</v>
      </c>
      <c r="C58" s="1" t="s">
        <v>2283</v>
      </c>
    </row>
    <row r="59">
      <c r="A59" s="73" t="s">
        <v>96</v>
      </c>
      <c r="C59" s="1" t="s">
        <v>96</v>
      </c>
    </row>
    <row r="60">
      <c r="A60" s="73" t="s">
        <v>1471</v>
      </c>
      <c r="C60" s="1" t="s">
        <v>1471</v>
      </c>
    </row>
    <row r="61">
      <c r="A61" s="73" t="s">
        <v>1471</v>
      </c>
      <c r="C61" s="1" t="s">
        <v>1471</v>
      </c>
    </row>
    <row r="62">
      <c r="A62" s="73" t="s">
        <v>156</v>
      </c>
      <c r="C62" s="1" t="s">
        <v>156</v>
      </c>
    </row>
    <row r="63">
      <c r="A63" s="73" t="s">
        <v>1099</v>
      </c>
      <c r="C63" s="1" t="s">
        <v>1099</v>
      </c>
    </row>
    <row r="64">
      <c r="A64" s="73" t="s">
        <v>1099</v>
      </c>
      <c r="C64" s="1" t="s">
        <v>1099</v>
      </c>
    </row>
    <row r="65">
      <c r="A65" s="73" t="s">
        <v>1099</v>
      </c>
      <c r="C65" s="1" t="s">
        <v>1099</v>
      </c>
    </row>
    <row r="66">
      <c r="A66" s="73" t="s">
        <v>813</v>
      </c>
      <c r="C66" s="1" t="s">
        <v>813</v>
      </c>
    </row>
    <row r="67">
      <c r="A67" s="73" t="s">
        <v>813</v>
      </c>
      <c r="C67" s="1" t="s">
        <v>813</v>
      </c>
    </row>
    <row r="68">
      <c r="A68" s="73" t="s">
        <v>276</v>
      </c>
      <c r="C68" s="1" t="s">
        <v>276</v>
      </c>
    </row>
    <row r="69">
      <c r="A69" s="73" t="s">
        <v>276</v>
      </c>
      <c r="C69" s="1" t="s">
        <v>276</v>
      </c>
    </row>
    <row r="70">
      <c r="A70" s="73" t="s">
        <v>813</v>
      </c>
      <c r="C70" s="1" t="s">
        <v>813</v>
      </c>
    </row>
    <row r="71">
      <c r="A71" s="73" t="s">
        <v>823</v>
      </c>
      <c r="C71" s="1" t="s">
        <v>823</v>
      </c>
    </row>
    <row r="72">
      <c r="A72" s="73" t="s">
        <v>823</v>
      </c>
      <c r="C72" s="1" t="s">
        <v>823</v>
      </c>
    </row>
    <row r="73">
      <c r="A73" s="73" t="s">
        <v>823</v>
      </c>
      <c r="C73" s="1" t="s">
        <v>823</v>
      </c>
    </row>
    <row r="74">
      <c r="A74" s="73" t="s">
        <v>813</v>
      </c>
      <c r="C74" s="1" t="s">
        <v>813</v>
      </c>
    </row>
    <row r="75">
      <c r="A75" s="73" t="s">
        <v>156</v>
      </c>
      <c r="C75" s="1" t="s">
        <v>156</v>
      </c>
    </row>
    <row r="76">
      <c r="A76" s="73" t="s">
        <v>156</v>
      </c>
      <c r="C76" s="1" t="s">
        <v>156</v>
      </c>
    </row>
    <row r="77">
      <c r="A77" s="73" t="s">
        <v>156</v>
      </c>
      <c r="C77" s="1" t="s">
        <v>156</v>
      </c>
    </row>
    <row r="78">
      <c r="A78" s="73" t="s">
        <v>150</v>
      </c>
      <c r="C78" s="1" t="s">
        <v>150</v>
      </c>
    </row>
    <row r="79">
      <c r="A79" s="73" t="s">
        <v>2286</v>
      </c>
      <c r="C79" s="1" t="s">
        <v>2287</v>
      </c>
    </row>
    <row r="80">
      <c r="A80" s="73" t="s">
        <v>276</v>
      </c>
      <c r="C80" s="1" t="s">
        <v>276</v>
      </c>
    </row>
    <row r="81">
      <c r="A81" s="73" t="s">
        <v>276</v>
      </c>
      <c r="C81" s="1" t="s">
        <v>276</v>
      </c>
    </row>
    <row r="82">
      <c r="A82" s="73" t="s">
        <v>1073</v>
      </c>
      <c r="C82" s="1" t="s">
        <v>1073</v>
      </c>
    </row>
    <row r="83">
      <c r="A83" s="73" t="s">
        <v>156</v>
      </c>
      <c r="C83" s="1" t="s">
        <v>156</v>
      </c>
    </row>
    <row r="84">
      <c r="A84" s="73" t="s">
        <v>727</v>
      </c>
      <c r="C84" s="1" t="s">
        <v>727</v>
      </c>
    </row>
    <row r="85">
      <c r="A85" s="73" t="s">
        <v>2282</v>
      </c>
      <c r="C85" s="1" t="s">
        <v>2283</v>
      </c>
    </row>
    <row r="86">
      <c r="A86" s="73" t="s">
        <v>2282</v>
      </c>
      <c r="C86" s="1" t="s">
        <v>2283</v>
      </c>
    </row>
    <row r="87">
      <c r="A87" s="73" t="s">
        <v>331</v>
      </c>
      <c r="C87" s="1" t="s">
        <v>331</v>
      </c>
    </row>
    <row r="88">
      <c r="A88" s="73" t="s">
        <v>1825</v>
      </c>
      <c r="C88" s="1" t="s">
        <v>1825</v>
      </c>
    </row>
    <row r="89">
      <c r="A89" s="73" t="s">
        <v>1296</v>
      </c>
      <c r="C89" s="1" t="s">
        <v>1296</v>
      </c>
    </row>
    <row r="90">
      <c r="A90" s="73" t="s">
        <v>72</v>
      </c>
      <c r="C90" s="1" t="s">
        <v>72</v>
      </c>
    </row>
    <row r="91">
      <c r="A91" s="73" t="s">
        <v>72</v>
      </c>
      <c r="C91" s="1" t="s">
        <v>72</v>
      </c>
    </row>
    <row r="92">
      <c r="A92" s="73" t="s">
        <v>1296</v>
      </c>
      <c r="C92" s="1" t="s">
        <v>1296</v>
      </c>
    </row>
    <row r="93">
      <c r="A93" s="73" t="s">
        <v>156</v>
      </c>
      <c r="C93" s="1" t="s">
        <v>156</v>
      </c>
    </row>
    <row r="94">
      <c r="A94" s="73" t="s">
        <v>803</v>
      </c>
      <c r="C94" s="1" t="s">
        <v>803</v>
      </c>
    </row>
    <row r="95">
      <c r="A95" s="73" t="s">
        <v>2288</v>
      </c>
      <c r="C95" s="1" t="s">
        <v>2289</v>
      </c>
    </row>
    <row r="96">
      <c r="A96" s="73" t="s">
        <v>96</v>
      </c>
      <c r="C96" s="1" t="s">
        <v>96</v>
      </c>
    </row>
    <row r="97">
      <c r="A97" s="73" t="s">
        <v>96</v>
      </c>
      <c r="C97" s="1" t="s">
        <v>96</v>
      </c>
    </row>
    <row r="98">
      <c r="A98" s="73" t="s">
        <v>72</v>
      </c>
      <c r="C98" s="1" t="s">
        <v>72</v>
      </c>
    </row>
    <row r="99">
      <c r="A99" s="73" t="s">
        <v>72</v>
      </c>
      <c r="C99" s="1" t="s">
        <v>72</v>
      </c>
    </row>
    <row r="100">
      <c r="A100" s="73" t="s">
        <v>72</v>
      </c>
      <c r="C100" s="1" t="s">
        <v>72</v>
      </c>
    </row>
    <row r="101">
      <c r="A101" s="73" t="s">
        <v>72</v>
      </c>
      <c r="C101" s="1" t="s">
        <v>72</v>
      </c>
    </row>
    <row r="102">
      <c r="A102" s="73" t="s">
        <v>2282</v>
      </c>
      <c r="C102" s="1" t="s">
        <v>2283</v>
      </c>
    </row>
    <row r="103">
      <c r="A103" s="73" t="s">
        <v>72</v>
      </c>
      <c r="C103" s="1" t="s">
        <v>72</v>
      </c>
    </row>
    <row r="104">
      <c r="A104" s="73" t="s">
        <v>156</v>
      </c>
      <c r="C104" s="1" t="s">
        <v>156</v>
      </c>
    </row>
    <row r="105">
      <c r="A105" s="73" t="s">
        <v>1455</v>
      </c>
      <c r="C105" s="1" t="s">
        <v>1455</v>
      </c>
    </row>
    <row r="106">
      <c r="A106" s="73" t="s">
        <v>96</v>
      </c>
      <c r="C106" s="1" t="s">
        <v>96</v>
      </c>
    </row>
    <row r="107">
      <c r="A107" s="73" t="s">
        <v>1073</v>
      </c>
      <c r="C107" s="1" t="s">
        <v>1073</v>
      </c>
    </row>
    <row r="108">
      <c r="A108" s="73" t="s">
        <v>2290</v>
      </c>
      <c r="C108" s="1" t="s">
        <v>2291</v>
      </c>
    </row>
    <row r="109">
      <c r="A109" s="73" t="s">
        <v>156</v>
      </c>
      <c r="C109" s="1" t="s">
        <v>156</v>
      </c>
    </row>
    <row r="110">
      <c r="A110" s="73" t="s">
        <v>96</v>
      </c>
      <c r="C110" s="1" t="s">
        <v>96</v>
      </c>
    </row>
    <row r="111">
      <c r="A111" s="73" t="s">
        <v>96</v>
      </c>
      <c r="C111" s="1" t="s">
        <v>96</v>
      </c>
    </row>
    <row r="112">
      <c r="A112" s="73" t="s">
        <v>96</v>
      </c>
      <c r="C112" s="1" t="s">
        <v>96</v>
      </c>
    </row>
    <row r="113">
      <c r="A113" s="73" t="s">
        <v>150</v>
      </c>
      <c r="C113" s="1" t="s">
        <v>150</v>
      </c>
    </row>
    <row r="114">
      <c r="A114" s="73" t="s">
        <v>173</v>
      </c>
      <c r="C114" s="1" t="s">
        <v>173</v>
      </c>
    </row>
    <row r="115">
      <c r="A115" s="73" t="s">
        <v>173</v>
      </c>
      <c r="C115" s="1" t="s">
        <v>173</v>
      </c>
    </row>
    <row r="116">
      <c r="A116" s="73" t="s">
        <v>823</v>
      </c>
      <c r="C116" s="1" t="s">
        <v>823</v>
      </c>
    </row>
    <row r="117">
      <c r="A117" s="73" t="s">
        <v>96</v>
      </c>
      <c r="C117" s="1" t="s">
        <v>96</v>
      </c>
    </row>
    <row r="118">
      <c r="A118" s="73" t="s">
        <v>96</v>
      </c>
      <c r="C118" s="1" t="s">
        <v>96</v>
      </c>
    </row>
    <row r="119">
      <c r="A119" s="73" t="s">
        <v>96</v>
      </c>
      <c r="C119" s="1" t="s">
        <v>96</v>
      </c>
    </row>
    <row r="120">
      <c r="A120" s="73" t="s">
        <v>173</v>
      </c>
      <c r="C120" s="1" t="s">
        <v>173</v>
      </c>
    </row>
    <row r="121">
      <c r="A121" s="73" t="s">
        <v>615</v>
      </c>
      <c r="C121" s="1" t="s">
        <v>615</v>
      </c>
    </row>
    <row r="122">
      <c r="A122" s="73" t="s">
        <v>173</v>
      </c>
      <c r="C122" s="1" t="s">
        <v>173</v>
      </c>
    </row>
    <row r="123">
      <c r="A123" s="73" t="s">
        <v>173</v>
      </c>
      <c r="C123" s="1" t="s">
        <v>173</v>
      </c>
    </row>
    <row r="124">
      <c r="A124" s="73" t="s">
        <v>1825</v>
      </c>
      <c r="C124" s="1" t="s">
        <v>1825</v>
      </c>
    </row>
    <row r="125">
      <c r="A125" s="73" t="s">
        <v>1825</v>
      </c>
      <c r="C125" s="1" t="s">
        <v>1825</v>
      </c>
    </row>
    <row r="126">
      <c r="A126" s="73" t="s">
        <v>823</v>
      </c>
      <c r="C126" s="1" t="s">
        <v>823</v>
      </c>
    </row>
    <row r="127">
      <c r="A127" s="73" t="s">
        <v>823</v>
      </c>
      <c r="C127" s="1" t="s">
        <v>823</v>
      </c>
    </row>
    <row r="128">
      <c r="A128" s="73" t="s">
        <v>823</v>
      </c>
      <c r="C128" s="1" t="s">
        <v>823</v>
      </c>
    </row>
    <row r="129">
      <c r="A129" s="73" t="s">
        <v>467</v>
      </c>
      <c r="C129" s="1" t="s">
        <v>467</v>
      </c>
    </row>
    <row r="130">
      <c r="A130" s="73" t="s">
        <v>467</v>
      </c>
      <c r="C130" s="1" t="s">
        <v>467</v>
      </c>
    </row>
    <row r="131">
      <c r="A131" s="73" t="s">
        <v>96</v>
      </c>
      <c r="C131" s="1" t="s">
        <v>96</v>
      </c>
    </row>
    <row r="132">
      <c r="A132" s="73" t="s">
        <v>96</v>
      </c>
      <c r="C132" s="1" t="s">
        <v>96</v>
      </c>
    </row>
    <row r="133">
      <c r="A133" s="73" t="s">
        <v>96</v>
      </c>
      <c r="C133" s="1" t="s">
        <v>96</v>
      </c>
    </row>
    <row r="134">
      <c r="A134" s="73" t="s">
        <v>96</v>
      </c>
      <c r="C134" s="1" t="s">
        <v>96</v>
      </c>
    </row>
    <row r="135">
      <c r="A135" s="73" t="s">
        <v>156</v>
      </c>
      <c r="C135" s="1" t="s">
        <v>156</v>
      </c>
    </row>
    <row r="136">
      <c r="A136" s="73" t="s">
        <v>173</v>
      </c>
      <c r="C136" s="1" t="s">
        <v>173</v>
      </c>
    </row>
    <row r="137">
      <c r="A137" s="73" t="s">
        <v>156</v>
      </c>
      <c r="C137" s="1" t="s">
        <v>156</v>
      </c>
    </row>
    <row r="138">
      <c r="A138" s="73" t="s">
        <v>173</v>
      </c>
      <c r="C138" s="1" t="s">
        <v>173</v>
      </c>
    </row>
    <row r="139">
      <c r="A139" s="73" t="s">
        <v>276</v>
      </c>
      <c r="C139" s="1" t="s">
        <v>276</v>
      </c>
    </row>
    <row r="140">
      <c r="A140" s="73" t="s">
        <v>173</v>
      </c>
      <c r="C140" s="1" t="s">
        <v>173</v>
      </c>
    </row>
    <row r="141">
      <c r="A141" s="73" t="s">
        <v>2282</v>
      </c>
      <c r="C141" s="1" t="s">
        <v>2283</v>
      </c>
    </row>
    <row r="142">
      <c r="A142" s="73" t="s">
        <v>173</v>
      </c>
      <c r="C142" s="1" t="s">
        <v>173</v>
      </c>
    </row>
    <row r="143">
      <c r="A143" s="73" t="s">
        <v>276</v>
      </c>
      <c r="C143" s="1" t="s">
        <v>276</v>
      </c>
    </row>
    <row r="144">
      <c r="A144" s="73" t="s">
        <v>156</v>
      </c>
      <c r="C144" s="1" t="s">
        <v>156</v>
      </c>
    </row>
    <row r="145">
      <c r="A145" s="73" t="s">
        <v>173</v>
      </c>
      <c r="C145" s="1" t="s">
        <v>173</v>
      </c>
    </row>
    <row r="146">
      <c r="A146" s="73" t="s">
        <v>2282</v>
      </c>
      <c r="C146" s="1" t="s">
        <v>2283</v>
      </c>
    </row>
    <row r="147">
      <c r="A147" s="73" t="s">
        <v>156</v>
      </c>
      <c r="C147" s="1" t="s">
        <v>156</v>
      </c>
    </row>
    <row r="148">
      <c r="A148" s="73" t="s">
        <v>173</v>
      </c>
      <c r="C148" s="1" t="s">
        <v>173</v>
      </c>
    </row>
    <row r="149">
      <c r="A149" s="73" t="s">
        <v>72</v>
      </c>
      <c r="C149" s="1" t="s">
        <v>72</v>
      </c>
    </row>
    <row r="150">
      <c r="A150" s="73" t="s">
        <v>72</v>
      </c>
      <c r="C150" s="1" t="s">
        <v>72</v>
      </c>
    </row>
    <row r="151">
      <c r="A151" s="73" t="s">
        <v>2292</v>
      </c>
      <c r="C151" s="1" t="s">
        <v>2293</v>
      </c>
    </row>
    <row r="152">
      <c r="A152" s="73" t="s">
        <v>1132</v>
      </c>
      <c r="C152" s="1" t="s">
        <v>1132</v>
      </c>
    </row>
    <row r="153">
      <c r="A153" s="73" t="s">
        <v>615</v>
      </c>
      <c r="C153" s="1" t="s">
        <v>615</v>
      </c>
    </row>
    <row r="154">
      <c r="A154" s="73" t="s">
        <v>173</v>
      </c>
      <c r="C154" s="1" t="s">
        <v>173</v>
      </c>
    </row>
    <row r="155">
      <c r="A155" s="73" t="s">
        <v>72</v>
      </c>
      <c r="C155" s="1" t="s">
        <v>72</v>
      </c>
    </row>
    <row r="156">
      <c r="A156" s="73" t="s">
        <v>615</v>
      </c>
      <c r="C156" s="1" t="s">
        <v>615</v>
      </c>
    </row>
    <row r="157">
      <c r="A157" s="73" t="s">
        <v>727</v>
      </c>
      <c r="C157" s="1" t="s">
        <v>727</v>
      </c>
    </row>
    <row r="158">
      <c r="A158" s="73" t="s">
        <v>723</v>
      </c>
      <c r="C158" s="1" t="s">
        <v>723</v>
      </c>
    </row>
    <row r="159">
      <c r="A159" s="73" t="s">
        <v>116</v>
      </c>
      <c r="C159" s="1" t="s">
        <v>116</v>
      </c>
    </row>
    <row r="160">
      <c r="A160" s="73" t="s">
        <v>727</v>
      </c>
      <c r="C160" s="1" t="s">
        <v>727</v>
      </c>
    </row>
    <row r="161">
      <c r="A161" s="73" t="s">
        <v>156</v>
      </c>
      <c r="C161" s="1" t="s">
        <v>156</v>
      </c>
    </row>
    <row r="162">
      <c r="A162" s="73" t="s">
        <v>823</v>
      </c>
      <c r="C162" s="1" t="s">
        <v>823</v>
      </c>
    </row>
    <row r="163">
      <c r="A163" s="73" t="s">
        <v>156</v>
      </c>
      <c r="C163" s="1" t="s">
        <v>156</v>
      </c>
    </row>
    <row r="164">
      <c r="A164" s="73" t="s">
        <v>823</v>
      </c>
      <c r="C164" s="1" t="s">
        <v>823</v>
      </c>
    </row>
    <row r="165">
      <c r="A165" s="73" t="s">
        <v>170</v>
      </c>
      <c r="C165" s="1" t="s">
        <v>170</v>
      </c>
    </row>
    <row r="166">
      <c r="A166" s="73" t="s">
        <v>2294</v>
      </c>
      <c r="C166" s="1" t="s">
        <v>2294</v>
      </c>
    </row>
    <row r="167">
      <c r="A167" s="73" t="s">
        <v>444</v>
      </c>
      <c r="C167" s="1" t="s">
        <v>444</v>
      </c>
    </row>
    <row r="168">
      <c r="A168" s="73" t="s">
        <v>444</v>
      </c>
      <c r="C168" s="1" t="s">
        <v>444</v>
      </c>
    </row>
    <row r="169">
      <c r="A169" s="73" t="s">
        <v>444</v>
      </c>
      <c r="C169" s="1" t="s">
        <v>444</v>
      </c>
    </row>
    <row r="170">
      <c r="A170" s="73" t="s">
        <v>444</v>
      </c>
      <c r="C170" s="1" t="s">
        <v>444</v>
      </c>
    </row>
    <row r="171">
      <c r="A171" s="73" t="s">
        <v>556</v>
      </c>
      <c r="C171" s="1" t="s">
        <v>556</v>
      </c>
    </row>
    <row r="172">
      <c r="A172" s="73" t="s">
        <v>913</v>
      </c>
      <c r="C172" s="1" t="s">
        <v>913</v>
      </c>
    </row>
    <row r="173">
      <c r="A173" s="73" t="s">
        <v>917</v>
      </c>
      <c r="C173" s="1" t="s">
        <v>917</v>
      </c>
    </row>
    <row r="174">
      <c r="A174" s="73" t="s">
        <v>917</v>
      </c>
      <c r="C174" s="1" t="s">
        <v>917</v>
      </c>
    </row>
    <row r="175">
      <c r="A175" s="73" t="s">
        <v>917</v>
      </c>
      <c r="C175" s="1" t="s">
        <v>917</v>
      </c>
    </row>
    <row r="176">
      <c r="A176" s="73" t="s">
        <v>917</v>
      </c>
      <c r="C176" s="1" t="s">
        <v>917</v>
      </c>
    </row>
    <row r="177">
      <c r="A177" s="73" t="s">
        <v>917</v>
      </c>
      <c r="C177" s="1" t="s">
        <v>917</v>
      </c>
    </row>
    <row r="178">
      <c r="A178" s="73" t="s">
        <v>917</v>
      </c>
      <c r="C178" s="1" t="s">
        <v>917</v>
      </c>
    </row>
    <row r="179">
      <c r="A179" s="73" t="s">
        <v>72</v>
      </c>
      <c r="C179" s="1" t="s">
        <v>72</v>
      </c>
    </row>
    <row r="180">
      <c r="A180" s="73" t="s">
        <v>917</v>
      </c>
      <c r="C180" s="1" t="s">
        <v>917</v>
      </c>
    </row>
    <row r="181">
      <c r="A181" s="73" t="s">
        <v>72</v>
      </c>
      <c r="C181" s="1" t="s">
        <v>72</v>
      </c>
    </row>
    <row r="182">
      <c r="A182" s="73" t="s">
        <v>2282</v>
      </c>
      <c r="C182" s="1" t="s">
        <v>2283</v>
      </c>
    </row>
    <row r="183">
      <c r="A183" s="73" t="s">
        <v>1683</v>
      </c>
      <c r="C183" s="1" t="s">
        <v>1683</v>
      </c>
    </row>
    <row r="184">
      <c r="A184" s="73" t="s">
        <v>1597</v>
      </c>
      <c r="C184" s="1" t="s">
        <v>1597</v>
      </c>
    </row>
    <row r="185">
      <c r="A185" s="73" t="s">
        <v>1683</v>
      </c>
      <c r="C185" s="1" t="s">
        <v>1683</v>
      </c>
    </row>
    <row r="186">
      <c r="A186" s="73" t="s">
        <v>615</v>
      </c>
      <c r="C186" s="1" t="s">
        <v>615</v>
      </c>
    </row>
    <row r="187">
      <c r="A187" s="73" t="s">
        <v>2282</v>
      </c>
      <c r="C187" s="1" t="s">
        <v>2283</v>
      </c>
    </row>
    <row r="188">
      <c r="A188" s="73" t="s">
        <v>156</v>
      </c>
      <c r="C188" s="1" t="s">
        <v>156</v>
      </c>
    </row>
    <row r="189">
      <c r="A189" s="73" t="s">
        <v>156</v>
      </c>
      <c r="C189" s="1" t="s">
        <v>156</v>
      </c>
    </row>
    <row r="190">
      <c r="A190" s="73" t="s">
        <v>353</v>
      </c>
      <c r="C190" s="1" t="s">
        <v>353</v>
      </c>
    </row>
    <row r="191">
      <c r="A191" s="73" t="s">
        <v>823</v>
      </c>
      <c r="C191" s="1" t="s">
        <v>823</v>
      </c>
    </row>
    <row r="192">
      <c r="A192" s="73" t="s">
        <v>150</v>
      </c>
      <c r="C192" s="1" t="s">
        <v>150</v>
      </c>
    </row>
    <row r="193">
      <c r="A193" s="73" t="s">
        <v>156</v>
      </c>
      <c r="C193" s="1" t="s">
        <v>156</v>
      </c>
    </row>
    <row r="194">
      <c r="A194" s="73" t="s">
        <v>353</v>
      </c>
      <c r="C194" s="1" t="s">
        <v>353</v>
      </c>
    </row>
    <row r="195">
      <c r="A195" s="73" t="s">
        <v>2282</v>
      </c>
      <c r="C195" s="1" t="s">
        <v>2283</v>
      </c>
    </row>
    <row r="196">
      <c r="A196" s="73" t="s">
        <v>156</v>
      </c>
      <c r="C196" s="1" t="s">
        <v>156</v>
      </c>
    </row>
    <row r="197">
      <c r="A197" s="73" t="s">
        <v>156</v>
      </c>
      <c r="C197" s="1" t="s">
        <v>156</v>
      </c>
    </row>
    <row r="198">
      <c r="A198" s="73" t="s">
        <v>353</v>
      </c>
      <c r="C198" s="1" t="s">
        <v>353</v>
      </c>
    </row>
    <row r="199">
      <c r="A199" s="73" t="s">
        <v>72</v>
      </c>
      <c r="C199" s="1" t="s">
        <v>72</v>
      </c>
    </row>
    <row r="200">
      <c r="A200" s="73" t="s">
        <v>72</v>
      </c>
      <c r="C200" s="1" t="s">
        <v>72</v>
      </c>
    </row>
    <row r="201">
      <c r="A201" s="73" t="s">
        <v>1073</v>
      </c>
      <c r="C201" s="1" t="s">
        <v>1073</v>
      </c>
    </row>
    <row r="202">
      <c r="A202" s="73" t="s">
        <v>72</v>
      </c>
      <c r="C202" s="1" t="s">
        <v>72</v>
      </c>
    </row>
    <row r="203">
      <c r="A203" s="73" t="s">
        <v>72</v>
      </c>
      <c r="C203" s="1" t="s">
        <v>72</v>
      </c>
    </row>
    <row r="204">
      <c r="A204" s="73" t="s">
        <v>72</v>
      </c>
      <c r="C204" s="1" t="s">
        <v>72</v>
      </c>
    </row>
    <row r="205">
      <c r="A205" s="73" t="s">
        <v>615</v>
      </c>
      <c r="C205" s="1" t="s">
        <v>615</v>
      </c>
    </row>
    <row r="206">
      <c r="A206" s="73" t="s">
        <v>615</v>
      </c>
      <c r="C206" s="1" t="s">
        <v>615</v>
      </c>
    </row>
    <row r="207">
      <c r="A207" s="73" t="s">
        <v>72</v>
      </c>
      <c r="C207" s="1" t="s">
        <v>72</v>
      </c>
    </row>
    <row r="208">
      <c r="A208" s="73" t="s">
        <v>96</v>
      </c>
      <c r="C208" s="1" t="s">
        <v>96</v>
      </c>
    </row>
    <row r="209">
      <c r="A209" s="73" t="s">
        <v>96</v>
      </c>
      <c r="C209" s="1" t="s">
        <v>96</v>
      </c>
    </row>
    <row r="210">
      <c r="A210" s="73" t="s">
        <v>96</v>
      </c>
      <c r="C210" s="1" t="s">
        <v>96</v>
      </c>
    </row>
    <row r="211">
      <c r="A211" s="73" t="s">
        <v>96</v>
      </c>
      <c r="C211" s="1" t="s">
        <v>96</v>
      </c>
    </row>
    <row r="212">
      <c r="A212" s="73" t="s">
        <v>96</v>
      </c>
      <c r="C212" s="1" t="s">
        <v>96</v>
      </c>
    </row>
    <row r="213">
      <c r="A213" s="73" t="s">
        <v>615</v>
      </c>
      <c r="C213" s="1" t="s">
        <v>615</v>
      </c>
    </row>
    <row r="214">
      <c r="A214" s="73" t="s">
        <v>1990</v>
      </c>
      <c r="C214" s="1" t="s">
        <v>1990</v>
      </c>
    </row>
    <row r="215">
      <c r="A215" s="73" t="s">
        <v>1990</v>
      </c>
      <c r="C215" s="1" t="s">
        <v>1990</v>
      </c>
    </row>
    <row r="216">
      <c r="A216" s="73" t="s">
        <v>1990</v>
      </c>
      <c r="C216" s="1" t="s">
        <v>1990</v>
      </c>
    </row>
    <row r="217">
      <c r="A217" s="73" t="s">
        <v>96</v>
      </c>
      <c r="C217" s="1" t="s">
        <v>96</v>
      </c>
    </row>
    <row r="218">
      <c r="A218" s="73" t="s">
        <v>96</v>
      </c>
      <c r="C218" s="1" t="s">
        <v>96</v>
      </c>
    </row>
    <row r="219">
      <c r="A219" s="73" t="s">
        <v>96</v>
      </c>
      <c r="C219" s="1" t="s">
        <v>96</v>
      </c>
    </row>
    <row r="220">
      <c r="A220" s="73" t="s">
        <v>96</v>
      </c>
      <c r="C220" s="1" t="s">
        <v>96</v>
      </c>
    </row>
    <row r="221">
      <c r="A221" s="73" t="s">
        <v>96</v>
      </c>
      <c r="C221" s="1" t="s">
        <v>96</v>
      </c>
    </row>
    <row r="222">
      <c r="A222" s="73" t="s">
        <v>96</v>
      </c>
      <c r="C222" s="1" t="s">
        <v>96</v>
      </c>
    </row>
    <row r="223">
      <c r="A223" s="73" t="s">
        <v>96</v>
      </c>
      <c r="C223" s="1" t="s">
        <v>96</v>
      </c>
    </row>
    <row r="224">
      <c r="A224" s="73" t="s">
        <v>96</v>
      </c>
      <c r="C224" s="1" t="s">
        <v>96</v>
      </c>
    </row>
    <row r="225">
      <c r="A225" s="73" t="s">
        <v>1266</v>
      </c>
      <c r="C225" s="1" t="s">
        <v>1266</v>
      </c>
    </row>
    <row r="226">
      <c r="A226" s="73" t="s">
        <v>1266</v>
      </c>
      <c r="C226" s="1" t="s">
        <v>1266</v>
      </c>
    </row>
    <row r="227">
      <c r="A227" s="73" t="s">
        <v>1073</v>
      </c>
      <c r="C227" s="1" t="s">
        <v>1073</v>
      </c>
    </row>
    <row r="228">
      <c r="A228" s="73" t="s">
        <v>156</v>
      </c>
      <c r="C228" s="1" t="s">
        <v>156</v>
      </c>
    </row>
    <row r="229">
      <c r="A229" s="73" t="s">
        <v>72</v>
      </c>
      <c r="C229" s="1" t="s">
        <v>72</v>
      </c>
    </row>
    <row r="230">
      <c r="A230" s="73" t="s">
        <v>310</v>
      </c>
      <c r="C230" s="1" t="s">
        <v>310</v>
      </c>
    </row>
    <row r="231">
      <c r="A231" s="73" t="s">
        <v>72</v>
      </c>
      <c r="C231" s="1" t="s">
        <v>72</v>
      </c>
    </row>
    <row r="232">
      <c r="A232" s="73" t="s">
        <v>1524</v>
      </c>
      <c r="C232" s="1" t="s">
        <v>1524</v>
      </c>
    </row>
    <row r="233">
      <c r="A233" s="73" t="s">
        <v>823</v>
      </c>
      <c r="C233" s="1" t="s">
        <v>823</v>
      </c>
    </row>
    <row r="234">
      <c r="A234" s="73" t="s">
        <v>823</v>
      </c>
      <c r="C234" s="1" t="s">
        <v>823</v>
      </c>
    </row>
    <row r="235">
      <c r="A235" s="73" t="s">
        <v>823</v>
      </c>
      <c r="C235" s="1" t="s">
        <v>823</v>
      </c>
    </row>
    <row r="236">
      <c r="A236" s="73" t="s">
        <v>2282</v>
      </c>
      <c r="C236" s="1" t="s">
        <v>2283</v>
      </c>
    </row>
    <row r="237">
      <c r="A237" s="73" t="s">
        <v>137</v>
      </c>
      <c r="C237" s="1" t="s">
        <v>137</v>
      </c>
    </row>
    <row r="238">
      <c r="A238" s="73" t="s">
        <v>116</v>
      </c>
      <c r="C238" s="1" t="s">
        <v>116</v>
      </c>
    </row>
    <row r="239">
      <c r="A239" s="73" t="s">
        <v>2282</v>
      </c>
      <c r="C239" s="1" t="s">
        <v>2283</v>
      </c>
    </row>
    <row r="240">
      <c r="A240" s="73" t="s">
        <v>190</v>
      </c>
      <c r="C240" s="1" t="s">
        <v>190</v>
      </c>
    </row>
    <row r="241">
      <c r="A241" s="73" t="s">
        <v>823</v>
      </c>
      <c r="C241" s="1" t="s">
        <v>823</v>
      </c>
    </row>
    <row r="242">
      <c r="A242" s="73" t="s">
        <v>823</v>
      </c>
      <c r="C242" s="1" t="s">
        <v>823</v>
      </c>
    </row>
    <row r="243">
      <c r="A243" s="73" t="s">
        <v>823</v>
      </c>
      <c r="C243" s="1" t="s">
        <v>823</v>
      </c>
    </row>
    <row r="244">
      <c r="A244" s="73" t="s">
        <v>823</v>
      </c>
      <c r="C244" s="1" t="s">
        <v>823</v>
      </c>
    </row>
    <row r="245">
      <c r="A245" s="73" t="s">
        <v>823</v>
      </c>
      <c r="C245" s="1" t="s">
        <v>823</v>
      </c>
    </row>
    <row r="246">
      <c r="A246" s="73" t="s">
        <v>823</v>
      </c>
      <c r="C246" s="1" t="s">
        <v>823</v>
      </c>
    </row>
    <row r="247">
      <c r="A247" s="73" t="s">
        <v>116</v>
      </c>
      <c r="C247" s="1" t="s">
        <v>116</v>
      </c>
    </row>
    <row r="248">
      <c r="A248" s="73" t="s">
        <v>190</v>
      </c>
      <c r="C248" s="1" t="s">
        <v>190</v>
      </c>
    </row>
    <row r="249">
      <c r="A249" s="73" t="s">
        <v>190</v>
      </c>
      <c r="C249" s="1" t="s">
        <v>190</v>
      </c>
    </row>
    <row r="250">
      <c r="A250" s="73" t="s">
        <v>276</v>
      </c>
      <c r="C250" s="1" t="s">
        <v>276</v>
      </c>
    </row>
    <row r="251">
      <c r="A251" s="73" t="s">
        <v>276</v>
      </c>
      <c r="C251" s="1" t="s">
        <v>276</v>
      </c>
    </row>
    <row r="252">
      <c r="A252" s="73" t="s">
        <v>276</v>
      </c>
      <c r="C252" s="1" t="s">
        <v>276</v>
      </c>
    </row>
    <row r="253">
      <c r="A253" s="73" t="s">
        <v>276</v>
      </c>
      <c r="C253" s="1" t="s">
        <v>276</v>
      </c>
    </row>
    <row r="254">
      <c r="A254" s="73" t="s">
        <v>205</v>
      </c>
      <c r="C254" s="1" t="s">
        <v>205</v>
      </c>
    </row>
    <row r="255">
      <c r="A255" s="73" t="s">
        <v>276</v>
      </c>
      <c r="C255" s="1" t="s">
        <v>276</v>
      </c>
    </row>
    <row r="256">
      <c r="A256" s="73" t="s">
        <v>276</v>
      </c>
      <c r="C256" s="1" t="s">
        <v>276</v>
      </c>
    </row>
    <row r="257">
      <c r="A257" s="73" t="s">
        <v>205</v>
      </c>
      <c r="C257" s="1" t="s">
        <v>205</v>
      </c>
    </row>
    <row r="258">
      <c r="A258" s="73" t="s">
        <v>205</v>
      </c>
      <c r="C258" s="1" t="s">
        <v>205</v>
      </c>
    </row>
    <row r="259">
      <c r="A259" s="73" t="s">
        <v>205</v>
      </c>
      <c r="C259" s="1" t="s">
        <v>205</v>
      </c>
    </row>
    <row r="260">
      <c r="A260" s="73" t="s">
        <v>205</v>
      </c>
      <c r="C260" s="1" t="s">
        <v>205</v>
      </c>
    </row>
    <row r="261">
      <c r="A261" s="73" t="s">
        <v>205</v>
      </c>
      <c r="C261" s="1" t="s">
        <v>205</v>
      </c>
    </row>
    <row r="262">
      <c r="A262" s="73" t="s">
        <v>276</v>
      </c>
      <c r="C262" s="1" t="s">
        <v>276</v>
      </c>
    </row>
    <row r="263">
      <c r="A263" s="73" t="s">
        <v>276</v>
      </c>
      <c r="C263" s="1" t="s">
        <v>276</v>
      </c>
    </row>
    <row r="264">
      <c r="A264" s="73" t="s">
        <v>276</v>
      </c>
      <c r="C264" s="1" t="s">
        <v>276</v>
      </c>
    </row>
    <row r="265">
      <c r="A265" s="73" t="s">
        <v>276</v>
      </c>
      <c r="C265" s="1" t="s">
        <v>276</v>
      </c>
    </row>
    <row r="266">
      <c r="A266" s="73" t="s">
        <v>276</v>
      </c>
      <c r="C266" s="1" t="s">
        <v>276</v>
      </c>
    </row>
    <row r="267">
      <c r="A267" s="73" t="s">
        <v>276</v>
      </c>
      <c r="C267" s="1" t="s">
        <v>276</v>
      </c>
    </row>
    <row r="268">
      <c r="A268" s="73" t="s">
        <v>116</v>
      </c>
      <c r="C268" s="1" t="s">
        <v>116</v>
      </c>
    </row>
    <row r="269">
      <c r="A269" s="73" t="s">
        <v>72</v>
      </c>
      <c r="C269" s="1" t="s">
        <v>72</v>
      </c>
    </row>
    <row r="270">
      <c r="A270" s="73" t="s">
        <v>2282</v>
      </c>
      <c r="C270" s="1" t="s">
        <v>2283</v>
      </c>
    </row>
    <row r="271">
      <c r="A271" s="73" t="s">
        <v>156</v>
      </c>
      <c r="C271" s="1" t="s">
        <v>156</v>
      </c>
    </row>
    <row r="272">
      <c r="A272" s="73" t="s">
        <v>823</v>
      </c>
      <c r="C272" s="1" t="s">
        <v>823</v>
      </c>
    </row>
    <row r="273">
      <c r="A273" s="73" t="s">
        <v>823</v>
      </c>
      <c r="C273" s="1" t="s">
        <v>823</v>
      </c>
    </row>
    <row r="274">
      <c r="A274" s="73" t="s">
        <v>173</v>
      </c>
      <c r="C274" s="1" t="s">
        <v>173</v>
      </c>
    </row>
    <row r="275">
      <c r="A275" s="73" t="s">
        <v>156</v>
      </c>
      <c r="C275" s="1" t="s">
        <v>156</v>
      </c>
    </row>
    <row r="276">
      <c r="A276" s="73" t="s">
        <v>1909</v>
      </c>
      <c r="C276" s="1" t="s">
        <v>1909</v>
      </c>
    </row>
    <row r="277">
      <c r="A277" s="73" t="s">
        <v>1909</v>
      </c>
      <c r="C277" s="1" t="s">
        <v>1909</v>
      </c>
    </row>
    <row r="278">
      <c r="A278" s="73" t="s">
        <v>156</v>
      </c>
      <c r="C278" s="1" t="s">
        <v>156</v>
      </c>
    </row>
    <row r="279">
      <c r="A279" s="73" t="s">
        <v>1909</v>
      </c>
      <c r="C279" s="1" t="s">
        <v>1909</v>
      </c>
    </row>
    <row r="280">
      <c r="A280" s="73" t="s">
        <v>1909</v>
      </c>
      <c r="C280" s="1" t="s">
        <v>1909</v>
      </c>
    </row>
    <row r="281">
      <c r="A281" s="73" t="s">
        <v>173</v>
      </c>
      <c r="C281" s="1" t="s">
        <v>173</v>
      </c>
    </row>
    <row r="282">
      <c r="A282" s="73" t="s">
        <v>2282</v>
      </c>
      <c r="C282" s="1" t="s">
        <v>2283</v>
      </c>
    </row>
    <row r="283">
      <c r="A283" s="73" t="s">
        <v>173</v>
      </c>
      <c r="C283" s="1" t="s">
        <v>173</v>
      </c>
    </row>
    <row r="284">
      <c r="A284" s="73" t="s">
        <v>173</v>
      </c>
      <c r="C284" s="1" t="s">
        <v>173</v>
      </c>
    </row>
    <row r="285">
      <c r="A285" s="73" t="s">
        <v>276</v>
      </c>
      <c r="C285" s="1" t="s">
        <v>276</v>
      </c>
    </row>
    <row r="286">
      <c r="A286" s="73" t="s">
        <v>173</v>
      </c>
      <c r="C286" s="1" t="s">
        <v>173</v>
      </c>
    </row>
    <row r="287">
      <c r="A287" s="73" t="s">
        <v>156</v>
      </c>
      <c r="C287" s="1" t="s">
        <v>156</v>
      </c>
    </row>
    <row r="288">
      <c r="A288" s="73" t="s">
        <v>156</v>
      </c>
      <c r="C288" s="1" t="s">
        <v>156</v>
      </c>
    </row>
    <row r="289">
      <c r="A289" s="73" t="s">
        <v>2282</v>
      </c>
      <c r="C289" s="1" t="s">
        <v>2283</v>
      </c>
    </row>
    <row r="290">
      <c r="A290" s="73" t="s">
        <v>2295</v>
      </c>
      <c r="C290" s="1" t="s">
        <v>2296</v>
      </c>
    </row>
    <row r="291">
      <c r="A291" s="73" t="s">
        <v>72</v>
      </c>
      <c r="C291" s="1" t="s">
        <v>72</v>
      </c>
    </row>
    <row r="292">
      <c r="A292" s="73" t="s">
        <v>156</v>
      </c>
      <c r="C292" s="1" t="s">
        <v>156</v>
      </c>
    </row>
    <row r="293">
      <c r="A293" s="73" t="s">
        <v>2284</v>
      </c>
      <c r="C293" s="1" t="s">
        <v>2285</v>
      </c>
    </row>
    <row r="294">
      <c r="A294" s="73" t="s">
        <v>72</v>
      </c>
      <c r="C294" s="1" t="s">
        <v>72</v>
      </c>
    </row>
    <row r="295">
      <c r="A295" s="73" t="s">
        <v>96</v>
      </c>
      <c r="C295" s="1" t="s">
        <v>96</v>
      </c>
    </row>
    <row r="296">
      <c r="A296" s="73" t="s">
        <v>96</v>
      </c>
      <c r="C296" s="1" t="s">
        <v>96</v>
      </c>
    </row>
    <row r="297">
      <c r="A297" s="73" t="s">
        <v>96</v>
      </c>
      <c r="C297" s="1" t="s">
        <v>96</v>
      </c>
    </row>
    <row r="298">
      <c r="A298" s="73" t="s">
        <v>96</v>
      </c>
      <c r="C298" s="1" t="s">
        <v>96</v>
      </c>
    </row>
    <row r="299">
      <c r="A299" s="73" t="s">
        <v>116</v>
      </c>
      <c r="C299" s="1" t="s">
        <v>116</v>
      </c>
    </row>
    <row r="300">
      <c r="A300" s="73" t="s">
        <v>116</v>
      </c>
      <c r="C300" s="1" t="s">
        <v>116</v>
      </c>
    </row>
    <row r="301">
      <c r="A301" s="73" t="s">
        <v>1909</v>
      </c>
      <c r="C301" s="1" t="s">
        <v>1909</v>
      </c>
    </row>
    <row r="302">
      <c r="A302" s="73" t="s">
        <v>1909</v>
      </c>
      <c r="C302" s="1" t="s">
        <v>1909</v>
      </c>
    </row>
    <row r="303">
      <c r="A303" s="73" t="s">
        <v>615</v>
      </c>
      <c r="C303" s="1" t="s">
        <v>615</v>
      </c>
    </row>
    <row r="304">
      <c r="A304" s="73" t="s">
        <v>1533</v>
      </c>
      <c r="C304" s="1" t="s">
        <v>1533</v>
      </c>
    </row>
    <row r="305">
      <c r="A305" s="73" t="s">
        <v>2282</v>
      </c>
      <c r="C305" s="1" t="s">
        <v>2283</v>
      </c>
    </row>
    <row r="306">
      <c r="A306" s="73" t="s">
        <v>156</v>
      </c>
      <c r="C306" s="1" t="s">
        <v>156</v>
      </c>
    </row>
    <row r="307">
      <c r="A307" s="73" t="s">
        <v>173</v>
      </c>
      <c r="C307" s="1" t="s">
        <v>173</v>
      </c>
    </row>
    <row r="308">
      <c r="A308" s="73" t="s">
        <v>173</v>
      </c>
      <c r="C308" s="1" t="s">
        <v>173</v>
      </c>
    </row>
    <row r="309">
      <c r="A309" s="73" t="s">
        <v>540</v>
      </c>
      <c r="C309" s="1" t="s">
        <v>540</v>
      </c>
    </row>
    <row r="310">
      <c r="A310" s="73" t="s">
        <v>173</v>
      </c>
      <c r="C310" s="1" t="s">
        <v>173</v>
      </c>
    </row>
    <row r="311">
      <c r="A311" s="73" t="s">
        <v>823</v>
      </c>
      <c r="C311" s="1" t="s">
        <v>823</v>
      </c>
    </row>
    <row r="312">
      <c r="A312" s="73" t="s">
        <v>156</v>
      </c>
      <c r="C312" s="1" t="s">
        <v>156</v>
      </c>
    </row>
    <row r="313">
      <c r="A313" s="73" t="s">
        <v>156</v>
      </c>
      <c r="C313" s="1" t="s">
        <v>156</v>
      </c>
    </row>
    <row r="314">
      <c r="A314" s="73" t="s">
        <v>2282</v>
      </c>
      <c r="C314" s="1" t="s">
        <v>2283</v>
      </c>
    </row>
    <row r="315">
      <c r="A315" s="73" t="s">
        <v>823</v>
      </c>
      <c r="C315" s="1" t="s">
        <v>823</v>
      </c>
    </row>
    <row r="316">
      <c r="A316" s="73" t="s">
        <v>173</v>
      </c>
      <c r="C316" s="1" t="s">
        <v>173</v>
      </c>
    </row>
    <row r="317">
      <c r="A317" s="73" t="s">
        <v>173</v>
      </c>
      <c r="C317" s="1" t="s">
        <v>173</v>
      </c>
    </row>
    <row r="318">
      <c r="A318" s="73" t="s">
        <v>173</v>
      </c>
      <c r="C318" s="1" t="s">
        <v>173</v>
      </c>
    </row>
    <row r="319">
      <c r="A319" s="73" t="s">
        <v>173</v>
      </c>
      <c r="C319" s="1" t="s">
        <v>173</v>
      </c>
    </row>
    <row r="320">
      <c r="A320" s="73" t="s">
        <v>823</v>
      </c>
      <c r="C320" s="1" t="s">
        <v>823</v>
      </c>
    </row>
    <row r="321">
      <c r="A321" s="73" t="s">
        <v>173</v>
      </c>
      <c r="C321" s="1" t="s">
        <v>173</v>
      </c>
    </row>
    <row r="322">
      <c r="A322" s="73" t="s">
        <v>173</v>
      </c>
      <c r="C322" s="1" t="s">
        <v>173</v>
      </c>
    </row>
    <row r="323">
      <c r="A323" s="73" t="s">
        <v>173</v>
      </c>
      <c r="C323" s="1" t="s">
        <v>173</v>
      </c>
    </row>
    <row r="324">
      <c r="A324" s="73" t="s">
        <v>823</v>
      </c>
      <c r="C324" s="1" t="s">
        <v>823</v>
      </c>
    </row>
    <row r="325">
      <c r="A325" s="73" t="s">
        <v>173</v>
      </c>
      <c r="C325" s="1" t="s">
        <v>173</v>
      </c>
    </row>
    <row r="326">
      <c r="A326" s="73" t="s">
        <v>2282</v>
      </c>
      <c r="C326" s="1" t="s">
        <v>2283</v>
      </c>
    </row>
    <row r="327">
      <c r="A327" s="73" t="s">
        <v>823</v>
      </c>
      <c r="C327" s="1" t="s">
        <v>823</v>
      </c>
    </row>
    <row r="328">
      <c r="A328" s="73" t="s">
        <v>156</v>
      </c>
      <c r="C328" s="1" t="s">
        <v>156</v>
      </c>
    </row>
    <row r="329">
      <c r="A329" s="73" t="s">
        <v>156</v>
      </c>
      <c r="C329" s="1" t="s">
        <v>156</v>
      </c>
    </row>
    <row r="330">
      <c r="A330" s="73" t="s">
        <v>1043</v>
      </c>
      <c r="C330" s="1" t="s">
        <v>1043</v>
      </c>
    </row>
    <row r="331">
      <c r="A331" s="73" t="s">
        <v>1043</v>
      </c>
      <c r="C331" s="1" t="s">
        <v>1043</v>
      </c>
    </row>
    <row r="332">
      <c r="A332" s="73" t="s">
        <v>96</v>
      </c>
      <c r="C332" s="1" t="s">
        <v>96</v>
      </c>
    </row>
    <row r="333">
      <c r="A333" s="73" t="s">
        <v>96</v>
      </c>
      <c r="C333" s="1" t="s">
        <v>96</v>
      </c>
    </row>
    <row r="334">
      <c r="A334" s="73" t="s">
        <v>96</v>
      </c>
      <c r="C334" s="1" t="s">
        <v>96</v>
      </c>
    </row>
    <row r="335">
      <c r="A335" s="73" t="s">
        <v>96</v>
      </c>
      <c r="C335" s="1" t="s">
        <v>96</v>
      </c>
    </row>
    <row r="336">
      <c r="A336" s="73" t="s">
        <v>96</v>
      </c>
      <c r="C336" s="1" t="s">
        <v>96</v>
      </c>
    </row>
    <row r="337">
      <c r="A337" s="73" t="s">
        <v>823</v>
      </c>
      <c r="C337" s="1" t="s">
        <v>823</v>
      </c>
    </row>
    <row r="338">
      <c r="A338" s="73" t="s">
        <v>96</v>
      </c>
      <c r="C338" s="1" t="s">
        <v>96</v>
      </c>
    </row>
    <row r="339">
      <c r="A339" s="73" t="s">
        <v>156</v>
      </c>
      <c r="C339" s="1" t="s">
        <v>156</v>
      </c>
    </row>
    <row r="340">
      <c r="A340" s="73" t="s">
        <v>823</v>
      </c>
      <c r="C340" s="1" t="s">
        <v>823</v>
      </c>
    </row>
    <row r="341">
      <c r="A341" s="73" t="s">
        <v>2282</v>
      </c>
      <c r="C341" s="1" t="s">
        <v>2283</v>
      </c>
    </row>
    <row r="342">
      <c r="A342" s="73" t="s">
        <v>573</v>
      </c>
      <c r="C342" s="1" t="s">
        <v>573</v>
      </c>
    </row>
    <row r="343">
      <c r="A343" s="73" t="s">
        <v>573</v>
      </c>
      <c r="C343" s="1" t="s">
        <v>573</v>
      </c>
    </row>
    <row r="344">
      <c r="A344" s="73" t="s">
        <v>573</v>
      </c>
      <c r="C344" s="1" t="s">
        <v>573</v>
      </c>
    </row>
    <row r="345">
      <c r="A345" s="73" t="s">
        <v>173</v>
      </c>
      <c r="C345" s="1" t="s">
        <v>173</v>
      </c>
    </row>
    <row r="346">
      <c r="A346" s="73" t="s">
        <v>173</v>
      </c>
      <c r="C346" s="1" t="s">
        <v>173</v>
      </c>
    </row>
    <row r="347">
      <c r="A347" s="73" t="s">
        <v>173</v>
      </c>
      <c r="C347" s="1" t="s">
        <v>173</v>
      </c>
    </row>
    <row r="348">
      <c r="A348" s="73" t="s">
        <v>173</v>
      </c>
      <c r="C348" s="1" t="s">
        <v>173</v>
      </c>
    </row>
    <row r="349">
      <c r="A349" s="73" t="s">
        <v>823</v>
      </c>
      <c r="C349" s="1" t="s">
        <v>823</v>
      </c>
    </row>
    <row r="350">
      <c r="A350" s="73" t="s">
        <v>173</v>
      </c>
      <c r="C350" s="1" t="s">
        <v>173</v>
      </c>
    </row>
    <row r="351">
      <c r="A351" s="73" t="s">
        <v>823</v>
      </c>
      <c r="C351" s="1" t="s">
        <v>823</v>
      </c>
    </row>
    <row r="352">
      <c r="A352" s="73" t="s">
        <v>823</v>
      </c>
      <c r="C352" s="1" t="s">
        <v>823</v>
      </c>
    </row>
    <row r="353">
      <c r="A353" s="73" t="s">
        <v>823</v>
      </c>
      <c r="C353" s="1" t="s">
        <v>823</v>
      </c>
    </row>
    <row r="354">
      <c r="A354" s="73" t="s">
        <v>823</v>
      </c>
      <c r="C354" s="1" t="s">
        <v>823</v>
      </c>
    </row>
    <row r="355">
      <c r="A355" s="73" t="s">
        <v>72</v>
      </c>
      <c r="C355" s="1" t="s">
        <v>72</v>
      </c>
    </row>
    <row r="356">
      <c r="A356" s="73" t="s">
        <v>72</v>
      </c>
      <c r="C356" s="1" t="s">
        <v>72</v>
      </c>
    </row>
    <row r="357">
      <c r="A357" s="73" t="s">
        <v>72</v>
      </c>
      <c r="C357" s="1" t="s">
        <v>72</v>
      </c>
    </row>
    <row r="358">
      <c r="A358" s="73" t="s">
        <v>72</v>
      </c>
      <c r="C358" s="1" t="s">
        <v>72</v>
      </c>
    </row>
    <row r="359">
      <c r="A359" s="73" t="s">
        <v>173</v>
      </c>
      <c r="C359" s="1" t="s">
        <v>173</v>
      </c>
    </row>
    <row r="360">
      <c r="A360" s="73" t="s">
        <v>72</v>
      </c>
      <c r="C360" s="1" t="s">
        <v>72</v>
      </c>
    </row>
    <row r="361">
      <c r="A361" s="73" t="s">
        <v>156</v>
      </c>
      <c r="C361" s="1" t="s">
        <v>156</v>
      </c>
    </row>
    <row r="362">
      <c r="A362" s="73" t="s">
        <v>156</v>
      </c>
      <c r="C362" s="1" t="s">
        <v>156</v>
      </c>
    </row>
    <row r="363">
      <c r="A363" s="73" t="s">
        <v>2282</v>
      </c>
      <c r="C363" s="1" t="s">
        <v>2283</v>
      </c>
    </row>
    <row r="364">
      <c r="A364" s="73" t="s">
        <v>173</v>
      </c>
      <c r="C364" s="1" t="s">
        <v>173</v>
      </c>
    </row>
    <row r="365">
      <c r="A365" s="73" t="s">
        <v>173</v>
      </c>
      <c r="C365" s="1" t="s">
        <v>173</v>
      </c>
    </row>
    <row r="366">
      <c r="A366" s="73" t="s">
        <v>173</v>
      </c>
      <c r="C366" s="1" t="s">
        <v>173</v>
      </c>
    </row>
    <row r="367">
      <c r="A367" s="73" t="s">
        <v>173</v>
      </c>
      <c r="C367" s="1" t="s">
        <v>173</v>
      </c>
    </row>
    <row r="368">
      <c r="A368" s="73" t="s">
        <v>823</v>
      </c>
      <c r="C368" s="1" t="s">
        <v>823</v>
      </c>
    </row>
    <row r="369">
      <c r="A369" s="73" t="s">
        <v>173</v>
      </c>
      <c r="C369" s="1" t="s">
        <v>173</v>
      </c>
    </row>
    <row r="370">
      <c r="A370" s="73" t="s">
        <v>173</v>
      </c>
      <c r="C370" s="1" t="s">
        <v>173</v>
      </c>
    </row>
    <row r="371">
      <c r="A371" s="73" t="s">
        <v>1033</v>
      </c>
      <c r="C371" s="1" t="s">
        <v>1033</v>
      </c>
    </row>
    <row r="372">
      <c r="A372" s="73" t="s">
        <v>72</v>
      </c>
      <c r="C372" s="1" t="s">
        <v>72</v>
      </c>
    </row>
    <row r="373">
      <c r="A373" s="73" t="s">
        <v>823</v>
      </c>
      <c r="C373" s="1" t="s">
        <v>823</v>
      </c>
    </row>
    <row r="374">
      <c r="A374" s="73" t="s">
        <v>1597</v>
      </c>
      <c r="C374" s="1" t="s">
        <v>1597</v>
      </c>
    </row>
    <row r="375">
      <c r="A375" s="73" t="s">
        <v>1597</v>
      </c>
      <c r="C375" s="1" t="s">
        <v>1597</v>
      </c>
    </row>
    <row r="376">
      <c r="A376" s="73" t="s">
        <v>1597</v>
      </c>
      <c r="C376" s="1" t="s">
        <v>1597</v>
      </c>
    </row>
    <row r="377">
      <c r="A377" s="73" t="s">
        <v>656</v>
      </c>
      <c r="C377" s="1" t="s">
        <v>656</v>
      </c>
    </row>
    <row r="378">
      <c r="A378" s="73" t="s">
        <v>1597</v>
      </c>
      <c r="C378" s="1" t="s">
        <v>1597</v>
      </c>
    </row>
    <row r="379">
      <c r="A379" s="73" t="s">
        <v>656</v>
      </c>
      <c r="C379" s="1" t="s">
        <v>656</v>
      </c>
    </row>
    <row r="380">
      <c r="A380" s="73" t="s">
        <v>656</v>
      </c>
      <c r="C380" s="1" t="s">
        <v>656</v>
      </c>
    </row>
    <row r="381">
      <c r="A381" s="73" t="s">
        <v>656</v>
      </c>
      <c r="C381" s="1" t="s">
        <v>656</v>
      </c>
    </row>
    <row r="382">
      <c r="A382" s="73" t="s">
        <v>656</v>
      </c>
      <c r="C382" s="1" t="s">
        <v>656</v>
      </c>
    </row>
    <row r="383">
      <c r="A383" s="73" t="s">
        <v>656</v>
      </c>
      <c r="C383" s="1" t="s">
        <v>656</v>
      </c>
    </row>
    <row r="384">
      <c r="A384" s="73" t="s">
        <v>656</v>
      </c>
      <c r="C384" s="1" t="s">
        <v>656</v>
      </c>
    </row>
    <row r="385">
      <c r="A385" s="73" t="s">
        <v>656</v>
      </c>
      <c r="C385" s="1" t="s">
        <v>656</v>
      </c>
    </row>
    <row r="386">
      <c r="A386" s="73" t="s">
        <v>823</v>
      </c>
      <c r="C386" s="1" t="s">
        <v>823</v>
      </c>
    </row>
    <row r="387">
      <c r="A387" s="73" t="s">
        <v>96</v>
      </c>
      <c r="C387" s="1" t="s">
        <v>96</v>
      </c>
    </row>
    <row r="388">
      <c r="A388" s="73" t="s">
        <v>96</v>
      </c>
      <c r="C388" s="1" t="s">
        <v>96</v>
      </c>
    </row>
    <row r="389">
      <c r="A389" s="73" t="s">
        <v>96</v>
      </c>
      <c r="C389" s="1" t="s">
        <v>96</v>
      </c>
    </row>
    <row r="390">
      <c r="A390" s="73" t="s">
        <v>96</v>
      </c>
      <c r="C390" s="1" t="s">
        <v>96</v>
      </c>
    </row>
    <row r="391">
      <c r="A391" s="73" t="s">
        <v>96</v>
      </c>
      <c r="C391" s="1" t="s">
        <v>96</v>
      </c>
    </row>
    <row r="392">
      <c r="A392" s="73" t="s">
        <v>2031</v>
      </c>
      <c r="C392" s="1" t="s">
        <v>2031</v>
      </c>
    </row>
    <row r="393">
      <c r="A393" s="73" t="s">
        <v>173</v>
      </c>
      <c r="C393" s="1" t="s">
        <v>173</v>
      </c>
    </row>
    <row r="394">
      <c r="A394" s="73" t="s">
        <v>96</v>
      </c>
      <c r="C394" s="1" t="s">
        <v>96</v>
      </c>
    </row>
    <row r="395">
      <c r="A395" s="73" t="s">
        <v>467</v>
      </c>
      <c r="C395" s="1" t="s">
        <v>467</v>
      </c>
    </row>
    <row r="396">
      <c r="A396" s="73" t="s">
        <v>2038</v>
      </c>
      <c r="C396" s="1" t="s">
        <v>2038</v>
      </c>
    </row>
    <row r="397">
      <c r="A397" s="73" t="s">
        <v>173</v>
      </c>
      <c r="C397" s="1" t="s">
        <v>173</v>
      </c>
    </row>
    <row r="398">
      <c r="A398" s="73" t="s">
        <v>173</v>
      </c>
      <c r="C398" s="1" t="s">
        <v>173</v>
      </c>
    </row>
    <row r="399">
      <c r="A399" s="73" t="s">
        <v>173</v>
      </c>
      <c r="C399" s="1" t="s">
        <v>173</v>
      </c>
    </row>
    <row r="400">
      <c r="A400" s="73" t="s">
        <v>173</v>
      </c>
      <c r="C400" s="1" t="s">
        <v>173</v>
      </c>
    </row>
    <row r="401">
      <c r="A401" s="73" t="s">
        <v>173</v>
      </c>
      <c r="C401" s="1" t="s">
        <v>173</v>
      </c>
    </row>
    <row r="402">
      <c r="A402" s="73" t="s">
        <v>96</v>
      </c>
      <c r="C402" s="1" t="s">
        <v>96</v>
      </c>
    </row>
    <row r="403">
      <c r="A403" s="73" t="s">
        <v>96</v>
      </c>
      <c r="C403" s="1" t="s">
        <v>96</v>
      </c>
    </row>
    <row r="404">
      <c r="A404" s="73" t="s">
        <v>96</v>
      </c>
      <c r="C404" s="1" t="s">
        <v>96</v>
      </c>
    </row>
    <row r="405">
      <c r="A405" s="73" t="s">
        <v>96</v>
      </c>
      <c r="C405" s="1" t="s">
        <v>96</v>
      </c>
    </row>
    <row r="406">
      <c r="A406" s="73" t="s">
        <v>917</v>
      </c>
      <c r="C406" s="1" t="s">
        <v>917</v>
      </c>
    </row>
    <row r="407">
      <c r="A407" s="73" t="s">
        <v>917</v>
      </c>
      <c r="C407" s="1" t="s">
        <v>917</v>
      </c>
    </row>
    <row r="408">
      <c r="A408" s="73" t="s">
        <v>917</v>
      </c>
      <c r="C408" s="1" t="s">
        <v>917</v>
      </c>
    </row>
    <row r="409">
      <c r="A409" s="73" t="s">
        <v>913</v>
      </c>
      <c r="C409" s="1" t="s">
        <v>913</v>
      </c>
    </row>
    <row r="410">
      <c r="A410" s="73" t="s">
        <v>1683</v>
      </c>
      <c r="C410" s="1" t="s">
        <v>1683</v>
      </c>
    </row>
    <row r="411">
      <c r="A411" s="73" t="s">
        <v>2066</v>
      </c>
      <c r="C411" s="1" t="s">
        <v>2066</v>
      </c>
    </row>
    <row r="412">
      <c r="A412" s="73" t="s">
        <v>2066</v>
      </c>
      <c r="C412" s="1" t="s">
        <v>2066</v>
      </c>
    </row>
    <row r="413">
      <c r="A413" s="73" t="s">
        <v>2112</v>
      </c>
      <c r="C413" s="1" t="s">
        <v>2112</v>
      </c>
    </row>
    <row r="414">
      <c r="A414" s="73" t="s">
        <v>170</v>
      </c>
      <c r="C414" s="1" t="s">
        <v>170</v>
      </c>
    </row>
    <row r="415">
      <c r="A415" s="73" t="s">
        <v>173</v>
      </c>
      <c r="C415" s="1" t="s">
        <v>173</v>
      </c>
    </row>
    <row r="416">
      <c r="A416" s="73" t="s">
        <v>173</v>
      </c>
      <c r="C416" s="1" t="s">
        <v>173</v>
      </c>
    </row>
    <row r="417">
      <c r="A417" s="73" t="s">
        <v>173</v>
      </c>
      <c r="C417" s="1" t="s">
        <v>173</v>
      </c>
    </row>
    <row r="418">
      <c r="A418" s="73" t="s">
        <v>173</v>
      </c>
      <c r="C418" s="1" t="s">
        <v>173</v>
      </c>
    </row>
    <row r="419">
      <c r="A419" s="73" t="s">
        <v>2297</v>
      </c>
      <c r="C419" s="1" t="s">
        <v>2298</v>
      </c>
    </row>
    <row r="420">
      <c r="A420" s="73" t="s">
        <v>96</v>
      </c>
      <c r="C420" s="1" t="s">
        <v>96</v>
      </c>
    </row>
    <row r="421">
      <c r="A421" s="73" t="s">
        <v>823</v>
      </c>
      <c r="C421" s="1" t="s">
        <v>823</v>
      </c>
    </row>
    <row r="422">
      <c r="A422" s="73" t="s">
        <v>96</v>
      </c>
      <c r="C422" s="1" t="s">
        <v>96</v>
      </c>
    </row>
    <row r="423">
      <c r="A423" s="73" t="s">
        <v>72</v>
      </c>
      <c r="C423" s="1" t="s">
        <v>72</v>
      </c>
    </row>
    <row r="424">
      <c r="A424" s="73" t="s">
        <v>96</v>
      </c>
      <c r="C424" s="1" t="s">
        <v>96</v>
      </c>
    </row>
    <row r="425">
      <c r="A425" s="73" t="s">
        <v>96</v>
      </c>
      <c r="C425" s="1" t="s">
        <v>96</v>
      </c>
    </row>
    <row r="426">
      <c r="A426" s="73" t="s">
        <v>72</v>
      </c>
      <c r="C426" s="1" t="s">
        <v>72</v>
      </c>
    </row>
    <row r="427">
      <c r="A427" s="73" t="s">
        <v>72</v>
      </c>
      <c r="C427" s="1" t="s">
        <v>72</v>
      </c>
    </row>
    <row r="428">
      <c r="A428" s="73" t="s">
        <v>96</v>
      </c>
      <c r="C428" s="1" t="s">
        <v>96</v>
      </c>
    </row>
    <row r="429">
      <c r="A429" s="73" t="s">
        <v>72</v>
      </c>
      <c r="C429" s="1" t="s">
        <v>72</v>
      </c>
    </row>
    <row r="430">
      <c r="A430" s="73" t="s">
        <v>1455</v>
      </c>
      <c r="C430" s="1" t="s">
        <v>1455</v>
      </c>
    </row>
    <row r="431">
      <c r="A431" s="73" t="s">
        <v>72</v>
      </c>
      <c r="C431" s="1" t="s">
        <v>72</v>
      </c>
    </row>
    <row r="432">
      <c r="A432" s="73" t="s">
        <v>116</v>
      </c>
      <c r="C432" s="1" t="s">
        <v>116</v>
      </c>
    </row>
    <row r="433">
      <c r="A433" s="73" t="s">
        <v>72</v>
      </c>
      <c r="C433" s="1" t="s">
        <v>72</v>
      </c>
    </row>
    <row r="434">
      <c r="A434" s="73" t="s">
        <v>156</v>
      </c>
      <c r="C434" s="1" t="s">
        <v>156</v>
      </c>
    </row>
    <row r="435">
      <c r="A435" s="73" t="s">
        <v>156</v>
      </c>
      <c r="C435" s="1" t="s">
        <v>156</v>
      </c>
    </row>
    <row r="436">
      <c r="A436" s="73" t="s">
        <v>156</v>
      </c>
      <c r="C436" s="1" t="s">
        <v>156</v>
      </c>
    </row>
    <row r="437">
      <c r="A437" s="73" t="s">
        <v>156</v>
      </c>
      <c r="C437" s="1" t="s">
        <v>156</v>
      </c>
    </row>
    <row r="438">
      <c r="A438" s="73" t="s">
        <v>2290</v>
      </c>
      <c r="C438" s="1" t="s">
        <v>2291</v>
      </c>
    </row>
    <row r="439">
      <c r="A439" s="73" t="s">
        <v>156</v>
      </c>
      <c r="C439" s="1" t="s">
        <v>156</v>
      </c>
    </row>
    <row r="440">
      <c r="A440" s="73" t="s">
        <v>156</v>
      </c>
      <c r="C440" s="1" t="s">
        <v>156</v>
      </c>
    </row>
    <row r="441">
      <c r="A441" s="73" t="s">
        <v>2290</v>
      </c>
      <c r="C441" s="1" t="s">
        <v>2291</v>
      </c>
    </row>
    <row r="442">
      <c r="A442" s="73" t="s">
        <v>2290</v>
      </c>
      <c r="C442" s="1" t="s">
        <v>2291</v>
      </c>
    </row>
    <row r="443">
      <c r="A443" s="73" t="s">
        <v>2290</v>
      </c>
      <c r="C443" s="1" t="s">
        <v>2291</v>
      </c>
    </row>
    <row r="444">
      <c r="A444" s="73" t="s">
        <v>2290</v>
      </c>
      <c r="C444" s="1" t="s">
        <v>2291</v>
      </c>
    </row>
    <row r="445">
      <c r="A445" s="73" t="s">
        <v>2290</v>
      </c>
      <c r="C445" s="1" t="s">
        <v>2291</v>
      </c>
    </row>
    <row r="446">
      <c r="A446" s="73" t="s">
        <v>1073</v>
      </c>
      <c r="C446" s="1" t="s">
        <v>1073</v>
      </c>
    </row>
    <row r="447">
      <c r="A447" s="73" t="s">
        <v>1073</v>
      </c>
      <c r="C447" s="1" t="s">
        <v>1073</v>
      </c>
    </row>
    <row r="448">
      <c r="A448" s="73" t="s">
        <v>1073</v>
      </c>
      <c r="C448" s="1" t="s">
        <v>1073</v>
      </c>
    </row>
    <row r="449">
      <c r="A449" s="73" t="s">
        <v>1073</v>
      </c>
      <c r="C449" s="1" t="s">
        <v>1073</v>
      </c>
    </row>
    <row r="450">
      <c r="A450" s="73" t="s">
        <v>1073</v>
      </c>
      <c r="C450" s="1" t="s">
        <v>1073</v>
      </c>
    </row>
    <row r="451">
      <c r="A451" s="73" t="s">
        <v>1073</v>
      </c>
      <c r="C451" s="1" t="s">
        <v>1073</v>
      </c>
    </row>
    <row r="452">
      <c r="A452" s="73" t="s">
        <v>156</v>
      </c>
      <c r="C452" s="1" t="s">
        <v>156</v>
      </c>
    </row>
    <row r="453">
      <c r="A453" s="73" t="s">
        <v>2282</v>
      </c>
      <c r="C453" s="1" t="s">
        <v>2283</v>
      </c>
    </row>
    <row r="454">
      <c r="A454" s="73" t="s">
        <v>2282</v>
      </c>
      <c r="C454" s="1" t="s">
        <v>2283</v>
      </c>
    </row>
    <row r="455">
      <c r="A455" s="73" t="s">
        <v>72</v>
      </c>
      <c r="C455" s="1" t="s">
        <v>72</v>
      </c>
    </row>
    <row r="456">
      <c r="A456" s="73" t="s">
        <v>115</v>
      </c>
      <c r="C456" s="1" t="s">
        <v>115</v>
      </c>
    </row>
    <row r="457">
      <c r="A457" s="73" t="s">
        <v>72</v>
      </c>
      <c r="C457" s="1" t="s">
        <v>72</v>
      </c>
    </row>
    <row r="458">
      <c r="A458" s="73" t="s">
        <v>115</v>
      </c>
      <c r="C458" s="1" t="s">
        <v>115</v>
      </c>
    </row>
    <row r="459">
      <c r="A459" s="73" t="s">
        <v>115</v>
      </c>
      <c r="C459" s="1" t="s">
        <v>115</v>
      </c>
    </row>
    <row r="460">
      <c r="A460" s="73" t="s">
        <v>115</v>
      </c>
      <c r="C460" s="1" t="s">
        <v>115</v>
      </c>
    </row>
    <row r="461">
      <c r="A461" s="73" t="s">
        <v>1825</v>
      </c>
      <c r="C461" s="1" t="s">
        <v>1825</v>
      </c>
    </row>
    <row r="462">
      <c r="A462" s="73" t="s">
        <v>1825</v>
      </c>
      <c r="C462" s="1" t="s">
        <v>1825</v>
      </c>
    </row>
    <row r="463">
      <c r="A463" s="73" t="s">
        <v>1825</v>
      </c>
      <c r="C463" s="1" t="s">
        <v>1825</v>
      </c>
    </row>
    <row r="464">
      <c r="A464" s="73" t="s">
        <v>72</v>
      </c>
      <c r="C464" s="1" t="s">
        <v>72</v>
      </c>
    </row>
    <row r="465">
      <c r="A465" s="73" t="s">
        <v>173</v>
      </c>
      <c r="C465" s="1" t="s">
        <v>173</v>
      </c>
    </row>
    <row r="466">
      <c r="A466" s="73" t="s">
        <v>173</v>
      </c>
      <c r="C466" s="1" t="s">
        <v>173</v>
      </c>
    </row>
    <row r="467">
      <c r="A467" s="73" t="s">
        <v>72</v>
      </c>
      <c r="C467" s="1" t="s">
        <v>72</v>
      </c>
    </row>
    <row r="468">
      <c r="A468" s="73" t="s">
        <v>615</v>
      </c>
      <c r="C468" s="1" t="s">
        <v>615</v>
      </c>
    </row>
    <row r="469">
      <c r="A469" s="73" t="s">
        <v>1471</v>
      </c>
      <c r="C469" s="1" t="s">
        <v>1471</v>
      </c>
    </row>
    <row r="470">
      <c r="A470" s="73" t="s">
        <v>615</v>
      </c>
      <c r="C470" s="1" t="s">
        <v>615</v>
      </c>
    </row>
    <row r="471">
      <c r="A471" s="73" t="s">
        <v>1215</v>
      </c>
      <c r="C471" s="1" t="s">
        <v>1215</v>
      </c>
    </row>
    <row r="472">
      <c r="A472" s="73" t="s">
        <v>173</v>
      </c>
      <c r="C472" s="1" t="s">
        <v>173</v>
      </c>
    </row>
    <row r="473">
      <c r="A473" s="73" t="s">
        <v>173</v>
      </c>
      <c r="C473" s="1" t="s">
        <v>173</v>
      </c>
    </row>
    <row r="474">
      <c r="A474" s="73" t="s">
        <v>823</v>
      </c>
      <c r="C474" s="1" t="s">
        <v>823</v>
      </c>
    </row>
    <row r="475">
      <c r="A475" s="73" t="s">
        <v>1073</v>
      </c>
      <c r="C475" s="1" t="s">
        <v>1073</v>
      </c>
    </row>
    <row r="476">
      <c r="A476" s="73" t="s">
        <v>1073</v>
      </c>
      <c r="C476" s="1" t="s">
        <v>1073</v>
      </c>
    </row>
    <row r="477">
      <c r="A477" s="73" t="s">
        <v>1073</v>
      </c>
      <c r="C477" s="1" t="s">
        <v>1073</v>
      </c>
    </row>
    <row r="478">
      <c r="A478" s="73" t="s">
        <v>1073</v>
      </c>
      <c r="C478" s="1" t="s">
        <v>1073</v>
      </c>
    </row>
    <row r="479">
      <c r="A479" s="73" t="s">
        <v>1073</v>
      </c>
      <c r="C479" s="1" t="s">
        <v>1073</v>
      </c>
    </row>
    <row r="480">
      <c r="A480" s="73" t="s">
        <v>156</v>
      </c>
      <c r="C480" s="1" t="s">
        <v>156</v>
      </c>
    </row>
    <row r="481">
      <c r="A481" s="73" t="s">
        <v>156</v>
      </c>
      <c r="C481" s="1" t="s">
        <v>156</v>
      </c>
    </row>
    <row r="482">
      <c r="A482" s="73" t="s">
        <v>823</v>
      </c>
      <c r="C482" s="1" t="s">
        <v>823</v>
      </c>
    </row>
    <row r="483">
      <c r="A483" s="73" t="s">
        <v>823</v>
      </c>
      <c r="C483" s="1" t="s">
        <v>823</v>
      </c>
    </row>
    <row r="484">
      <c r="A484" s="73" t="s">
        <v>156</v>
      </c>
      <c r="C484" s="1" t="s">
        <v>156</v>
      </c>
    </row>
    <row r="485">
      <c r="A485" s="73" t="s">
        <v>823</v>
      </c>
      <c r="C485" s="1" t="s">
        <v>823</v>
      </c>
    </row>
    <row r="486">
      <c r="A486" s="73" t="s">
        <v>2282</v>
      </c>
      <c r="C486" s="1" t="s">
        <v>2283</v>
      </c>
    </row>
    <row r="487">
      <c r="A487" s="73" t="s">
        <v>823</v>
      </c>
      <c r="C487" s="1" t="s">
        <v>823</v>
      </c>
    </row>
    <row r="488">
      <c r="A488" s="73" t="s">
        <v>96</v>
      </c>
      <c r="C488" s="1" t="s">
        <v>96</v>
      </c>
    </row>
    <row r="489">
      <c r="A489" s="73" t="s">
        <v>96</v>
      </c>
      <c r="C489" s="1" t="s">
        <v>96</v>
      </c>
    </row>
    <row r="490">
      <c r="A490" s="73" t="s">
        <v>2282</v>
      </c>
      <c r="C490" s="1" t="s">
        <v>2283</v>
      </c>
    </row>
    <row r="491">
      <c r="A491" s="73" t="s">
        <v>96</v>
      </c>
      <c r="C491" s="1" t="s">
        <v>96</v>
      </c>
    </row>
    <row r="492">
      <c r="A492" s="73" t="s">
        <v>1557</v>
      </c>
      <c r="C492" s="1" t="s">
        <v>1557</v>
      </c>
    </row>
    <row r="493">
      <c r="A493" s="73" t="s">
        <v>173</v>
      </c>
      <c r="C493" s="1" t="s">
        <v>173</v>
      </c>
    </row>
    <row r="494">
      <c r="A494" s="73" t="s">
        <v>173</v>
      </c>
      <c r="C494" s="1" t="s">
        <v>173</v>
      </c>
    </row>
    <row r="495">
      <c r="A495" s="73" t="s">
        <v>116</v>
      </c>
      <c r="C495" s="1" t="s">
        <v>116</v>
      </c>
    </row>
    <row r="496">
      <c r="A496" s="73" t="s">
        <v>116</v>
      </c>
      <c r="C496" s="1" t="s">
        <v>116</v>
      </c>
    </row>
    <row r="497">
      <c r="A497" s="73" t="s">
        <v>96</v>
      </c>
      <c r="C497" s="1" t="s">
        <v>96</v>
      </c>
    </row>
    <row r="498">
      <c r="A498" s="73" t="s">
        <v>96</v>
      </c>
      <c r="C498" s="1" t="s">
        <v>96</v>
      </c>
    </row>
    <row r="499">
      <c r="A499" s="73" t="s">
        <v>116</v>
      </c>
      <c r="C499" s="1" t="s">
        <v>116</v>
      </c>
    </row>
    <row r="500">
      <c r="A500" s="73" t="s">
        <v>116</v>
      </c>
      <c r="C500" s="1" t="s">
        <v>116</v>
      </c>
    </row>
    <row r="501">
      <c r="A501" s="73" t="s">
        <v>116</v>
      </c>
      <c r="C501" s="1" t="s">
        <v>116</v>
      </c>
    </row>
    <row r="502">
      <c r="A502" s="73" t="s">
        <v>116</v>
      </c>
      <c r="C502" s="1" t="s">
        <v>116</v>
      </c>
    </row>
    <row r="503">
      <c r="A503" s="73" t="s">
        <v>96</v>
      </c>
      <c r="C503" s="1" t="s">
        <v>96</v>
      </c>
    </row>
    <row r="504">
      <c r="A504" s="73" t="s">
        <v>96</v>
      </c>
      <c r="C504" s="1" t="s">
        <v>96</v>
      </c>
    </row>
    <row r="505">
      <c r="A505" s="73" t="s">
        <v>96</v>
      </c>
      <c r="C505" s="1" t="s">
        <v>96</v>
      </c>
    </row>
    <row r="506">
      <c r="A506" s="73" t="s">
        <v>2282</v>
      </c>
      <c r="C506" s="1" t="s">
        <v>2283</v>
      </c>
    </row>
    <row r="507">
      <c r="A507" s="73" t="s">
        <v>2282</v>
      </c>
      <c r="C507" s="1" t="s">
        <v>2283</v>
      </c>
    </row>
    <row r="508">
      <c r="A508" s="73" t="s">
        <v>2282</v>
      </c>
      <c r="C508" s="1" t="s">
        <v>2283</v>
      </c>
    </row>
    <row r="509">
      <c r="A509" s="73" t="s">
        <v>156</v>
      </c>
      <c r="C509" s="1" t="s">
        <v>156</v>
      </c>
    </row>
    <row r="510">
      <c r="A510" s="73" t="s">
        <v>116</v>
      </c>
      <c r="C510" s="1" t="s">
        <v>116</v>
      </c>
    </row>
    <row r="511">
      <c r="A511" s="73" t="s">
        <v>116</v>
      </c>
      <c r="C511" s="1" t="s">
        <v>116</v>
      </c>
    </row>
    <row r="512">
      <c r="A512" s="73" t="s">
        <v>116</v>
      </c>
      <c r="C512" s="1" t="s">
        <v>116</v>
      </c>
    </row>
    <row r="513">
      <c r="A513" s="73" t="s">
        <v>116</v>
      </c>
      <c r="C513" s="1" t="s">
        <v>116</v>
      </c>
    </row>
    <row r="514">
      <c r="A514" s="73" t="s">
        <v>156</v>
      </c>
      <c r="C514" s="1" t="s">
        <v>156</v>
      </c>
    </row>
    <row r="515">
      <c r="A515" s="73" t="s">
        <v>2282</v>
      </c>
      <c r="C515" s="1" t="s">
        <v>2283</v>
      </c>
    </row>
    <row r="516">
      <c r="A516" s="73" t="s">
        <v>72</v>
      </c>
      <c r="C516" s="1" t="s">
        <v>72</v>
      </c>
    </row>
    <row r="517">
      <c r="A517" s="73" t="s">
        <v>156</v>
      </c>
      <c r="C517" s="1" t="s">
        <v>156</v>
      </c>
    </row>
    <row r="518">
      <c r="A518" s="73" t="s">
        <v>1736</v>
      </c>
      <c r="C518" s="1" t="s">
        <v>1736</v>
      </c>
    </row>
    <row r="519">
      <c r="A519" s="73" t="s">
        <v>958</v>
      </c>
      <c r="C519" s="1" t="s">
        <v>958</v>
      </c>
    </row>
    <row r="520">
      <c r="A520" s="73" t="s">
        <v>173</v>
      </c>
      <c r="C520" s="1" t="s">
        <v>173</v>
      </c>
    </row>
    <row r="521">
      <c r="A521" s="73" t="s">
        <v>173</v>
      </c>
      <c r="C521" s="1" t="s">
        <v>173</v>
      </c>
    </row>
    <row r="522">
      <c r="A522" s="73" t="s">
        <v>173</v>
      </c>
      <c r="C522" s="1" t="s">
        <v>173</v>
      </c>
    </row>
    <row r="523">
      <c r="A523" s="73" t="s">
        <v>96</v>
      </c>
      <c r="C523" s="1" t="s">
        <v>96</v>
      </c>
    </row>
    <row r="524">
      <c r="A524" s="73" t="s">
        <v>1455</v>
      </c>
      <c r="C524" s="1" t="s">
        <v>1455</v>
      </c>
    </row>
    <row r="525">
      <c r="A525" s="73" t="s">
        <v>1460</v>
      </c>
      <c r="C525" s="1" t="s">
        <v>1460</v>
      </c>
    </row>
    <row r="526">
      <c r="A526" s="73" t="s">
        <v>2282</v>
      </c>
      <c r="C526" s="1" t="s">
        <v>2283</v>
      </c>
    </row>
    <row r="527">
      <c r="A527" s="73" t="s">
        <v>1460</v>
      </c>
      <c r="C527" s="1" t="s">
        <v>1460</v>
      </c>
    </row>
    <row r="528">
      <c r="A528" s="73" t="s">
        <v>96</v>
      </c>
      <c r="C528" s="1" t="s">
        <v>96</v>
      </c>
    </row>
    <row r="529">
      <c r="A529" s="73" t="s">
        <v>96</v>
      </c>
      <c r="C529" s="1" t="s">
        <v>96</v>
      </c>
    </row>
    <row r="530">
      <c r="A530" s="73" t="s">
        <v>96</v>
      </c>
      <c r="C530" s="1" t="s">
        <v>96</v>
      </c>
    </row>
    <row r="531">
      <c r="A531" s="73" t="s">
        <v>116</v>
      </c>
      <c r="C531" s="1" t="s">
        <v>116</v>
      </c>
    </row>
    <row r="532">
      <c r="A532" s="73" t="s">
        <v>116</v>
      </c>
      <c r="C532" s="1" t="s">
        <v>116</v>
      </c>
    </row>
    <row r="533">
      <c r="A533" s="73" t="s">
        <v>540</v>
      </c>
      <c r="C533" s="1" t="s">
        <v>540</v>
      </c>
    </row>
    <row r="534">
      <c r="A534" s="73" t="s">
        <v>540</v>
      </c>
      <c r="C534" s="1" t="s">
        <v>540</v>
      </c>
    </row>
    <row r="535">
      <c r="A535" s="73" t="s">
        <v>540</v>
      </c>
      <c r="C535" s="1" t="s">
        <v>540</v>
      </c>
    </row>
    <row r="536">
      <c r="A536" s="73" t="s">
        <v>540</v>
      </c>
      <c r="C536" s="1" t="s">
        <v>540</v>
      </c>
    </row>
    <row r="537">
      <c r="A537" s="73" t="s">
        <v>2292</v>
      </c>
      <c r="C537" s="1" t="s">
        <v>2293</v>
      </c>
    </row>
    <row r="538">
      <c r="A538" s="73" t="s">
        <v>540</v>
      </c>
      <c r="C538" s="1" t="s">
        <v>540</v>
      </c>
    </row>
    <row r="539">
      <c r="A539" s="73" t="s">
        <v>2292</v>
      </c>
      <c r="C539" s="1" t="s">
        <v>2293</v>
      </c>
    </row>
    <row r="540">
      <c r="A540" s="73" t="s">
        <v>2292</v>
      </c>
      <c r="C540" s="1" t="s">
        <v>2293</v>
      </c>
    </row>
    <row r="541">
      <c r="A541" s="73" t="s">
        <v>2292</v>
      </c>
      <c r="C541" s="1" t="s">
        <v>2293</v>
      </c>
    </row>
    <row r="542">
      <c r="A542" s="73" t="s">
        <v>2292</v>
      </c>
      <c r="C542" s="1" t="s">
        <v>2293</v>
      </c>
    </row>
    <row r="543">
      <c r="A543" s="73" t="s">
        <v>540</v>
      </c>
      <c r="C543" s="1" t="s">
        <v>540</v>
      </c>
    </row>
    <row r="544">
      <c r="A544" s="73" t="s">
        <v>173</v>
      </c>
      <c r="C544" s="1" t="s">
        <v>173</v>
      </c>
    </row>
    <row r="545">
      <c r="A545" s="73" t="s">
        <v>173</v>
      </c>
      <c r="C545" s="1" t="s">
        <v>173</v>
      </c>
    </row>
    <row r="546">
      <c r="A546" s="73" t="s">
        <v>173</v>
      </c>
      <c r="C546" s="1" t="s">
        <v>173</v>
      </c>
    </row>
    <row r="547">
      <c r="A547" s="73" t="s">
        <v>173</v>
      </c>
      <c r="C547" s="1" t="s">
        <v>173</v>
      </c>
    </row>
    <row r="548">
      <c r="A548" s="73" t="s">
        <v>2273</v>
      </c>
      <c r="C548" s="1" t="s">
        <v>2273</v>
      </c>
    </row>
    <row r="549">
      <c r="A549" s="73" t="s">
        <v>173</v>
      </c>
      <c r="C549" s="1" t="s">
        <v>173</v>
      </c>
    </row>
    <row r="550">
      <c r="A550" s="73" t="s">
        <v>2273</v>
      </c>
      <c r="C550" s="1" t="s">
        <v>2273</v>
      </c>
    </row>
    <row r="551">
      <c r="A551" s="73" t="s">
        <v>2273</v>
      </c>
      <c r="C551" s="1" t="s">
        <v>2273</v>
      </c>
    </row>
    <row r="552">
      <c r="A552" s="73" t="s">
        <v>2273</v>
      </c>
      <c r="C552" s="1" t="s">
        <v>2273</v>
      </c>
    </row>
    <row r="553">
      <c r="A553" s="73" t="s">
        <v>2273</v>
      </c>
      <c r="C553" s="1" t="s">
        <v>2273</v>
      </c>
    </row>
    <row r="554">
      <c r="A554" s="73" t="s">
        <v>173</v>
      </c>
      <c r="C554" s="1" t="s">
        <v>173</v>
      </c>
    </row>
    <row r="555">
      <c r="A555" s="73" t="s">
        <v>173</v>
      </c>
      <c r="C555" s="1" t="s">
        <v>173</v>
      </c>
    </row>
    <row r="556">
      <c r="A556" s="73" t="s">
        <v>173</v>
      </c>
      <c r="C556" s="1" t="s">
        <v>173</v>
      </c>
    </row>
    <row r="557">
      <c r="A557" s="73" t="s">
        <v>173</v>
      </c>
      <c r="C557" s="1" t="s">
        <v>173</v>
      </c>
    </row>
    <row r="558">
      <c r="A558" s="73" t="s">
        <v>540</v>
      </c>
      <c r="C558" s="1" t="s">
        <v>540</v>
      </c>
    </row>
    <row r="559">
      <c r="A559" s="73" t="s">
        <v>173</v>
      </c>
      <c r="C559" s="1" t="s">
        <v>173</v>
      </c>
    </row>
    <row r="560">
      <c r="A560" s="73" t="s">
        <v>540</v>
      </c>
      <c r="C560" s="1" t="s">
        <v>540</v>
      </c>
    </row>
    <row r="561">
      <c r="A561" s="73" t="s">
        <v>540</v>
      </c>
      <c r="C561" s="1" t="s">
        <v>540</v>
      </c>
    </row>
    <row r="562">
      <c r="A562" s="73" t="s">
        <v>540</v>
      </c>
      <c r="C562" s="1" t="s">
        <v>540</v>
      </c>
    </row>
    <row r="563">
      <c r="A563" s="73" t="s">
        <v>540</v>
      </c>
      <c r="C563" s="1" t="s">
        <v>540</v>
      </c>
    </row>
    <row r="564">
      <c r="A564" s="73" t="s">
        <v>2275</v>
      </c>
      <c r="C564" s="1" t="s">
        <v>2275</v>
      </c>
    </row>
    <row r="565">
      <c r="A565" s="73" t="s">
        <v>156</v>
      </c>
      <c r="C565" s="1" t="s">
        <v>156</v>
      </c>
    </row>
    <row r="566">
      <c r="A566" s="73" t="s">
        <v>72</v>
      </c>
      <c r="C566" s="1" t="s">
        <v>72</v>
      </c>
    </row>
    <row r="567">
      <c r="A567" s="73" t="s">
        <v>2282</v>
      </c>
      <c r="C567" s="1" t="s">
        <v>2283</v>
      </c>
    </row>
    <row r="568">
      <c r="A568" s="73" t="s">
        <v>823</v>
      </c>
      <c r="C568" s="1" t="s">
        <v>823</v>
      </c>
    </row>
    <row r="569">
      <c r="A569" s="73" t="s">
        <v>823</v>
      </c>
      <c r="C569" s="1" t="s">
        <v>823</v>
      </c>
    </row>
    <row r="570">
      <c r="A570" s="73" t="s">
        <v>1266</v>
      </c>
      <c r="C570" s="1" t="s">
        <v>1266</v>
      </c>
    </row>
    <row r="571">
      <c r="A571" s="73" t="s">
        <v>156</v>
      </c>
      <c r="C571" s="1" t="s">
        <v>156</v>
      </c>
    </row>
    <row r="572">
      <c r="A572" s="73" t="s">
        <v>72</v>
      </c>
      <c r="C572" s="1" t="s">
        <v>72</v>
      </c>
    </row>
    <row r="573">
      <c r="A573" s="73" t="s">
        <v>1683</v>
      </c>
      <c r="C573" s="1" t="s">
        <v>1683</v>
      </c>
    </row>
    <row r="574">
      <c r="A574" s="73" t="s">
        <v>1683</v>
      </c>
      <c r="C574" s="1" t="s">
        <v>1683</v>
      </c>
    </row>
    <row r="575">
      <c r="A575" s="73" t="s">
        <v>1683</v>
      </c>
      <c r="C575" s="1" t="s">
        <v>1683</v>
      </c>
    </row>
    <row r="576">
      <c r="A576" s="73" t="s">
        <v>1683</v>
      </c>
      <c r="C576" s="1" t="s">
        <v>1683</v>
      </c>
    </row>
    <row r="577">
      <c r="A577" s="73" t="s">
        <v>1683</v>
      </c>
      <c r="C577" s="1" t="s">
        <v>1683</v>
      </c>
    </row>
    <row r="578">
      <c r="A578" s="73" t="s">
        <v>1683</v>
      </c>
      <c r="C578" s="1" t="s">
        <v>1683</v>
      </c>
    </row>
    <row r="579">
      <c r="A579" s="73" t="s">
        <v>1683</v>
      </c>
      <c r="C579" s="1" t="s">
        <v>1683</v>
      </c>
    </row>
    <row r="580">
      <c r="A580" s="73" t="s">
        <v>1683</v>
      </c>
      <c r="C580" s="1" t="s">
        <v>1683</v>
      </c>
    </row>
    <row r="581">
      <c r="A581" s="73" t="s">
        <v>1683</v>
      </c>
      <c r="C581" s="1" t="s">
        <v>1683</v>
      </c>
    </row>
    <row r="582">
      <c r="A582" s="73" t="s">
        <v>1683</v>
      </c>
      <c r="C582" s="1" t="s">
        <v>1683</v>
      </c>
    </row>
    <row r="583">
      <c r="A583" s="73" t="s">
        <v>1683</v>
      </c>
      <c r="C583" s="1" t="s">
        <v>1683</v>
      </c>
    </row>
    <row r="584">
      <c r="A584" s="73" t="s">
        <v>1683</v>
      </c>
      <c r="C584" s="1" t="s">
        <v>1683</v>
      </c>
    </row>
    <row r="585">
      <c r="A585" s="73" t="s">
        <v>1683</v>
      </c>
      <c r="C585" s="1" t="s">
        <v>1683</v>
      </c>
    </row>
    <row r="586">
      <c r="A586" s="73" t="s">
        <v>1683</v>
      </c>
      <c r="C586" s="1" t="s">
        <v>1683</v>
      </c>
    </row>
    <row r="587">
      <c r="A587" s="73" t="s">
        <v>1683</v>
      </c>
      <c r="C587" s="1" t="s">
        <v>1683</v>
      </c>
    </row>
    <row r="588">
      <c r="A588" s="73" t="s">
        <v>1471</v>
      </c>
      <c r="C588" s="1" t="s">
        <v>1471</v>
      </c>
    </row>
    <row r="589">
      <c r="A589" s="73" t="s">
        <v>2282</v>
      </c>
      <c r="C589" s="1" t="s">
        <v>2283</v>
      </c>
    </row>
    <row r="590">
      <c r="A590" s="73" t="s">
        <v>379</v>
      </c>
      <c r="C590" s="1" t="s">
        <v>379</v>
      </c>
    </row>
    <row r="591">
      <c r="A591" s="73" t="s">
        <v>383</v>
      </c>
      <c r="C591" s="1" t="s">
        <v>383</v>
      </c>
    </row>
    <row r="592">
      <c r="A592" s="73" t="s">
        <v>173</v>
      </c>
      <c r="C592" s="1" t="s">
        <v>173</v>
      </c>
    </row>
    <row r="593">
      <c r="A593" s="73" t="s">
        <v>173</v>
      </c>
      <c r="C593" s="1" t="s">
        <v>173</v>
      </c>
    </row>
    <row r="594">
      <c r="A594" s="73" t="s">
        <v>2292</v>
      </c>
      <c r="C594" s="1" t="s">
        <v>2293</v>
      </c>
    </row>
    <row r="595">
      <c r="A595" s="73" t="s">
        <v>150</v>
      </c>
      <c r="C595" s="1" t="s">
        <v>150</v>
      </c>
    </row>
    <row r="596">
      <c r="A596" s="73" t="s">
        <v>173</v>
      </c>
      <c r="C596" s="1" t="s">
        <v>173</v>
      </c>
    </row>
    <row r="597">
      <c r="A597" s="73" t="s">
        <v>150</v>
      </c>
      <c r="C597" s="1" t="s">
        <v>150</v>
      </c>
    </row>
    <row r="598">
      <c r="A598" s="73" t="s">
        <v>2282</v>
      </c>
      <c r="C598" s="1" t="s">
        <v>2283</v>
      </c>
    </row>
    <row r="599">
      <c r="A599" s="73" t="s">
        <v>173</v>
      </c>
      <c r="C599" s="1" t="s">
        <v>173</v>
      </c>
    </row>
    <row r="600">
      <c r="A600" s="73" t="s">
        <v>173</v>
      </c>
      <c r="C600" s="1" t="s">
        <v>173</v>
      </c>
    </row>
    <row r="601">
      <c r="A601" s="73" t="s">
        <v>173</v>
      </c>
      <c r="C601" s="1" t="s">
        <v>173</v>
      </c>
    </row>
    <row r="602">
      <c r="A602" s="73" t="s">
        <v>2282</v>
      </c>
      <c r="C602" s="1" t="s">
        <v>2283</v>
      </c>
    </row>
    <row r="603">
      <c r="A603" s="73" t="s">
        <v>156</v>
      </c>
      <c r="C603" s="1" t="s">
        <v>156</v>
      </c>
    </row>
    <row r="604">
      <c r="A604" s="73" t="s">
        <v>72</v>
      </c>
      <c r="C604" s="1" t="s">
        <v>72</v>
      </c>
    </row>
    <row r="605">
      <c r="A605" s="73" t="s">
        <v>454</v>
      </c>
      <c r="C605" s="1" t="s">
        <v>454</v>
      </c>
    </row>
    <row r="606">
      <c r="A606" s="73" t="s">
        <v>2282</v>
      </c>
      <c r="C606" s="1" t="s">
        <v>2283</v>
      </c>
    </row>
    <row r="607">
      <c r="A607" s="73" t="s">
        <v>156</v>
      </c>
      <c r="C607" s="1" t="s">
        <v>156</v>
      </c>
    </row>
    <row r="608">
      <c r="A608" s="73" t="s">
        <v>1266</v>
      </c>
      <c r="C608" s="1" t="s">
        <v>1266</v>
      </c>
    </row>
    <row r="609">
      <c r="A609" s="73" t="s">
        <v>173</v>
      </c>
      <c r="C609" s="1" t="s">
        <v>173</v>
      </c>
    </row>
    <row r="610">
      <c r="A610" s="73" t="s">
        <v>1266</v>
      </c>
      <c r="C610" s="1" t="s">
        <v>1266</v>
      </c>
    </row>
    <row r="611">
      <c r="A611" s="73" t="s">
        <v>1266</v>
      </c>
      <c r="C611" s="1" t="s">
        <v>1266</v>
      </c>
    </row>
    <row r="612">
      <c r="A612" s="73" t="s">
        <v>2282</v>
      </c>
      <c r="C612" s="1" t="s">
        <v>2283</v>
      </c>
    </row>
    <row r="613">
      <c r="A613" s="73" t="s">
        <v>96</v>
      </c>
      <c r="C613" s="1" t="s">
        <v>96</v>
      </c>
    </row>
    <row r="614">
      <c r="A614" s="73" t="s">
        <v>2284</v>
      </c>
      <c r="C614" s="1" t="s">
        <v>2285</v>
      </c>
    </row>
    <row r="615">
      <c r="A615" s="73" t="s">
        <v>96</v>
      </c>
      <c r="C615" s="1" t="s">
        <v>96</v>
      </c>
    </row>
    <row r="616">
      <c r="A616" s="73" t="s">
        <v>454</v>
      </c>
      <c r="C616" s="1" t="s">
        <v>454</v>
      </c>
    </row>
    <row r="617">
      <c r="A617" s="73" t="s">
        <v>173</v>
      </c>
      <c r="C617" s="1" t="s">
        <v>173</v>
      </c>
    </row>
    <row r="618">
      <c r="A618" s="73" t="s">
        <v>96</v>
      </c>
      <c r="C618" s="1" t="s">
        <v>96</v>
      </c>
    </row>
    <row r="619">
      <c r="A619" s="73" t="s">
        <v>156</v>
      </c>
      <c r="C619" s="1" t="s">
        <v>156</v>
      </c>
    </row>
    <row r="620">
      <c r="A620" s="73" t="s">
        <v>2282</v>
      </c>
      <c r="C620" s="1" t="s">
        <v>2283</v>
      </c>
    </row>
    <row r="621">
      <c r="A621" s="73" t="s">
        <v>72</v>
      </c>
      <c r="C621" s="1" t="s">
        <v>72</v>
      </c>
    </row>
    <row r="622">
      <c r="A622" s="73" t="s">
        <v>173</v>
      </c>
      <c r="C622" s="1" t="s">
        <v>173</v>
      </c>
    </row>
    <row r="623">
      <c r="A623" s="73" t="s">
        <v>72</v>
      </c>
      <c r="C623" s="1" t="s">
        <v>72</v>
      </c>
    </row>
    <row r="624">
      <c r="A624" s="73" t="s">
        <v>96</v>
      </c>
      <c r="C624" s="1" t="s">
        <v>96</v>
      </c>
    </row>
    <row r="625">
      <c r="A625" s="73" t="s">
        <v>96</v>
      </c>
      <c r="C625" s="1" t="s">
        <v>96</v>
      </c>
    </row>
    <row r="626">
      <c r="A626" s="73" t="s">
        <v>173</v>
      </c>
      <c r="C626" s="1" t="s">
        <v>173</v>
      </c>
    </row>
    <row r="627">
      <c r="A627" s="73" t="s">
        <v>454</v>
      </c>
      <c r="C627" s="1" t="s">
        <v>454</v>
      </c>
    </row>
    <row r="628">
      <c r="A628" s="73" t="s">
        <v>1557</v>
      </c>
      <c r="C628" s="1" t="s">
        <v>1557</v>
      </c>
    </row>
    <row r="629">
      <c r="A629" s="73" t="s">
        <v>150</v>
      </c>
      <c r="C629" s="1" t="s">
        <v>150</v>
      </c>
    </row>
    <row r="630">
      <c r="A630" s="73" t="s">
        <v>173</v>
      </c>
      <c r="C630" s="1" t="s">
        <v>173</v>
      </c>
    </row>
    <row r="631">
      <c r="A631" s="73" t="s">
        <v>1979</v>
      </c>
      <c r="C631" s="1" t="s">
        <v>1979</v>
      </c>
    </row>
    <row r="632">
      <c r="A632" s="73" t="s">
        <v>1296</v>
      </c>
      <c r="C632" s="1" t="s">
        <v>1296</v>
      </c>
    </row>
    <row r="633">
      <c r="A633" s="73" t="s">
        <v>156</v>
      </c>
      <c r="C633" s="1" t="s">
        <v>156</v>
      </c>
    </row>
    <row r="634">
      <c r="A634" s="73" t="s">
        <v>173</v>
      </c>
      <c r="C634" s="1" t="s">
        <v>173</v>
      </c>
    </row>
    <row r="635">
      <c r="A635" s="73" t="s">
        <v>823</v>
      </c>
      <c r="C635" s="1" t="s">
        <v>823</v>
      </c>
    </row>
    <row r="636">
      <c r="A636" s="73" t="s">
        <v>173</v>
      </c>
      <c r="C636" s="1" t="s">
        <v>173</v>
      </c>
    </row>
    <row r="637">
      <c r="A637" s="73" t="s">
        <v>1296</v>
      </c>
      <c r="C637" s="1" t="s">
        <v>1296</v>
      </c>
    </row>
    <row r="638">
      <c r="A638" s="73" t="s">
        <v>156</v>
      </c>
      <c r="C638" s="1" t="s">
        <v>156</v>
      </c>
    </row>
    <row r="639">
      <c r="A639" s="73" t="s">
        <v>173</v>
      </c>
      <c r="C639" s="1" t="s">
        <v>173</v>
      </c>
    </row>
    <row r="640">
      <c r="A640" s="73" t="s">
        <v>823</v>
      </c>
      <c r="C640" s="1" t="s">
        <v>823</v>
      </c>
    </row>
    <row r="641">
      <c r="A641" s="73" t="s">
        <v>156</v>
      </c>
      <c r="C641" s="1" t="s">
        <v>156</v>
      </c>
    </row>
    <row r="642">
      <c r="A642" s="73" t="s">
        <v>156</v>
      </c>
      <c r="C642" s="1" t="s">
        <v>156</v>
      </c>
    </row>
    <row r="643">
      <c r="A643" s="73" t="s">
        <v>156</v>
      </c>
      <c r="C643" s="1" t="s">
        <v>156</v>
      </c>
    </row>
  </sheetData>
  <autoFilter ref="$C$1:$C$643"/>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9.0"/>
  </cols>
  <sheetData>
    <row r="1">
      <c r="A1" s="26" t="s">
        <v>38</v>
      </c>
      <c r="B1" s="26" t="s">
        <v>39</v>
      </c>
      <c r="C1" s="26" t="s">
        <v>40</v>
      </c>
      <c r="D1" s="26" t="s">
        <v>41</v>
      </c>
      <c r="E1" s="26" t="s">
        <v>2249</v>
      </c>
      <c r="F1" s="26" t="s">
        <v>2250</v>
      </c>
      <c r="G1" s="4" t="s">
        <v>2251</v>
      </c>
      <c r="H1" s="4" t="s">
        <v>24</v>
      </c>
    </row>
    <row r="2">
      <c r="A2" s="6" t="s">
        <v>72</v>
      </c>
      <c r="B2" s="6" t="s">
        <v>101</v>
      </c>
      <c r="C2" s="33"/>
      <c r="D2" s="39" t="s">
        <v>75</v>
      </c>
      <c r="E2" s="6" t="s">
        <v>101</v>
      </c>
      <c r="F2" s="6" t="s">
        <v>101</v>
      </c>
      <c r="G2" s="6" t="s">
        <v>101</v>
      </c>
      <c r="H2" s="6" t="s">
        <v>76</v>
      </c>
    </row>
    <row r="3">
      <c r="A3" s="6" t="s">
        <v>72</v>
      </c>
      <c r="B3" s="6" t="s">
        <v>101</v>
      </c>
      <c r="C3" s="33"/>
      <c r="D3" s="39" t="s">
        <v>75</v>
      </c>
      <c r="E3" s="6" t="s">
        <v>101</v>
      </c>
      <c r="F3" s="6" t="s">
        <v>101</v>
      </c>
      <c r="G3" s="6" t="s">
        <v>101</v>
      </c>
      <c r="H3" s="6" t="s">
        <v>76</v>
      </c>
    </row>
    <row r="4">
      <c r="A4" s="6" t="s">
        <v>72</v>
      </c>
      <c r="B4" s="6" t="s">
        <v>101</v>
      </c>
      <c r="C4" s="33"/>
      <c r="D4" s="39" t="s">
        <v>75</v>
      </c>
      <c r="E4" s="6" t="s">
        <v>101</v>
      </c>
      <c r="F4" s="6" t="s">
        <v>101</v>
      </c>
      <c r="G4" s="6" t="s">
        <v>101</v>
      </c>
      <c r="H4" s="6" t="s">
        <v>76</v>
      </c>
    </row>
    <row r="5">
      <c r="A5" s="6" t="s">
        <v>72</v>
      </c>
      <c r="B5" s="6" t="s">
        <v>101</v>
      </c>
      <c r="C5" s="33"/>
      <c r="D5" s="39" t="s">
        <v>75</v>
      </c>
      <c r="E5" s="6" t="s">
        <v>101</v>
      </c>
      <c r="F5" s="6" t="s">
        <v>101</v>
      </c>
      <c r="G5" s="6" t="s">
        <v>101</v>
      </c>
      <c r="H5" s="6" t="s">
        <v>76</v>
      </c>
    </row>
    <row r="6">
      <c r="A6" s="5" t="s">
        <v>72</v>
      </c>
      <c r="B6" s="5" t="s">
        <v>101</v>
      </c>
      <c r="C6" s="41"/>
      <c r="D6" s="5" t="s">
        <v>75</v>
      </c>
      <c r="E6" s="5" t="s">
        <v>101</v>
      </c>
      <c r="F6" s="5" t="s">
        <v>101</v>
      </c>
      <c r="G6" s="5" t="s">
        <v>101</v>
      </c>
      <c r="H6" s="5" t="s">
        <v>76</v>
      </c>
    </row>
    <row r="7">
      <c r="A7" s="5" t="s">
        <v>72</v>
      </c>
      <c r="B7" s="5" t="s">
        <v>101</v>
      </c>
      <c r="C7" s="41"/>
      <c r="D7" s="5" t="s">
        <v>75</v>
      </c>
      <c r="E7" s="5" t="s">
        <v>101</v>
      </c>
      <c r="F7" s="5" t="s">
        <v>101</v>
      </c>
      <c r="G7" s="5" t="s">
        <v>101</v>
      </c>
      <c r="H7" s="5" t="s">
        <v>76</v>
      </c>
    </row>
    <row r="8">
      <c r="A8" s="5" t="s">
        <v>72</v>
      </c>
      <c r="B8" s="5" t="s">
        <v>101</v>
      </c>
      <c r="C8" s="41"/>
      <c r="D8" s="5" t="s">
        <v>75</v>
      </c>
      <c r="E8" s="5" t="s">
        <v>101</v>
      </c>
      <c r="F8" s="5" t="s">
        <v>101</v>
      </c>
      <c r="G8" s="5" t="s">
        <v>101</v>
      </c>
      <c r="H8" s="5" t="s">
        <v>76</v>
      </c>
    </row>
    <row r="9">
      <c r="A9" s="5" t="s">
        <v>72</v>
      </c>
      <c r="B9" s="5" t="s">
        <v>60</v>
      </c>
      <c r="C9" s="41"/>
      <c r="D9" s="5" t="s">
        <v>75</v>
      </c>
      <c r="E9" s="5" t="s">
        <v>101</v>
      </c>
      <c r="F9" s="5" t="s">
        <v>101</v>
      </c>
      <c r="G9" s="5" t="s">
        <v>101</v>
      </c>
      <c r="H9" s="5" t="s">
        <v>60</v>
      </c>
    </row>
    <row r="10">
      <c r="A10" s="5" t="s">
        <v>72</v>
      </c>
      <c r="B10" s="5" t="s">
        <v>60</v>
      </c>
      <c r="C10" s="41"/>
      <c r="D10" s="5" t="s">
        <v>75</v>
      </c>
      <c r="E10" s="5" t="s">
        <v>101</v>
      </c>
      <c r="F10" s="5" t="s">
        <v>101</v>
      </c>
      <c r="G10" s="5" t="s">
        <v>101</v>
      </c>
      <c r="H10" s="5" t="s">
        <v>60</v>
      </c>
    </row>
    <row r="11">
      <c r="A11" s="6" t="s">
        <v>72</v>
      </c>
      <c r="B11" s="6" t="s">
        <v>72</v>
      </c>
      <c r="C11" s="33"/>
      <c r="D11" s="39" t="s">
        <v>75</v>
      </c>
      <c r="E11" s="6" t="s">
        <v>101</v>
      </c>
      <c r="F11" s="6" t="s">
        <v>101</v>
      </c>
      <c r="G11" s="6" t="s">
        <v>101</v>
      </c>
      <c r="H11" s="6" t="s">
        <v>76</v>
      </c>
    </row>
    <row r="12">
      <c r="A12" s="6" t="s">
        <v>72</v>
      </c>
      <c r="B12" s="6" t="s">
        <v>72</v>
      </c>
      <c r="C12" s="33"/>
      <c r="D12" s="39" t="s">
        <v>75</v>
      </c>
      <c r="E12" s="6" t="s">
        <v>101</v>
      </c>
      <c r="F12" s="6" t="s">
        <v>101</v>
      </c>
      <c r="G12" s="6" t="s">
        <v>101</v>
      </c>
      <c r="H12" s="6" t="s">
        <v>76</v>
      </c>
    </row>
    <row r="13">
      <c r="A13" s="6" t="s">
        <v>72</v>
      </c>
      <c r="B13" s="6" t="s">
        <v>72</v>
      </c>
      <c r="C13" s="33"/>
      <c r="D13" s="39" t="s">
        <v>75</v>
      </c>
      <c r="E13" s="6" t="s">
        <v>101</v>
      </c>
      <c r="F13" s="6" t="s">
        <v>101</v>
      </c>
      <c r="G13" s="6" t="s">
        <v>101</v>
      </c>
      <c r="H13" s="6" t="s">
        <v>76</v>
      </c>
    </row>
    <row r="14">
      <c r="A14" s="6" t="s">
        <v>72</v>
      </c>
      <c r="B14" s="6" t="s">
        <v>72</v>
      </c>
      <c r="C14" s="33"/>
      <c r="D14" s="39" t="s">
        <v>75</v>
      </c>
      <c r="E14" s="6" t="s">
        <v>101</v>
      </c>
      <c r="F14" s="6" t="s">
        <v>101</v>
      </c>
      <c r="G14" s="6" t="s">
        <v>101</v>
      </c>
      <c r="H14" s="6" t="s">
        <v>76</v>
      </c>
    </row>
    <row r="15">
      <c r="A15" s="5" t="s">
        <v>72</v>
      </c>
      <c r="B15" s="5" t="s">
        <v>72</v>
      </c>
      <c r="C15" s="41"/>
      <c r="D15" s="5" t="s">
        <v>75</v>
      </c>
      <c r="E15" s="5" t="s">
        <v>101</v>
      </c>
      <c r="F15" s="5" t="s">
        <v>101</v>
      </c>
      <c r="G15" s="5" t="s">
        <v>101</v>
      </c>
      <c r="H15" s="5" t="s">
        <v>76</v>
      </c>
    </row>
    <row r="16">
      <c r="A16" s="5" t="s">
        <v>72</v>
      </c>
      <c r="B16" s="5" t="s">
        <v>72</v>
      </c>
      <c r="C16" s="41"/>
      <c r="D16" s="5" t="s">
        <v>75</v>
      </c>
      <c r="E16" s="5" t="s">
        <v>101</v>
      </c>
      <c r="F16" s="5" t="s">
        <v>101</v>
      </c>
      <c r="G16" s="5" t="s">
        <v>101</v>
      </c>
      <c r="H16" s="5" t="s">
        <v>76</v>
      </c>
    </row>
    <row r="17">
      <c r="A17" s="5" t="s">
        <v>72</v>
      </c>
      <c r="B17" s="5" t="s">
        <v>72</v>
      </c>
      <c r="C17" s="41"/>
      <c r="D17" s="5" t="s">
        <v>75</v>
      </c>
      <c r="E17" s="5" t="s">
        <v>101</v>
      </c>
      <c r="F17" s="5" t="s">
        <v>101</v>
      </c>
      <c r="G17" s="5" t="s">
        <v>101</v>
      </c>
      <c r="H17" s="5" t="s">
        <v>76</v>
      </c>
    </row>
    <row r="18">
      <c r="A18" s="6" t="s">
        <v>72</v>
      </c>
      <c r="B18" s="6" t="s">
        <v>72</v>
      </c>
      <c r="C18" s="33"/>
      <c r="D18" s="39" t="s">
        <v>75</v>
      </c>
      <c r="E18" s="6" t="s">
        <v>101</v>
      </c>
      <c r="F18" s="6" t="s">
        <v>101</v>
      </c>
      <c r="G18" s="6" t="s">
        <v>101</v>
      </c>
      <c r="H18" s="6" t="s">
        <v>76</v>
      </c>
    </row>
    <row r="19">
      <c r="A19" s="6" t="s">
        <v>72</v>
      </c>
      <c r="B19" s="6" t="s">
        <v>72</v>
      </c>
      <c r="C19" s="33"/>
      <c r="D19" s="39" t="s">
        <v>75</v>
      </c>
      <c r="E19" s="6" t="s">
        <v>101</v>
      </c>
      <c r="F19" s="6" t="s">
        <v>101</v>
      </c>
      <c r="G19" s="6" t="s">
        <v>101</v>
      </c>
      <c r="H19" s="6" t="s">
        <v>76</v>
      </c>
    </row>
    <row r="20">
      <c r="A20" s="6" t="s">
        <v>72</v>
      </c>
      <c r="B20" s="6" t="s">
        <v>72</v>
      </c>
      <c r="C20" s="33"/>
      <c r="D20" s="39" t="s">
        <v>75</v>
      </c>
      <c r="E20" s="6" t="s">
        <v>101</v>
      </c>
      <c r="F20" s="6" t="s">
        <v>101</v>
      </c>
      <c r="G20" s="6" t="s">
        <v>101</v>
      </c>
      <c r="H20" s="6" t="s">
        <v>76</v>
      </c>
    </row>
    <row r="21">
      <c r="A21" s="6" t="s">
        <v>72</v>
      </c>
      <c r="B21" s="6" t="s">
        <v>72</v>
      </c>
      <c r="C21" s="33"/>
      <c r="D21" s="39" t="s">
        <v>75</v>
      </c>
      <c r="E21" s="6" t="s">
        <v>101</v>
      </c>
      <c r="F21" s="6" t="s">
        <v>101</v>
      </c>
      <c r="G21" s="6" t="s">
        <v>101</v>
      </c>
      <c r="H21" s="6" t="s">
        <v>76</v>
      </c>
    </row>
    <row r="22">
      <c r="A22" s="6" t="s">
        <v>72</v>
      </c>
      <c r="B22" s="6" t="s">
        <v>72</v>
      </c>
      <c r="C22" s="33"/>
      <c r="D22" s="39" t="s">
        <v>75</v>
      </c>
      <c r="E22" s="6" t="s">
        <v>101</v>
      </c>
      <c r="F22" s="6" t="s">
        <v>101</v>
      </c>
      <c r="G22" s="6" t="s">
        <v>101</v>
      </c>
      <c r="H22" s="6" t="s">
        <v>76</v>
      </c>
    </row>
    <row r="23">
      <c r="A23" s="6" t="s">
        <v>72</v>
      </c>
      <c r="B23" s="6" t="s">
        <v>72</v>
      </c>
      <c r="C23" s="33"/>
      <c r="D23" s="6" t="s">
        <v>102</v>
      </c>
      <c r="E23" s="33"/>
      <c r="F23" s="33"/>
      <c r="G23" s="33"/>
      <c r="H23" s="6" t="s">
        <v>76</v>
      </c>
    </row>
    <row r="24">
      <c r="A24" s="6" t="s">
        <v>72</v>
      </c>
      <c r="B24" s="6" t="s">
        <v>72</v>
      </c>
      <c r="C24" s="33"/>
      <c r="D24" s="6" t="s">
        <v>102</v>
      </c>
      <c r="E24" s="33"/>
      <c r="F24" s="33"/>
      <c r="G24" s="33"/>
      <c r="H24" s="6" t="s">
        <v>76</v>
      </c>
    </row>
    <row r="25">
      <c r="A25" s="6" t="s">
        <v>72</v>
      </c>
      <c r="B25" s="6" t="s">
        <v>72</v>
      </c>
      <c r="C25" s="33"/>
      <c r="D25" s="6" t="s">
        <v>102</v>
      </c>
      <c r="E25" s="33"/>
      <c r="F25" s="33"/>
      <c r="G25" s="33"/>
      <c r="H25" s="6" t="s">
        <v>76</v>
      </c>
    </row>
    <row r="26">
      <c r="A26" s="6" t="s">
        <v>72</v>
      </c>
      <c r="B26" s="6" t="s">
        <v>72</v>
      </c>
      <c r="C26" s="33"/>
      <c r="D26" s="6" t="s">
        <v>102</v>
      </c>
      <c r="E26" s="33"/>
      <c r="F26" s="33"/>
      <c r="G26" s="33"/>
      <c r="H26" s="6" t="s">
        <v>76</v>
      </c>
    </row>
    <row r="27">
      <c r="A27" s="6" t="s">
        <v>72</v>
      </c>
      <c r="B27" s="6" t="s">
        <v>72</v>
      </c>
      <c r="C27" s="33"/>
      <c r="D27" s="6" t="s">
        <v>102</v>
      </c>
      <c r="E27" s="33"/>
      <c r="F27" s="33"/>
      <c r="G27" s="33"/>
      <c r="H27" s="6" t="s">
        <v>76</v>
      </c>
    </row>
    <row r="28">
      <c r="A28" s="6" t="s">
        <v>72</v>
      </c>
      <c r="B28" s="6" t="s">
        <v>72</v>
      </c>
      <c r="C28" s="33"/>
      <c r="D28" s="6" t="s">
        <v>102</v>
      </c>
      <c r="E28" s="33"/>
      <c r="F28" s="33"/>
      <c r="G28" s="33"/>
      <c r="H28" s="6" t="s">
        <v>76</v>
      </c>
    </row>
    <row r="29">
      <c r="A29" s="6" t="s">
        <v>72</v>
      </c>
      <c r="B29" s="6" t="s">
        <v>72</v>
      </c>
      <c r="C29" s="33"/>
      <c r="D29" s="6" t="s">
        <v>102</v>
      </c>
      <c r="E29" s="33"/>
      <c r="F29" s="33"/>
      <c r="G29" s="33"/>
      <c r="H29" s="6" t="s">
        <v>76</v>
      </c>
    </row>
    <row r="30">
      <c r="A30" s="6" t="s">
        <v>72</v>
      </c>
      <c r="B30" s="6" t="s">
        <v>72</v>
      </c>
      <c r="C30" s="33" t="s">
        <v>280</v>
      </c>
      <c r="D30" s="6" t="s">
        <v>102</v>
      </c>
      <c r="E30" s="33"/>
      <c r="F30" s="33"/>
      <c r="G30" s="33"/>
      <c r="H30" s="6" t="s">
        <v>76</v>
      </c>
    </row>
    <row r="31">
      <c r="A31" s="5" t="s">
        <v>72</v>
      </c>
      <c r="B31" s="5" t="s">
        <v>72</v>
      </c>
      <c r="C31" s="41" t="s">
        <v>280</v>
      </c>
      <c r="D31" s="5" t="s">
        <v>102</v>
      </c>
      <c r="E31" s="41"/>
      <c r="F31" s="41"/>
      <c r="G31" s="41"/>
      <c r="H31" s="5" t="s">
        <v>60</v>
      </c>
    </row>
    <row r="32">
      <c r="A32" s="6" t="s">
        <v>72</v>
      </c>
      <c r="B32" s="6" t="s">
        <v>72</v>
      </c>
      <c r="C32" s="33" t="s">
        <v>280</v>
      </c>
      <c r="D32" s="6" t="s">
        <v>102</v>
      </c>
      <c r="E32" s="33"/>
      <c r="F32" s="33"/>
      <c r="G32" s="33"/>
      <c r="H32" s="6" t="s">
        <v>76</v>
      </c>
    </row>
    <row r="33">
      <c r="A33" s="6" t="s">
        <v>72</v>
      </c>
      <c r="B33" s="6" t="s">
        <v>72</v>
      </c>
      <c r="C33" s="33" t="s">
        <v>280</v>
      </c>
      <c r="D33" s="6" t="s">
        <v>102</v>
      </c>
      <c r="E33" s="33"/>
      <c r="F33" s="33"/>
      <c r="G33" s="33"/>
      <c r="H33" s="6" t="s">
        <v>76</v>
      </c>
    </row>
    <row r="34">
      <c r="A34" s="6" t="s">
        <v>72</v>
      </c>
      <c r="B34" s="6" t="s">
        <v>72</v>
      </c>
      <c r="C34" s="33" t="s">
        <v>280</v>
      </c>
      <c r="D34" s="6" t="s">
        <v>102</v>
      </c>
      <c r="E34" s="33"/>
      <c r="F34" s="33"/>
      <c r="G34" s="33"/>
      <c r="H34" s="6" t="s">
        <v>76</v>
      </c>
    </row>
    <row r="35">
      <c r="A35" s="6" t="s">
        <v>72</v>
      </c>
      <c r="B35" s="6" t="s">
        <v>72</v>
      </c>
      <c r="C35" s="33" t="s">
        <v>280</v>
      </c>
      <c r="D35" s="6" t="s">
        <v>102</v>
      </c>
      <c r="E35" s="33"/>
      <c r="F35" s="33"/>
      <c r="G35" s="33"/>
      <c r="H35" s="6" t="s">
        <v>76</v>
      </c>
    </row>
    <row r="36">
      <c r="A36" s="33" t="s">
        <v>1075</v>
      </c>
      <c r="B36" s="6" t="s">
        <v>72</v>
      </c>
      <c r="C36" s="33"/>
      <c r="D36" s="6" t="s">
        <v>75</v>
      </c>
      <c r="E36" s="33"/>
      <c r="F36" s="33"/>
      <c r="G36" s="33"/>
      <c r="H36" s="6" t="s">
        <v>76</v>
      </c>
    </row>
    <row r="37">
      <c r="A37" s="6" t="s">
        <v>72</v>
      </c>
      <c r="B37" s="6" t="s">
        <v>72</v>
      </c>
      <c r="C37" s="33" t="s">
        <v>280</v>
      </c>
      <c r="D37" s="6" t="s">
        <v>102</v>
      </c>
      <c r="E37" s="33"/>
      <c r="F37" s="33"/>
      <c r="G37" s="33"/>
      <c r="H37" s="6" t="s">
        <v>76</v>
      </c>
    </row>
    <row r="38">
      <c r="A38" s="6" t="s">
        <v>72</v>
      </c>
      <c r="B38" s="6" t="s">
        <v>72</v>
      </c>
      <c r="C38" s="33" t="s">
        <v>280</v>
      </c>
      <c r="D38" s="6" t="s">
        <v>102</v>
      </c>
      <c r="E38" s="33"/>
      <c r="F38" s="33"/>
      <c r="G38" s="33"/>
      <c r="H38" s="6" t="s">
        <v>76</v>
      </c>
    </row>
    <row r="39">
      <c r="A39" s="6" t="s">
        <v>72</v>
      </c>
      <c r="B39" s="6" t="s">
        <v>72</v>
      </c>
      <c r="C39" s="33" t="s">
        <v>280</v>
      </c>
      <c r="D39" s="6" t="s">
        <v>102</v>
      </c>
      <c r="E39" s="33"/>
      <c r="F39" s="33"/>
      <c r="G39" s="33"/>
      <c r="H39" s="6" t="s">
        <v>76</v>
      </c>
    </row>
    <row r="40">
      <c r="A40" s="6" t="s">
        <v>72</v>
      </c>
      <c r="B40" s="6" t="s">
        <v>72</v>
      </c>
      <c r="C40" s="33" t="s">
        <v>280</v>
      </c>
      <c r="D40" s="6" t="s">
        <v>102</v>
      </c>
      <c r="E40" s="33"/>
      <c r="F40" s="33"/>
      <c r="G40" s="33"/>
      <c r="H40" s="6" t="s">
        <v>76</v>
      </c>
    </row>
    <row r="41">
      <c r="A41" s="5" t="s">
        <v>72</v>
      </c>
      <c r="B41" s="5" t="s">
        <v>72</v>
      </c>
      <c r="C41" s="41" t="s">
        <v>280</v>
      </c>
      <c r="D41" s="5" t="s">
        <v>102</v>
      </c>
      <c r="E41" s="41"/>
      <c r="F41" s="41"/>
      <c r="G41" s="41"/>
      <c r="H41" s="5" t="s">
        <v>76</v>
      </c>
    </row>
    <row r="42">
      <c r="A42" s="6" t="s">
        <v>72</v>
      </c>
      <c r="B42" s="6" t="s">
        <v>72</v>
      </c>
      <c r="C42" s="33"/>
      <c r="D42" s="6" t="s">
        <v>75</v>
      </c>
      <c r="E42" s="33"/>
      <c r="F42" s="33"/>
      <c r="G42" s="33"/>
      <c r="H42" s="6" t="s">
        <v>76</v>
      </c>
    </row>
    <row r="43">
      <c r="A43" s="6" t="s">
        <v>72</v>
      </c>
      <c r="B43" s="6" t="s">
        <v>72</v>
      </c>
      <c r="C43" s="33"/>
      <c r="D43" s="6" t="s">
        <v>75</v>
      </c>
      <c r="E43" s="33"/>
      <c r="F43" s="33"/>
      <c r="G43" s="33"/>
      <c r="H43" s="6" t="s">
        <v>76</v>
      </c>
    </row>
    <row r="44">
      <c r="A44" s="6" t="s">
        <v>72</v>
      </c>
      <c r="B44" s="6" t="s">
        <v>72</v>
      </c>
      <c r="C44" s="33"/>
      <c r="D44" s="6" t="s">
        <v>75</v>
      </c>
      <c r="E44" s="33"/>
      <c r="F44" s="33"/>
      <c r="G44" s="33"/>
      <c r="H44" s="6" t="s">
        <v>76</v>
      </c>
    </row>
    <row r="45">
      <c r="A45" s="6" t="s">
        <v>72</v>
      </c>
      <c r="B45" s="6" t="s">
        <v>72</v>
      </c>
      <c r="C45" s="33"/>
      <c r="D45" s="6" t="s">
        <v>75</v>
      </c>
      <c r="E45" s="33"/>
      <c r="F45" s="33"/>
      <c r="G45" s="33"/>
      <c r="H45" s="6" t="s">
        <v>76</v>
      </c>
    </row>
    <row r="46">
      <c r="A46" s="6" t="s">
        <v>72</v>
      </c>
      <c r="B46" s="52" t="s">
        <v>72</v>
      </c>
      <c r="C46" s="33"/>
      <c r="D46" s="6" t="s">
        <v>75</v>
      </c>
      <c r="E46" s="33"/>
      <c r="F46" s="33"/>
      <c r="G46" s="33"/>
      <c r="H46" s="6" t="s">
        <v>76</v>
      </c>
    </row>
    <row r="47">
      <c r="A47" s="6" t="s">
        <v>72</v>
      </c>
      <c r="B47" s="53" t="s">
        <v>72</v>
      </c>
      <c r="C47" s="41"/>
      <c r="D47" s="5" t="s">
        <v>75</v>
      </c>
      <c r="E47" s="41"/>
      <c r="F47" s="41"/>
      <c r="G47" s="41"/>
      <c r="H47" s="5" t="s">
        <v>60</v>
      </c>
    </row>
    <row r="48">
      <c r="A48" s="6" t="s">
        <v>72</v>
      </c>
      <c r="B48" s="53" t="s">
        <v>72</v>
      </c>
      <c r="C48" s="41"/>
      <c r="D48" s="5" t="s">
        <v>75</v>
      </c>
      <c r="E48" s="41"/>
      <c r="F48" s="41"/>
      <c r="G48" s="41"/>
      <c r="H48" s="5" t="s">
        <v>60</v>
      </c>
    </row>
    <row r="49">
      <c r="A49" s="6" t="s">
        <v>72</v>
      </c>
      <c r="B49" s="5" t="s">
        <v>72</v>
      </c>
      <c r="C49" s="41"/>
      <c r="D49" s="5" t="s">
        <v>75</v>
      </c>
      <c r="E49" s="5" t="s">
        <v>101</v>
      </c>
      <c r="F49" s="5" t="s">
        <v>101</v>
      </c>
      <c r="G49" s="5" t="s">
        <v>101</v>
      </c>
      <c r="H49" s="5" t="s">
        <v>60</v>
      </c>
    </row>
    <row r="50">
      <c r="A50" s="6" t="s">
        <v>72</v>
      </c>
      <c r="B50" s="6" t="s">
        <v>60</v>
      </c>
      <c r="C50" s="33"/>
      <c r="D50" s="6" t="s">
        <v>102</v>
      </c>
      <c r="E50" s="33"/>
      <c r="F50" s="33"/>
      <c r="G50" s="33"/>
      <c r="H50" s="6" t="s">
        <v>76</v>
      </c>
    </row>
    <row r="51">
      <c r="A51" s="6" t="s">
        <v>72</v>
      </c>
      <c r="B51" s="6" t="s">
        <v>60</v>
      </c>
      <c r="C51" s="33"/>
      <c r="D51" s="6" t="s">
        <v>102</v>
      </c>
      <c r="E51" s="33"/>
      <c r="F51" s="33"/>
      <c r="G51" s="33"/>
      <c r="H51" s="6" t="s">
        <v>76</v>
      </c>
    </row>
    <row r="52">
      <c r="A52" s="6" t="s">
        <v>72</v>
      </c>
      <c r="B52" s="6" t="s">
        <v>60</v>
      </c>
      <c r="C52" s="33"/>
      <c r="D52" s="6" t="s">
        <v>102</v>
      </c>
      <c r="E52" s="33"/>
      <c r="F52" s="33"/>
      <c r="G52" s="33"/>
      <c r="H52" s="6" t="s">
        <v>76</v>
      </c>
    </row>
    <row r="53">
      <c r="A53" s="5" t="s">
        <v>72</v>
      </c>
      <c r="B53" s="5" t="s">
        <v>72</v>
      </c>
      <c r="C53" s="41" t="s">
        <v>1279</v>
      </c>
      <c r="D53" s="5" t="s">
        <v>75</v>
      </c>
      <c r="E53" s="5" t="s">
        <v>101</v>
      </c>
      <c r="F53" s="5" t="s">
        <v>101</v>
      </c>
      <c r="G53" s="5" t="s">
        <v>101</v>
      </c>
      <c r="H53" s="5" t="s">
        <v>76</v>
      </c>
    </row>
    <row r="54">
      <c r="A54" s="33" t="s">
        <v>192</v>
      </c>
      <c r="B54" s="6" t="s">
        <v>72</v>
      </c>
      <c r="C54" s="33"/>
      <c r="D54" s="6" t="s">
        <v>75</v>
      </c>
      <c r="E54" s="33"/>
      <c r="F54" s="33"/>
      <c r="G54" s="33"/>
      <c r="H54" s="6" t="s">
        <v>76</v>
      </c>
    </row>
    <row r="55">
      <c r="A55" s="33" t="s">
        <v>74</v>
      </c>
      <c r="B55" s="6" t="s">
        <v>60</v>
      </c>
      <c r="C55" s="33"/>
      <c r="D55" s="6" t="s">
        <v>102</v>
      </c>
      <c r="E55" s="33"/>
      <c r="F55" s="33"/>
      <c r="G55" s="33"/>
      <c r="H55" s="6" t="s">
        <v>76</v>
      </c>
    </row>
    <row r="56">
      <c r="A56" s="33" t="s">
        <v>74</v>
      </c>
      <c r="B56" s="6" t="s">
        <v>60</v>
      </c>
      <c r="C56" s="33"/>
      <c r="D56" s="6" t="s">
        <v>102</v>
      </c>
      <c r="E56" s="33"/>
      <c r="F56" s="33"/>
      <c r="G56" s="33"/>
      <c r="H56" s="6" t="s">
        <v>76</v>
      </c>
    </row>
    <row r="57">
      <c r="A57" s="33" t="s">
        <v>74</v>
      </c>
      <c r="B57" s="6" t="s">
        <v>60</v>
      </c>
      <c r="C57" s="33"/>
      <c r="D57" s="6" t="s">
        <v>102</v>
      </c>
      <c r="E57" s="33"/>
      <c r="F57" s="33"/>
      <c r="G57" s="33"/>
      <c r="H57" s="6" t="s">
        <v>76</v>
      </c>
    </row>
    <row r="58">
      <c r="A58" s="6" t="s">
        <v>72</v>
      </c>
      <c r="B58" s="6" t="s">
        <v>72</v>
      </c>
      <c r="C58" s="33"/>
      <c r="D58" s="6" t="s">
        <v>75</v>
      </c>
      <c r="E58" s="33"/>
      <c r="F58" s="33"/>
      <c r="G58" s="33"/>
      <c r="H58" s="6" t="s">
        <v>76</v>
      </c>
    </row>
    <row r="59">
      <c r="A59" s="5" t="s">
        <v>72</v>
      </c>
      <c r="B59" s="5" t="s">
        <v>72</v>
      </c>
      <c r="C59" s="41"/>
      <c r="D59" s="5" t="s">
        <v>75</v>
      </c>
      <c r="E59" s="41"/>
      <c r="F59" s="41"/>
      <c r="G59" s="41"/>
      <c r="H59" s="5" t="s">
        <v>60</v>
      </c>
    </row>
    <row r="60">
      <c r="A60" s="6" t="s">
        <v>72</v>
      </c>
      <c r="B60" s="6" t="s">
        <v>72</v>
      </c>
      <c r="C60" s="33"/>
      <c r="D60" s="6" t="s">
        <v>75</v>
      </c>
      <c r="E60" s="33"/>
      <c r="F60" s="33"/>
      <c r="G60" s="33"/>
      <c r="H60" s="6" t="s">
        <v>76</v>
      </c>
    </row>
    <row r="61">
      <c r="A61" s="5" t="s">
        <v>72</v>
      </c>
      <c r="B61" s="5" t="s">
        <v>72</v>
      </c>
      <c r="C61" s="41"/>
      <c r="D61" s="5" t="s">
        <v>75</v>
      </c>
      <c r="E61" s="41"/>
      <c r="F61" s="41"/>
      <c r="G61" s="41"/>
      <c r="H61" s="5" t="s">
        <v>76</v>
      </c>
    </row>
    <row r="62">
      <c r="A62" s="5" t="s">
        <v>72</v>
      </c>
      <c r="B62" s="5" t="s">
        <v>72</v>
      </c>
      <c r="C62" s="41"/>
      <c r="D62" s="5" t="s">
        <v>75</v>
      </c>
      <c r="E62" s="41"/>
      <c r="F62" s="41"/>
      <c r="G62" s="41"/>
      <c r="H62" s="5" t="s">
        <v>76</v>
      </c>
    </row>
    <row r="63">
      <c r="A63" s="33" t="s">
        <v>192</v>
      </c>
      <c r="B63" s="6" t="s">
        <v>72</v>
      </c>
      <c r="C63" s="33"/>
      <c r="D63" s="6" t="s">
        <v>75</v>
      </c>
      <c r="E63" s="33"/>
      <c r="F63" s="33"/>
      <c r="G63" s="33"/>
      <c r="H63" s="6" t="s">
        <v>76</v>
      </c>
    </row>
    <row r="64">
      <c r="A64" s="33" t="s">
        <v>192</v>
      </c>
      <c r="B64" s="6" t="s">
        <v>72</v>
      </c>
      <c r="C64" s="33"/>
      <c r="D64" s="6" t="s">
        <v>75</v>
      </c>
      <c r="E64" s="33"/>
      <c r="F64" s="33"/>
      <c r="G64" s="33"/>
      <c r="H64" s="6" t="s">
        <v>76</v>
      </c>
    </row>
    <row r="65">
      <c r="A65" s="6" t="s">
        <v>72</v>
      </c>
      <c r="B65" s="6" t="s">
        <v>72</v>
      </c>
      <c r="C65" s="33"/>
      <c r="D65" s="6" t="s">
        <v>75</v>
      </c>
      <c r="E65" s="33"/>
      <c r="F65" s="33"/>
      <c r="G65" s="33"/>
      <c r="H65" s="6" t="s">
        <v>76</v>
      </c>
    </row>
    <row r="66">
      <c r="A66" s="5" t="s">
        <v>72</v>
      </c>
      <c r="B66" s="5" t="s">
        <v>72</v>
      </c>
      <c r="C66" s="41"/>
      <c r="D66" s="5" t="s">
        <v>75</v>
      </c>
      <c r="E66" s="41"/>
      <c r="F66" s="41"/>
      <c r="G66" s="41"/>
      <c r="H66" s="5" t="s">
        <v>60</v>
      </c>
    </row>
    <row r="67">
      <c r="A67" s="5" t="s">
        <v>72</v>
      </c>
      <c r="B67" s="5" t="s">
        <v>72</v>
      </c>
      <c r="C67" s="41"/>
      <c r="D67" s="5" t="s">
        <v>75</v>
      </c>
      <c r="E67" s="41"/>
      <c r="F67" s="41"/>
      <c r="G67" s="41"/>
      <c r="H67" s="5" t="s">
        <v>60</v>
      </c>
    </row>
    <row r="68">
      <c r="A68" s="6" t="s">
        <v>72</v>
      </c>
      <c r="B68" s="6" t="s">
        <v>72</v>
      </c>
      <c r="C68" s="33"/>
      <c r="D68" s="6" t="s">
        <v>75</v>
      </c>
      <c r="E68" s="33"/>
      <c r="F68" s="33"/>
      <c r="G68" s="33"/>
      <c r="H68" s="6" t="s">
        <v>76</v>
      </c>
    </row>
    <row r="69">
      <c r="A69" s="6" t="s">
        <v>72</v>
      </c>
      <c r="B69" s="6" t="s">
        <v>72</v>
      </c>
      <c r="C69" s="33"/>
      <c r="D69" s="6" t="s">
        <v>75</v>
      </c>
      <c r="E69" s="33"/>
      <c r="F69" s="33"/>
      <c r="G69" s="33"/>
      <c r="H69" s="6" t="s">
        <v>76</v>
      </c>
    </row>
    <row r="70">
      <c r="A70" s="6" t="s">
        <v>72</v>
      </c>
      <c r="B70" s="6" t="s">
        <v>72</v>
      </c>
      <c r="C70" s="33"/>
      <c r="D70" s="6" t="s">
        <v>75</v>
      </c>
      <c r="E70" s="33"/>
      <c r="F70" s="33"/>
      <c r="G70" s="33"/>
      <c r="H70" s="6" t="s">
        <v>76</v>
      </c>
    </row>
    <row r="71">
      <c r="A71" s="6" t="s">
        <v>72</v>
      </c>
      <c r="B71" s="6" t="s">
        <v>72</v>
      </c>
      <c r="C71" s="33"/>
      <c r="D71" s="6" t="s">
        <v>75</v>
      </c>
      <c r="E71" s="33"/>
      <c r="F71" s="33"/>
      <c r="G71" s="33"/>
      <c r="H71" s="6" t="s">
        <v>76</v>
      </c>
    </row>
    <row r="72">
      <c r="A72" s="6" t="s">
        <v>72</v>
      </c>
      <c r="B72" s="6" t="s">
        <v>72</v>
      </c>
      <c r="C72" s="33"/>
      <c r="D72" s="6" t="s">
        <v>75</v>
      </c>
      <c r="E72" s="33"/>
      <c r="F72" s="33"/>
      <c r="G72" s="33"/>
      <c r="H72" s="6" t="s">
        <v>76</v>
      </c>
    </row>
    <row r="73">
      <c r="A73" s="6" t="s">
        <v>72</v>
      </c>
      <c r="B73" s="6" t="s">
        <v>72</v>
      </c>
      <c r="C73" s="33"/>
      <c r="D73" s="6" t="s">
        <v>75</v>
      </c>
      <c r="E73" s="33"/>
      <c r="F73" s="33"/>
      <c r="G73" s="33"/>
      <c r="H73" s="6" t="s">
        <v>76</v>
      </c>
    </row>
    <row r="74">
      <c r="A74" s="6" t="s">
        <v>72</v>
      </c>
      <c r="B74" s="6" t="s">
        <v>72</v>
      </c>
      <c r="C74" s="33"/>
      <c r="D74" s="6" t="s">
        <v>75</v>
      </c>
      <c r="E74" s="33"/>
      <c r="F74" s="33"/>
      <c r="G74" s="33"/>
      <c r="H74" s="6" t="s">
        <v>76</v>
      </c>
    </row>
    <row r="75">
      <c r="A75" s="41" t="s">
        <v>1141</v>
      </c>
      <c r="B75" s="5" t="s">
        <v>72</v>
      </c>
      <c r="C75" s="41"/>
      <c r="D75" s="5" t="s">
        <v>75</v>
      </c>
      <c r="E75" s="41"/>
      <c r="F75" s="41"/>
      <c r="G75" s="41"/>
      <c r="H75" s="5" t="s">
        <v>76</v>
      </c>
    </row>
    <row r="76">
      <c r="A76" s="6" t="s">
        <v>72</v>
      </c>
      <c r="B76" s="6" t="s">
        <v>72</v>
      </c>
      <c r="C76" s="33"/>
      <c r="D76" s="6" t="s">
        <v>75</v>
      </c>
      <c r="E76" s="33"/>
      <c r="F76" s="33"/>
      <c r="G76" s="33"/>
      <c r="H76" s="6" t="s">
        <v>76</v>
      </c>
    </row>
    <row r="77">
      <c r="A77" s="6" t="s">
        <v>72</v>
      </c>
      <c r="B77" s="6" t="s">
        <v>72</v>
      </c>
      <c r="C77" s="33"/>
      <c r="D77" s="6" t="s">
        <v>75</v>
      </c>
      <c r="E77" s="33"/>
      <c r="F77" s="33"/>
      <c r="G77" s="33"/>
      <c r="H77" s="6" t="s">
        <v>76</v>
      </c>
    </row>
    <row r="78">
      <c r="A78" s="6" t="s">
        <v>72</v>
      </c>
      <c r="B78" s="6" t="s">
        <v>72</v>
      </c>
      <c r="C78" s="33"/>
      <c r="D78" s="6" t="s">
        <v>75</v>
      </c>
      <c r="E78" s="33"/>
      <c r="F78" s="33"/>
      <c r="G78" s="33"/>
      <c r="H78" s="6" t="s">
        <v>76</v>
      </c>
    </row>
    <row r="79">
      <c r="A79" s="6" t="s">
        <v>72</v>
      </c>
      <c r="B79" s="6" t="s">
        <v>72</v>
      </c>
      <c r="C79" s="33"/>
      <c r="D79" s="6" t="s">
        <v>75</v>
      </c>
      <c r="E79" s="33"/>
      <c r="F79" s="33"/>
      <c r="G79" s="33"/>
      <c r="H79" s="6" t="s">
        <v>76</v>
      </c>
    </row>
    <row r="80">
      <c r="A80" s="6" t="s">
        <v>72</v>
      </c>
      <c r="B80" s="6" t="s">
        <v>72</v>
      </c>
      <c r="C80" s="33"/>
      <c r="D80" s="6" t="s">
        <v>75</v>
      </c>
      <c r="E80" s="33"/>
      <c r="F80" s="33"/>
      <c r="G80" s="33"/>
      <c r="H80" s="6" t="s">
        <v>76</v>
      </c>
    </row>
    <row r="81">
      <c r="A81" s="5" t="s">
        <v>72</v>
      </c>
      <c r="B81" s="5" t="s">
        <v>72</v>
      </c>
      <c r="C81" s="41"/>
      <c r="D81" s="5" t="s">
        <v>75</v>
      </c>
      <c r="E81" s="41"/>
      <c r="F81" s="41"/>
      <c r="G81" s="41"/>
      <c r="H81" s="5" t="s">
        <v>76</v>
      </c>
    </row>
    <row r="82">
      <c r="A82" s="5" t="s">
        <v>72</v>
      </c>
      <c r="B82" s="5" t="s">
        <v>72</v>
      </c>
      <c r="C82" s="41"/>
      <c r="D82" s="5" t="s">
        <v>75</v>
      </c>
      <c r="E82" s="41"/>
      <c r="F82" s="41"/>
      <c r="G82" s="41"/>
      <c r="H82" s="5" t="s">
        <v>76</v>
      </c>
    </row>
    <row r="83">
      <c r="A83" s="5" t="s">
        <v>72</v>
      </c>
      <c r="B83" s="5" t="s">
        <v>72</v>
      </c>
      <c r="C83" s="41"/>
      <c r="D83" s="5" t="s">
        <v>75</v>
      </c>
      <c r="E83" s="41"/>
      <c r="F83" s="41"/>
      <c r="G83" s="41"/>
      <c r="H83" s="5" t="s">
        <v>76</v>
      </c>
    </row>
    <row r="84">
      <c r="A84" s="5" t="s">
        <v>72</v>
      </c>
      <c r="B84" s="5" t="s">
        <v>72</v>
      </c>
      <c r="C84" s="41"/>
      <c r="D84" s="5" t="s">
        <v>75</v>
      </c>
      <c r="E84" s="5" t="s">
        <v>101</v>
      </c>
      <c r="F84" s="5" t="s">
        <v>101</v>
      </c>
      <c r="G84" s="5" t="s">
        <v>101</v>
      </c>
      <c r="H84" s="5" t="s">
        <v>76</v>
      </c>
    </row>
    <row r="85">
      <c r="A85" s="33" t="s">
        <v>859</v>
      </c>
      <c r="B85" s="6" t="s">
        <v>60</v>
      </c>
      <c r="C85" s="33"/>
      <c r="D85" s="6" t="s">
        <v>576</v>
      </c>
      <c r="E85" s="33"/>
      <c r="F85" s="33"/>
      <c r="G85" s="33"/>
      <c r="H85" s="6" t="s">
        <v>76</v>
      </c>
    </row>
    <row r="86">
      <c r="A86" s="33" t="s">
        <v>859</v>
      </c>
      <c r="B86" s="6" t="s">
        <v>60</v>
      </c>
      <c r="C86" s="33"/>
      <c r="D86" s="6" t="s">
        <v>576</v>
      </c>
      <c r="E86" s="33"/>
      <c r="F86" s="33"/>
      <c r="G86" s="33"/>
      <c r="H86" s="6" t="s">
        <v>76</v>
      </c>
    </row>
    <row r="87">
      <c r="A87" s="33" t="s">
        <v>859</v>
      </c>
      <c r="B87" s="6" t="s">
        <v>60</v>
      </c>
      <c r="C87" s="33"/>
      <c r="D87" s="6" t="s">
        <v>576</v>
      </c>
      <c r="E87" s="33"/>
      <c r="F87" s="33"/>
      <c r="G87" s="33"/>
      <c r="H87" s="6" t="s">
        <v>76</v>
      </c>
    </row>
    <row r="88">
      <c r="A88" s="41" t="s">
        <v>859</v>
      </c>
      <c r="B88" s="5" t="s">
        <v>60</v>
      </c>
      <c r="C88" s="41"/>
      <c r="D88" s="5" t="s">
        <v>576</v>
      </c>
      <c r="E88" s="41"/>
      <c r="F88" s="41"/>
      <c r="G88" s="41"/>
      <c r="H88" s="5" t="s">
        <v>76</v>
      </c>
    </row>
    <row r="89">
      <c r="A89" s="33" t="s">
        <v>859</v>
      </c>
      <c r="B89" s="6" t="s">
        <v>60</v>
      </c>
      <c r="C89" s="33"/>
      <c r="D89" s="6" t="s">
        <v>576</v>
      </c>
      <c r="E89" s="33"/>
      <c r="F89" s="33"/>
      <c r="G89" s="33"/>
      <c r="H89" s="6" t="s">
        <v>76</v>
      </c>
    </row>
    <row r="90">
      <c r="A90" s="33" t="s">
        <v>859</v>
      </c>
      <c r="B90" s="6" t="s">
        <v>60</v>
      </c>
      <c r="C90" s="33"/>
      <c r="D90" s="6" t="s">
        <v>576</v>
      </c>
      <c r="E90" s="33"/>
      <c r="F90" s="33"/>
      <c r="G90" s="33"/>
      <c r="H90" s="6" t="s">
        <v>76</v>
      </c>
    </row>
    <row r="91">
      <c r="A91" s="33" t="s">
        <v>859</v>
      </c>
      <c r="B91" s="6" t="s">
        <v>60</v>
      </c>
      <c r="C91" s="33"/>
      <c r="D91" s="6" t="s">
        <v>576</v>
      </c>
      <c r="E91" s="33"/>
      <c r="F91" s="33"/>
      <c r="G91" s="33"/>
      <c r="H91" s="6" t="s">
        <v>76</v>
      </c>
    </row>
    <row r="92">
      <c r="A92" s="33" t="s">
        <v>859</v>
      </c>
      <c r="B92" s="6" t="s">
        <v>60</v>
      </c>
      <c r="C92" s="33"/>
      <c r="D92" s="6" t="s">
        <v>576</v>
      </c>
      <c r="E92" s="33"/>
      <c r="F92" s="33"/>
      <c r="G92" s="33"/>
      <c r="H92" s="6" t="s">
        <v>76</v>
      </c>
    </row>
    <row r="93">
      <c r="A93" s="5" t="s">
        <v>76</v>
      </c>
      <c r="B93" s="5" t="s">
        <v>76</v>
      </c>
      <c r="C93" s="41"/>
      <c r="D93" s="5" t="s">
        <v>75</v>
      </c>
      <c r="E93" s="41"/>
      <c r="F93" s="41"/>
      <c r="G93" s="41"/>
      <c r="H93" s="5" t="s">
        <v>76</v>
      </c>
    </row>
    <row r="94">
      <c r="A94" s="5" t="s">
        <v>76</v>
      </c>
      <c r="B94" s="5" t="s">
        <v>76</v>
      </c>
      <c r="C94" s="41"/>
      <c r="D94" s="5" t="s">
        <v>75</v>
      </c>
      <c r="E94" s="41"/>
      <c r="F94" s="41"/>
      <c r="G94" s="41"/>
      <c r="H94" s="5" t="s">
        <v>76</v>
      </c>
    </row>
    <row r="95">
      <c r="A95" s="5" t="s">
        <v>76</v>
      </c>
      <c r="B95" s="5" t="s">
        <v>76</v>
      </c>
      <c r="C95" s="41"/>
      <c r="D95" s="5" t="s">
        <v>75</v>
      </c>
      <c r="E95" s="41"/>
      <c r="F95" s="41"/>
      <c r="G95" s="41"/>
      <c r="H95" s="5" t="s">
        <v>76</v>
      </c>
    </row>
    <row r="96">
      <c r="A96" s="41" t="s">
        <v>74</v>
      </c>
      <c r="B96" s="5" t="s">
        <v>60</v>
      </c>
      <c r="C96" s="41"/>
      <c r="D96" s="5" t="s">
        <v>576</v>
      </c>
      <c r="E96" s="41"/>
      <c r="F96" s="41"/>
      <c r="G96" s="41"/>
      <c r="H96" s="5" t="s">
        <v>60</v>
      </c>
    </row>
    <row r="97">
      <c r="A97" s="33" t="s">
        <v>74</v>
      </c>
      <c r="B97" s="6" t="s">
        <v>60</v>
      </c>
      <c r="C97" s="33"/>
      <c r="D97" s="6" t="s">
        <v>576</v>
      </c>
      <c r="E97" s="33"/>
      <c r="F97" s="33"/>
      <c r="G97" s="33"/>
      <c r="H97" s="6" t="s">
        <v>76</v>
      </c>
    </row>
    <row r="98">
      <c r="A98" s="33" t="s">
        <v>74</v>
      </c>
      <c r="B98" s="6" t="s">
        <v>60</v>
      </c>
      <c r="C98" s="33"/>
      <c r="D98" s="6" t="s">
        <v>576</v>
      </c>
      <c r="E98" s="33"/>
      <c r="F98" s="33"/>
      <c r="G98" s="33"/>
      <c r="H98" s="6" t="s">
        <v>76</v>
      </c>
    </row>
    <row r="99">
      <c r="A99" s="33" t="s">
        <v>74</v>
      </c>
      <c r="B99" s="6" t="s">
        <v>60</v>
      </c>
      <c r="C99" s="33"/>
      <c r="D99" s="6" t="s">
        <v>576</v>
      </c>
      <c r="E99" s="33"/>
      <c r="F99" s="33"/>
      <c r="G99" s="33"/>
      <c r="H99" s="6" t="s">
        <v>76</v>
      </c>
    </row>
    <row r="100">
      <c r="A100" s="6" t="s">
        <v>72</v>
      </c>
      <c r="B100" s="6" t="s">
        <v>72</v>
      </c>
      <c r="C100" s="33" t="s">
        <v>280</v>
      </c>
      <c r="D100" s="6" t="s">
        <v>576</v>
      </c>
      <c r="E100" s="6" t="s">
        <v>101</v>
      </c>
      <c r="F100" s="6" t="s">
        <v>101</v>
      </c>
      <c r="G100" s="6" t="s">
        <v>101</v>
      </c>
      <c r="H100" s="6" t="s">
        <v>76</v>
      </c>
    </row>
    <row r="101">
      <c r="A101" s="33" t="s">
        <v>74</v>
      </c>
      <c r="B101" s="6" t="s">
        <v>72</v>
      </c>
      <c r="C101" s="33"/>
      <c r="D101" s="6" t="s">
        <v>75</v>
      </c>
      <c r="E101" s="33"/>
      <c r="F101" s="33"/>
      <c r="G101" s="33"/>
      <c r="H101" s="6" t="s">
        <v>76</v>
      </c>
    </row>
    <row r="102">
      <c r="A102" s="33" t="s">
        <v>74</v>
      </c>
      <c r="B102" s="6" t="s">
        <v>72</v>
      </c>
      <c r="C102" s="33"/>
      <c r="D102" s="6" t="s">
        <v>75</v>
      </c>
      <c r="E102" s="33"/>
      <c r="F102" s="33"/>
      <c r="G102" s="33"/>
      <c r="H102" s="6" t="s">
        <v>76</v>
      </c>
    </row>
    <row r="103">
      <c r="A103" s="33" t="s">
        <v>74</v>
      </c>
      <c r="B103" s="6" t="s">
        <v>72</v>
      </c>
      <c r="C103" s="33"/>
      <c r="D103" s="6" t="s">
        <v>75</v>
      </c>
      <c r="E103" s="33"/>
      <c r="F103" s="33"/>
      <c r="G103" s="33"/>
      <c r="H103" s="6" t="s">
        <v>76</v>
      </c>
    </row>
    <row r="104">
      <c r="A104" s="33" t="s">
        <v>74</v>
      </c>
      <c r="B104" s="6" t="s">
        <v>72</v>
      </c>
      <c r="C104" s="33"/>
      <c r="D104" s="6" t="s">
        <v>75</v>
      </c>
      <c r="E104" s="33"/>
      <c r="F104" s="33"/>
      <c r="G104" s="33"/>
      <c r="H104" s="6" t="s">
        <v>76</v>
      </c>
    </row>
    <row r="105">
      <c r="A105" s="41" t="s">
        <v>74</v>
      </c>
      <c r="B105" s="5" t="s">
        <v>72</v>
      </c>
      <c r="C105" s="41"/>
      <c r="D105" s="5" t="s">
        <v>75</v>
      </c>
      <c r="E105" s="41"/>
      <c r="F105" s="41"/>
      <c r="G105" s="41"/>
      <c r="H105" s="5" t="s">
        <v>60</v>
      </c>
    </row>
    <row r="106">
      <c r="A106" s="6" t="s">
        <v>76</v>
      </c>
      <c r="B106" s="6" t="s">
        <v>101</v>
      </c>
      <c r="C106" s="33"/>
      <c r="D106" s="6" t="s">
        <v>102</v>
      </c>
      <c r="E106" s="33"/>
      <c r="F106" s="33"/>
      <c r="G106" s="33"/>
      <c r="H106" s="6" t="s">
        <v>76</v>
      </c>
    </row>
    <row r="107">
      <c r="A107" s="6" t="s">
        <v>400</v>
      </c>
      <c r="B107" s="6" t="s">
        <v>76</v>
      </c>
      <c r="C107" s="33"/>
      <c r="D107" s="6" t="s">
        <v>102</v>
      </c>
      <c r="E107" s="33"/>
      <c r="F107" s="33"/>
      <c r="G107" s="33"/>
      <c r="H107" s="6" t="s">
        <v>76</v>
      </c>
    </row>
    <row r="108">
      <c r="A108" s="6" t="s">
        <v>400</v>
      </c>
      <c r="B108" s="6" t="s">
        <v>76</v>
      </c>
      <c r="C108" s="33"/>
      <c r="D108" s="6" t="s">
        <v>102</v>
      </c>
      <c r="E108" s="33"/>
      <c r="F108" s="33"/>
      <c r="G108" s="33"/>
      <c r="H108" s="6" t="s">
        <v>76</v>
      </c>
    </row>
    <row r="109">
      <c r="A109" s="41" t="s">
        <v>119</v>
      </c>
      <c r="B109" s="5" t="s">
        <v>72</v>
      </c>
      <c r="C109" s="41"/>
      <c r="D109" s="5" t="s">
        <v>75</v>
      </c>
      <c r="E109" s="5" t="s">
        <v>101</v>
      </c>
      <c r="F109" s="5" t="s">
        <v>101</v>
      </c>
      <c r="G109" s="5" t="s">
        <v>101</v>
      </c>
      <c r="H109" s="5" t="s">
        <v>60</v>
      </c>
    </row>
    <row r="110">
      <c r="A110" s="6" t="s">
        <v>72</v>
      </c>
      <c r="B110" s="6" t="s">
        <v>60</v>
      </c>
      <c r="C110" s="33"/>
      <c r="D110" s="6" t="s">
        <v>75</v>
      </c>
      <c r="E110" s="33"/>
      <c r="F110" s="33"/>
      <c r="G110" s="33"/>
      <c r="H110" s="6" t="s">
        <v>76</v>
      </c>
    </row>
    <row r="111">
      <c r="A111" s="5" t="s">
        <v>72</v>
      </c>
      <c r="B111" s="5" t="s">
        <v>60</v>
      </c>
      <c r="C111" s="41"/>
      <c r="D111" s="5" t="s">
        <v>75</v>
      </c>
      <c r="E111" s="41"/>
      <c r="F111" s="41"/>
      <c r="G111" s="41"/>
      <c r="H111" s="5" t="s">
        <v>60</v>
      </c>
    </row>
    <row r="112">
      <c r="A112" s="6" t="s">
        <v>72</v>
      </c>
      <c r="B112" s="6" t="s">
        <v>60</v>
      </c>
      <c r="C112" s="33"/>
      <c r="D112" s="6" t="s">
        <v>75</v>
      </c>
      <c r="E112" s="33"/>
      <c r="F112" s="33"/>
      <c r="G112" s="33"/>
      <c r="H112" s="6" t="s">
        <v>76</v>
      </c>
    </row>
    <row r="113">
      <c r="A113" s="6" t="s">
        <v>72</v>
      </c>
      <c r="B113" s="6" t="s">
        <v>60</v>
      </c>
      <c r="C113" s="33"/>
      <c r="D113" s="6" t="s">
        <v>75</v>
      </c>
      <c r="E113" s="33"/>
      <c r="F113" s="33"/>
      <c r="G113" s="33"/>
      <c r="H113" s="6" t="s">
        <v>76</v>
      </c>
    </row>
    <row r="114">
      <c r="A114" s="6" t="s">
        <v>72</v>
      </c>
      <c r="B114" s="6" t="s">
        <v>60</v>
      </c>
      <c r="C114" s="33"/>
      <c r="D114" s="6" t="s">
        <v>75</v>
      </c>
      <c r="E114" s="33"/>
      <c r="F114" s="33"/>
      <c r="G114" s="33"/>
      <c r="H114" s="6" t="s">
        <v>76</v>
      </c>
    </row>
    <row r="115">
      <c r="A115" s="6" t="s">
        <v>72</v>
      </c>
      <c r="B115" s="6" t="s">
        <v>60</v>
      </c>
      <c r="C115" s="33"/>
      <c r="D115" s="6" t="s">
        <v>75</v>
      </c>
      <c r="E115" s="33"/>
      <c r="F115" s="33"/>
      <c r="G115" s="33"/>
      <c r="H115" s="6" t="s">
        <v>76</v>
      </c>
    </row>
    <row r="116">
      <c r="A116" s="6" t="s">
        <v>72</v>
      </c>
      <c r="B116" s="6" t="s">
        <v>60</v>
      </c>
      <c r="C116" s="33"/>
      <c r="D116" s="6" t="s">
        <v>75</v>
      </c>
      <c r="E116" s="33"/>
      <c r="F116" s="33"/>
      <c r="G116" s="33"/>
      <c r="H116" s="6" t="s">
        <v>76</v>
      </c>
    </row>
    <row r="117">
      <c r="A117" s="6" t="s">
        <v>72</v>
      </c>
      <c r="B117" s="6" t="s">
        <v>60</v>
      </c>
      <c r="C117" s="33"/>
      <c r="D117" s="6" t="s">
        <v>75</v>
      </c>
      <c r="E117" s="33"/>
      <c r="F117" s="33"/>
      <c r="G117" s="33"/>
      <c r="H117" s="6" t="s">
        <v>76</v>
      </c>
    </row>
    <row r="118">
      <c r="A118" s="5" t="s">
        <v>72</v>
      </c>
      <c r="B118" s="5" t="s">
        <v>72</v>
      </c>
      <c r="C118" s="41"/>
      <c r="D118" s="5" t="s">
        <v>75</v>
      </c>
      <c r="E118" s="5" t="s">
        <v>101</v>
      </c>
      <c r="F118" s="5" t="s">
        <v>101</v>
      </c>
      <c r="G118" s="5" t="s">
        <v>101</v>
      </c>
      <c r="H118" s="5" t="s">
        <v>60</v>
      </c>
    </row>
    <row r="119">
      <c r="A119" s="5" t="s">
        <v>72</v>
      </c>
      <c r="B119" s="5" t="s">
        <v>72</v>
      </c>
      <c r="C119" s="41"/>
      <c r="D119" s="5" t="s">
        <v>75</v>
      </c>
      <c r="E119" s="5" t="s">
        <v>101</v>
      </c>
      <c r="F119" s="5" t="s">
        <v>101</v>
      </c>
      <c r="G119" s="5" t="s">
        <v>101</v>
      </c>
      <c r="H119" s="5" t="s">
        <v>76</v>
      </c>
    </row>
    <row r="120">
      <c r="A120" s="6" t="s">
        <v>72</v>
      </c>
      <c r="B120" s="6" t="s">
        <v>101</v>
      </c>
      <c r="C120" s="33"/>
      <c r="D120" s="6" t="s">
        <v>75</v>
      </c>
      <c r="E120" s="33"/>
      <c r="F120" s="33"/>
      <c r="G120" s="33"/>
      <c r="H120" s="6" t="s">
        <v>76</v>
      </c>
    </row>
    <row r="121">
      <c r="A121" s="6" t="s">
        <v>72</v>
      </c>
      <c r="B121" s="6" t="s">
        <v>101</v>
      </c>
      <c r="C121" s="33"/>
      <c r="D121" s="6" t="s">
        <v>75</v>
      </c>
      <c r="E121" s="33"/>
      <c r="F121" s="33"/>
      <c r="G121" s="33"/>
      <c r="H121" s="6" t="s">
        <v>76</v>
      </c>
    </row>
    <row r="122">
      <c r="A122" s="6" t="s">
        <v>72</v>
      </c>
      <c r="B122" s="6" t="s">
        <v>101</v>
      </c>
      <c r="C122" s="33"/>
      <c r="D122" s="6" t="s">
        <v>75</v>
      </c>
      <c r="E122" s="33"/>
      <c r="F122" s="33"/>
      <c r="G122" s="33"/>
      <c r="H122" s="6" t="s">
        <v>76</v>
      </c>
    </row>
    <row r="123">
      <c r="A123" s="6" t="s">
        <v>72</v>
      </c>
      <c r="B123" s="6" t="s">
        <v>101</v>
      </c>
      <c r="C123" s="33"/>
      <c r="D123" s="6" t="s">
        <v>75</v>
      </c>
      <c r="E123" s="33"/>
      <c r="F123" s="33"/>
      <c r="G123" s="33"/>
      <c r="H123" s="6" t="s">
        <v>76</v>
      </c>
    </row>
    <row r="124">
      <c r="A124" s="6" t="s">
        <v>72</v>
      </c>
      <c r="B124" s="6" t="s">
        <v>101</v>
      </c>
      <c r="C124" s="33"/>
      <c r="D124" s="6" t="s">
        <v>75</v>
      </c>
      <c r="E124" s="33"/>
      <c r="F124" s="33"/>
      <c r="G124" s="33"/>
      <c r="H124" s="6" t="s">
        <v>76</v>
      </c>
    </row>
    <row r="125">
      <c r="A125" s="6" t="s">
        <v>72</v>
      </c>
      <c r="B125" s="6" t="s">
        <v>101</v>
      </c>
      <c r="C125" s="33"/>
      <c r="D125" s="6" t="s">
        <v>75</v>
      </c>
      <c r="E125" s="33"/>
      <c r="F125" s="33"/>
      <c r="G125" s="33"/>
      <c r="H125" s="6" t="s">
        <v>76</v>
      </c>
    </row>
    <row r="126">
      <c r="A126" s="6" t="s">
        <v>72</v>
      </c>
      <c r="B126" s="6" t="s">
        <v>101</v>
      </c>
      <c r="C126" s="33"/>
      <c r="D126" s="6" t="s">
        <v>75</v>
      </c>
      <c r="E126" s="33"/>
      <c r="F126" s="33"/>
      <c r="G126" s="33"/>
      <c r="H126" s="6" t="s">
        <v>76</v>
      </c>
    </row>
    <row r="127">
      <c r="A127" s="6" t="s">
        <v>72</v>
      </c>
      <c r="B127" s="6" t="s">
        <v>101</v>
      </c>
      <c r="C127" s="33"/>
      <c r="D127" s="6" t="s">
        <v>75</v>
      </c>
      <c r="E127" s="33"/>
      <c r="F127" s="33"/>
      <c r="G127" s="33"/>
      <c r="H127" s="6" t="s">
        <v>76</v>
      </c>
    </row>
    <row r="128">
      <c r="A128" s="6" t="s">
        <v>72</v>
      </c>
      <c r="B128" s="6" t="s">
        <v>101</v>
      </c>
      <c r="C128" s="33"/>
      <c r="D128" s="6" t="s">
        <v>75</v>
      </c>
      <c r="E128" s="33"/>
      <c r="F128" s="33"/>
      <c r="G128" s="33"/>
      <c r="H128" s="6" t="s">
        <v>76</v>
      </c>
    </row>
    <row r="129">
      <c r="A129" s="6" t="s">
        <v>72</v>
      </c>
      <c r="B129" s="6" t="s">
        <v>101</v>
      </c>
      <c r="C129" s="33"/>
      <c r="D129" s="6" t="s">
        <v>75</v>
      </c>
      <c r="E129" s="33"/>
      <c r="F129" s="33"/>
      <c r="G129" s="33"/>
      <c r="H129" s="6" t="s">
        <v>76</v>
      </c>
    </row>
    <row r="130">
      <c r="A130" s="6" t="s">
        <v>72</v>
      </c>
      <c r="B130" s="6" t="s">
        <v>101</v>
      </c>
      <c r="C130" s="33"/>
      <c r="D130" s="6" t="s">
        <v>75</v>
      </c>
      <c r="E130" s="33"/>
      <c r="F130" s="33"/>
      <c r="G130" s="33"/>
      <c r="H130" s="6" t="s">
        <v>76</v>
      </c>
    </row>
    <row r="131">
      <c r="A131" s="6" t="s">
        <v>72</v>
      </c>
      <c r="B131" s="6" t="s">
        <v>101</v>
      </c>
      <c r="C131" s="33"/>
      <c r="D131" s="6" t="s">
        <v>75</v>
      </c>
      <c r="E131" s="33"/>
      <c r="F131" s="33"/>
      <c r="G131" s="33"/>
      <c r="H131" s="6" t="s">
        <v>76</v>
      </c>
    </row>
    <row r="132">
      <c r="A132" s="6" t="s">
        <v>72</v>
      </c>
      <c r="B132" s="6" t="s">
        <v>101</v>
      </c>
      <c r="C132" s="33"/>
      <c r="D132" s="6" t="s">
        <v>75</v>
      </c>
      <c r="E132" s="33"/>
      <c r="F132" s="33"/>
      <c r="G132" s="33"/>
      <c r="H132" s="6" t="s">
        <v>76</v>
      </c>
    </row>
    <row r="133">
      <c r="A133" s="6" t="s">
        <v>72</v>
      </c>
      <c r="B133" s="6" t="s">
        <v>101</v>
      </c>
      <c r="C133" s="33"/>
      <c r="D133" s="6" t="s">
        <v>75</v>
      </c>
      <c r="E133" s="33"/>
      <c r="F133" s="33"/>
      <c r="G133" s="33"/>
      <c r="H133" s="6" t="s">
        <v>76</v>
      </c>
    </row>
    <row r="134">
      <c r="A134" s="6" t="s">
        <v>72</v>
      </c>
      <c r="B134" s="6" t="s">
        <v>101</v>
      </c>
      <c r="C134" s="33"/>
      <c r="D134" s="6" t="s">
        <v>75</v>
      </c>
      <c r="E134" s="33"/>
      <c r="F134" s="33"/>
      <c r="G134" s="33"/>
      <c r="H134" s="6" t="s">
        <v>76</v>
      </c>
    </row>
    <row r="135">
      <c r="A135" s="6" t="s">
        <v>72</v>
      </c>
      <c r="B135" s="6" t="s">
        <v>101</v>
      </c>
      <c r="C135" s="33"/>
      <c r="D135" s="6" t="s">
        <v>75</v>
      </c>
      <c r="E135" s="33"/>
      <c r="F135" s="33"/>
      <c r="G135" s="33"/>
      <c r="H135" s="6" t="s">
        <v>76</v>
      </c>
    </row>
    <row r="136">
      <c r="A136" s="6" t="s">
        <v>72</v>
      </c>
      <c r="B136" s="6" t="s">
        <v>101</v>
      </c>
      <c r="C136" s="33"/>
      <c r="D136" s="6" t="s">
        <v>75</v>
      </c>
      <c r="E136" s="33"/>
      <c r="F136" s="33"/>
      <c r="G136" s="33"/>
      <c r="H136" s="6" t="s">
        <v>76</v>
      </c>
    </row>
    <row r="137">
      <c r="A137" s="6" t="s">
        <v>72</v>
      </c>
      <c r="B137" s="6" t="s">
        <v>101</v>
      </c>
      <c r="C137" s="33"/>
      <c r="D137" s="6" t="s">
        <v>75</v>
      </c>
      <c r="E137" s="33"/>
      <c r="F137" s="33"/>
      <c r="G137" s="33"/>
      <c r="H137" s="6" t="s">
        <v>76</v>
      </c>
    </row>
    <row r="138">
      <c r="A138" s="33" t="s">
        <v>400</v>
      </c>
      <c r="B138" s="6" t="s">
        <v>76</v>
      </c>
      <c r="C138" s="33"/>
      <c r="D138" s="6" t="s">
        <v>102</v>
      </c>
      <c r="E138" s="33"/>
      <c r="F138" s="33"/>
      <c r="G138" s="33"/>
      <c r="H138" s="6" t="s">
        <v>76</v>
      </c>
    </row>
    <row r="139">
      <c r="A139" s="33" t="s">
        <v>400</v>
      </c>
      <c r="B139" s="6" t="s">
        <v>76</v>
      </c>
      <c r="C139" s="33"/>
      <c r="D139" s="6" t="s">
        <v>102</v>
      </c>
      <c r="E139" s="33"/>
      <c r="F139" s="33"/>
      <c r="G139" s="33"/>
      <c r="H139" s="6" t="s">
        <v>76</v>
      </c>
    </row>
    <row r="140">
      <c r="A140" s="33" t="s">
        <v>400</v>
      </c>
      <c r="B140" s="6" t="s">
        <v>76</v>
      </c>
      <c r="C140" s="33"/>
      <c r="D140" s="6" t="s">
        <v>102</v>
      </c>
      <c r="E140" s="33"/>
      <c r="F140" s="33"/>
      <c r="G140" s="33"/>
      <c r="H140" s="6" t="s">
        <v>76</v>
      </c>
    </row>
    <row r="141">
      <c r="A141" s="33" t="s">
        <v>400</v>
      </c>
      <c r="B141" s="6" t="s">
        <v>72</v>
      </c>
      <c r="C141" s="33"/>
      <c r="D141" s="6" t="s">
        <v>576</v>
      </c>
      <c r="E141" s="33"/>
      <c r="F141" s="33"/>
      <c r="G141" s="33"/>
      <c r="H141" s="6" t="s">
        <v>76</v>
      </c>
    </row>
    <row r="142">
      <c r="A142" s="33" t="s">
        <v>400</v>
      </c>
      <c r="B142" s="6" t="s">
        <v>72</v>
      </c>
      <c r="C142" s="33"/>
      <c r="D142" s="6" t="s">
        <v>576</v>
      </c>
      <c r="E142" s="33"/>
      <c r="F142" s="33"/>
      <c r="G142" s="33"/>
      <c r="H142" s="6" t="s">
        <v>76</v>
      </c>
    </row>
    <row r="143">
      <c r="A143" s="33" t="s">
        <v>400</v>
      </c>
      <c r="B143" s="6" t="s">
        <v>72</v>
      </c>
      <c r="C143" s="33"/>
      <c r="D143" s="6" t="s">
        <v>576</v>
      </c>
      <c r="E143" s="33"/>
      <c r="F143" s="33"/>
      <c r="G143" s="33"/>
      <c r="H143" s="6" t="s">
        <v>76</v>
      </c>
    </row>
    <row r="144">
      <c r="A144" s="33" t="s">
        <v>400</v>
      </c>
      <c r="B144" s="6" t="s">
        <v>72</v>
      </c>
      <c r="C144" s="33"/>
      <c r="D144" s="6" t="s">
        <v>576</v>
      </c>
      <c r="E144" s="33"/>
      <c r="F144" s="33"/>
      <c r="G144" s="33"/>
      <c r="H144" s="6" t="s">
        <v>76</v>
      </c>
    </row>
    <row r="145">
      <c r="A145" s="33" t="s">
        <v>400</v>
      </c>
      <c r="B145" s="6" t="s">
        <v>72</v>
      </c>
      <c r="C145" s="33"/>
      <c r="D145" s="6" t="s">
        <v>576</v>
      </c>
      <c r="E145" s="33"/>
      <c r="F145" s="33"/>
      <c r="G145" s="33"/>
      <c r="H145" s="6" t="s">
        <v>76</v>
      </c>
    </row>
    <row r="146">
      <c r="A146" s="33" t="s">
        <v>400</v>
      </c>
      <c r="B146" s="6" t="s">
        <v>72</v>
      </c>
      <c r="C146" s="33"/>
      <c r="D146" s="6" t="s">
        <v>576</v>
      </c>
      <c r="E146" s="33"/>
      <c r="F146" s="33"/>
      <c r="G146" s="33"/>
      <c r="H146" s="6" t="s">
        <v>76</v>
      </c>
    </row>
    <row r="147">
      <c r="A147" s="33" t="s">
        <v>400</v>
      </c>
      <c r="B147" s="6" t="s">
        <v>72</v>
      </c>
      <c r="C147" s="33"/>
      <c r="D147" s="6" t="s">
        <v>576</v>
      </c>
      <c r="E147" s="33"/>
      <c r="F147" s="33"/>
      <c r="G147" s="33"/>
      <c r="H147" s="6" t="s">
        <v>76</v>
      </c>
    </row>
    <row r="148">
      <c r="A148" s="33" t="s">
        <v>400</v>
      </c>
      <c r="B148" s="6" t="s">
        <v>72</v>
      </c>
      <c r="C148" s="33"/>
      <c r="D148" s="6" t="s">
        <v>576</v>
      </c>
      <c r="E148" s="33"/>
      <c r="F148" s="33"/>
      <c r="G148" s="33"/>
      <c r="H148" s="6" t="s">
        <v>76</v>
      </c>
    </row>
    <row r="149">
      <c r="A149" s="41" t="s">
        <v>74</v>
      </c>
      <c r="B149" s="5" t="s">
        <v>72</v>
      </c>
      <c r="C149" s="41"/>
      <c r="D149" s="5" t="s">
        <v>75</v>
      </c>
      <c r="E149" s="41"/>
      <c r="F149" s="41"/>
      <c r="G149" s="41"/>
      <c r="H149" s="5" t="s">
        <v>60</v>
      </c>
    </row>
    <row r="150">
      <c r="A150" s="33" t="s">
        <v>74</v>
      </c>
      <c r="B150" s="6" t="s">
        <v>72</v>
      </c>
      <c r="C150" s="33"/>
      <c r="D150" s="6" t="s">
        <v>75</v>
      </c>
      <c r="E150" s="33"/>
      <c r="F150" s="33"/>
      <c r="G150" s="33"/>
      <c r="H150" s="6" t="s">
        <v>76</v>
      </c>
    </row>
    <row r="151">
      <c r="A151" s="5" t="s">
        <v>72</v>
      </c>
      <c r="B151" s="5" t="s">
        <v>72</v>
      </c>
      <c r="C151" s="41"/>
      <c r="D151" s="5" t="s">
        <v>75</v>
      </c>
      <c r="E151" s="41"/>
      <c r="F151" s="41"/>
      <c r="G151" s="41"/>
      <c r="H151" s="5" t="s">
        <v>76</v>
      </c>
    </row>
    <row r="152">
      <c r="A152" s="5" t="s">
        <v>72</v>
      </c>
      <c r="B152" s="5" t="s">
        <v>72</v>
      </c>
      <c r="C152" s="41"/>
      <c r="D152" s="5" t="s">
        <v>75</v>
      </c>
      <c r="E152" s="41"/>
      <c r="F152" s="41"/>
      <c r="G152" s="41"/>
      <c r="H152" s="5" t="s">
        <v>76</v>
      </c>
    </row>
    <row r="153">
      <c r="A153" s="33" t="s">
        <v>400</v>
      </c>
      <c r="B153" s="6" t="s">
        <v>76</v>
      </c>
      <c r="C153" s="33"/>
      <c r="D153" s="6" t="s">
        <v>75</v>
      </c>
      <c r="E153" s="33"/>
      <c r="F153" s="33"/>
      <c r="G153" s="33"/>
      <c r="H153" s="6" t="s">
        <v>76</v>
      </c>
    </row>
    <row r="154">
      <c r="A154" s="33" t="s">
        <v>400</v>
      </c>
      <c r="B154" s="6" t="s">
        <v>76</v>
      </c>
      <c r="C154" s="33"/>
      <c r="D154" s="6" t="s">
        <v>75</v>
      </c>
      <c r="E154" s="33"/>
      <c r="F154" s="33"/>
      <c r="G154" s="33"/>
      <c r="H154" s="6" t="s">
        <v>76</v>
      </c>
    </row>
    <row r="155">
      <c r="A155" s="33" t="s">
        <v>400</v>
      </c>
      <c r="B155" s="6" t="s">
        <v>76</v>
      </c>
      <c r="C155" s="33"/>
      <c r="D155" s="6" t="s">
        <v>75</v>
      </c>
      <c r="E155" s="33"/>
      <c r="F155" s="33"/>
      <c r="G155" s="33"/>
      <c r="H155" s="6" t="s">
        <v>76</v>
      </c>
    </row>
    <row r="156">
      <c r="A156" s="33" t="s">
        <v>400</v>
      </c>
      <c r="B156" s="6" t="s">
        <v>76</v>
      </c>
      <c r="C156" s="33"/>
      <c r="D156" s="6" t="s">
        <v>75</v>
      </c>
      <c r="E156" s="33"/>
      <c r="F156" s="33"/>
      <c r="G156" s="33"/>
      <c r="H156" s="6" t="s">
        <v>76</v>
      </c>
    </row>
    <row r="157">
      <c r="A157" s="33" t="s">
        <v>400</v>
      </c>
      <c r="B157" s="6" t="s">
        <v>76</v>
      </c>
      <c r="C157" s="33"/>
      <c r="D157" s="6" t="s">
        <v>75</v>
      </c>
      <c r="E157" s="33"/>
      <c r="F157" s="33"/>
      <c r="G157" s="33"/>
      <c r="H157" s="6" t="s">
        <v>76</v>
      </c>
    </row>
    <row r="158">
      <c r="A158" s="33" t="s">
        <v>400</v>
      </c>
      <c r="B158" s="6" t="s">
        <v>76</v>
      </c>
      <c r="C158" s="33"/>
      <c r="D158" s="6" t="s">
        <v>75</v>
      </c>
      <c r="E158" s="33"/>
      <c r="F158" s="33"/>
      <c r="G158" s="33"/>
      <c r="H158" s="6" t="s">
        <v>76</v>
      </c>
    </row>
    <row r="159">
      <c r="A159" s="33" t="s">
        <v>400</v>
      </c>
      <c r="B159" s="5" t="s">
        <v>76</v>
      </c>
      <c r="C159" s="41"/>
      <c r="D159" s="5" t="s">
        <v>75</v>
      </c>
      <c r="E159" s="41"/>
      <c r="F159" s="41"/>
      <c r="G159" s="41"/>
      <c r="H159" s="5" t="s">
        <v>60</v>
      </c>
    </row>
    <row r="160">
      <c r="A160" s="33" t="s">
        <v>400</v>
      </c>
      <c r="B160" s="6" t="s">
        <v>76</v>
      </c>
      <c r="C160" s="33"/>
      <c r="D160" s="6" t="s">
        <v>75</v>
      </c>
      <c r="E160" s="33"/>
      <c r="F160" s="33"/>
      <c r="G160" s="33"/>
      <c r="H160" s="6" t="s">
        <v>76</v>
      </c>
    </row>
    <row r="161">
      <c r="A161" s="33" t="s">
        <v>400</v>
      </c>
      <c r="B161" s="6" t="s">
        <v>76</v>
      </c>
      <c r="C161" s="33"/>
      <c r="D161" s="6" t="s">
        <v>75</v>
      </c>
      <c r="E161" s="33"/>
      <c r="F161" s="33"/>
      <c r="G161" s="33"/>
      <c r="H161" s="6" t="s">
        <v>76</v>
      </c>
    </row>
    <row r="162">
      <c r="A162" s="33" t="s">
        <v>400</v>
      </c>
      <c r="B162" s="6" t="s">
        <v>76</v>
      </c>
      <c r="C162" s="33"/>
      <c r="D162" s="6" t="s">
        <v>75</v>
      </c>
      <c r="E162" s="33"/>
      <c r="F162" s="33"/>
      <c r="G162" s="33"/>
      <c r="H162" s="6" t="s">
        <v>76</v>
      </c>
    </row>
    <row r="163">
      <c r="A163" s="33" t="s">
        <v>400</v>
      </c>
      <c r="B163" s="6" t="s">
        <v>76</v>
      </c>
      <c r="C163" s="33"/>
      <c r="D163" s="6" t="s">
        <v>75</v>
      </c>
      <c r="E163" s="33"/>
      <c r="F163" s="33"/>
      <c r="G163" s="33"/>
      <c r="H163" s="6" t="s">
        <v>76</v>
      </c>
    </row>
    <row r="164">
      <c r="A164" s="33" t="s">
        <v>400</v>
      </c>
      <c r="B164" s="5" t="s">
        <v>76</v>
      </c>
      <c r="C164" s="41"/>
      <c r="D164" s="5" t="s">
        <v>75</v>
      </c>
      <c r="E164" s="41"/>
      <c r="F164" s="41"/>
      <c r="G164" s="41"/>
      <c r="H164" s="5" t="s">
        <v>60</v>
      </c>
    </row>
    <row r="165">
      <c r="A165" s="5" t="s">
        <v>72</v>
      </c>
      <c r="B165" s="6" t="s">
        <v>101</v>
      </c>
      <c r="C165" s="33"/>
      <c r="D165" s="6" t="s">
        <v>102</v>
      </c>
      <c r="E165" s="33"/>
      <c r="F165" s="33"/>
      <c r="G165" s="33"/>
      <c r="H165" s="6" t="s">
        <v>76</v>
      </c>
    </row>
    <row r="166">
      <c r="A166" s="5" t="s">
        <v>72</v>
      </c>
      <c r="B166" s="6" t="s">
        <v>101</v>
      </c>
      <c r="C166" s="33"/>
      <c r="D166" s="6" t="s">
        <v>102</v>
      </c>
      <c r="E166" s="33"/>
      <c r="F166" s="33"/>
      <c r="G166" s="33"/>
      <c r="H166" s="6" t="s">
        <v>76</v>
      </c>
    </row>
    <row r="167">
      <c r="A167" s="33" t="s">
        <v>400</v>
      </c>
      <c r="B167" s="6" t="s">
        <v>72</v>
      </c>
      <c r="C167" s="33"/>
      <c r="D167" s="6" t="s">
        <v>75</v>
      </c>
      <c r="E167" s="33"/>
      <c r="F167" s="33"/>
      <c r="G167" s="33"/>
      <c r="H167" s="6" t="s">
        <v>76</v>
      </c>
    </row>
    <row r="168">
      <c r="A168" s="33" t="s">
        <v>400</v>
      </c>
      <c r="B168" s="6" t="s">
        <v>72</v>
      </c>
      <c r="C168" s="33"/>
      <c r="D168" s="6" t="s">
        <v>75</v>
      </c>
      <c r="E168" s="33"/>
      <c r="F168" s="33"/>
      <c r="G168" s="33"/>
      <c r="H168" s="6" t="s">
        <v>76</v>
      </c>
    </row>
    <row r="169">
      <c r="A169" s="33" t="s">
        <v>400</v>
      </c>
      <c r="B169" s="6" t="s">
        <v>72</v>
      </c>
      <c r="C169" s="33"/>
      <c r="D169" s="6" t="s">
        <v>75</v>
      </c>
      <c r="E169" s="33"/>
      <c r="F169" s="33"/>
      <c r="G169" s="33"/>
      <c r="H169" s="6" t="s">
        <v>76</v>
      </c>
    </row>
    <row r="170">
      <c r="A170" s="33" t="s">
        <v>400</v>
      </c>
      <c r="B170" s="6" t="s">
        <v>72</v>
      </c>
      <c r="C170" s="33"/>
      <c r="D170" s="6" t="s">
        <v>75</v>
      </c>
      <c r="E170" s="33"/>
      <c r="F170" s="33"/>
      <c r="G170" s="33"/>
      <c r="H170" s="6" t="s">
        <v>76</v>
      </c>
    </row>
    <row r="171">
      <c r="A171" s="33" t="s">
        <v>400</v>
      </c>
      <c r="B171" s="6" t="s">
        <v>72</v>
      </c>
      <c r="C171" s="33"/>
      <c r="D171" s="6" t="s">
        <v>75</v>
      </c>
      <c r="E171" s="33"/>
      <c r="F171" s="33"/>
      <c r="G171" s="33"/>
      <c r="H171" s="6" t="s">
        <v>76</v>
      </c>
    </row>
    <row r="172">
      <c r="A172" s="33" t="s">
        <v>400</v>
      </c>
      <c r="B172" s="6" t="s">
        <v>72</v>
      </c>
      <c r="C172" s="33"/>
      <c r="D172" s="6" t="s">
        <v>75</v>
      </c>
      <c r="E172" s="33"/>
      <c r="F172" s="33"/>
      <c r="G172" s="33"/>
      <c r="H172" s="6" t="s">
        <v>76</v>
      </c>
    </row>
    <row r="173">
      <c r="A173" s="33" t="s">
        <v>400</v>
      </c>
      <c r="B173" s="6" t="s">
        <v>72</v>
      </c>
      <c r="C173" s="33"/>
      <c r="D173" s="6" t="s">
        <v>75</v>
      </c>
      <c r="E173" s="33"/>
      <c r="F173" s="33"/>
      <c r="G173" s="33"/>
      <c r="H173" s="6" t="s">
        <v>76</v>
      </c>
    </row>
    <row r="174">
      <c r="A174" s="33" t="s">
        <v>400</v>
      </c>
      <c r="B174" s="5" t="s">
        <v>72</v>
      </c>
      <c r="C174" s="41"/>
      <c r="D174" s="5" t="s">
        <v>75</v>
      </c>
      <c r="E174" s="41"/>
      <c r="F174" s="41"/>
      <c r="G174" s="41"/>
      <c r="H174" s="5" t="s">
        <v>60</v>
      </c>
    </row>
    <row r="175">
      <c r="A175" s="33" t="s">
        <v>400</v>
      </c>
      <c r="B175" s="6" t="s">
        <v>72</v>
      </c>
      <c r="C175" s="33"/>
      <c r="D175" s="6" t="s">
        <v>75</v>
      </c>
      <c r="E175" s="33"/>
      <c r="F175" s="33"/>
      <c r="G175" s="33"/>
      <c r="H175" s="6" t="s">
        <v>76</v>
      </c>
    </row>
    <row r="176">
      <c r="A176" s="33" t="s">
        <v>400</v>
      </c>
      <c r="B176" s="6" t="s">
        <v>72</v>
      </c>
      <c r="C176" s="33"/>
      <c r="D176" s="6" t="s">
        <v>102</v>
      </c>
      <c r="E176" s="33"/>
      <c r="F176" s="33"/>
      <c r="G176" s="33"/>
      <c r="H176" s="6" t="s">
        <v>76</v>
      </c>
    </row>
    <row r="177">
      <c r="A177" s="33" t="s">
        <v>400</v>
      </c>
      <c r="B177" s="6" t="s">
        <v>72</v>
      </c>
      <c r="C177" s="33"/>
      <c r="D177" s="6" t="s">
        <v>102</v>
      </c>
      <c r="E177" s="33"/>
      <c r="F177" s="33"/>
      <c r="G177" s="33"/>
      <c r="H177" s="6" t="s">
        <v>76</v>
      </c>
    </row>
    <row r="178">
      <c r="A178" s="33" t="s">
        <v>400</v>
      </c>
      <c r="B178" s="6" t="s">
        <v>72</v>
      </c>
      <c r="C178" s="33"/>
      <c r="D178" s="6" t="s">
        <v>102</v>
      </c>
      <c r="E178" s="33"/>
      <c r="F178" s="33"/>
      <c r="G178" s="33"/>
      <c r="H178" s="6" t="s">
        <v>76</v>
      </c>
    </row>
    <row r="179">
      <c r="A179" s="33" t="s">
        <v>400</v>
      </c>
      <c r="B179" s="6" t="s">
        <v>72</v>
      </c>
      <c r="C179" s="33"/>
      <c r="D179" s="6" t="s">
        <v>102</v>
      </c>
      <c r="E179" s="33"/>
      <c r="F179" s="33"/>
      <c r="G179" s="33"/>
      <c r="H179" s="6" t="s">
        <v>76</v>
      </c>
    </row>
    <row r="180">
      <c r="A180" s="33" t="s">
        <v>400</v>
      </c>
      <c r="B180" s="6" t="s">
        <v>72</v>
      </c>
      <c r="C180" s="33"/>
      <c r="D180" s="6" t="s">
        <v>102</v>
      </c>
      <c r="E180" s="33"/>
      <c r="F180" s="33"/>
      <c r="G180" s="33"/>
      <c r="H180" s="6" t="s">
        <v>76</v>
      </c>
    </row>
    <row r="181">
      <c r="A181" s="33" t="s">
        <v>400</v>
      </c>
      <c r="B181" s="6" t="s">
        <v>72</v>
      </c>
      <c r="C181" s="33"/>
      <c r="D181" s="6" t="s">
        <v>102</v>
      </c>
      <c r="E181" s="33"/>
      <c r="F181" s="33"/>
      <c r="G181" s="33"/>
      <c r="H181" s="6" t="s">
        <v>76</v>
      </c>
    </row>
    <row r="182">
      <c r="A182" s="33" t="s">
        <v>400</v>
      </c>
      <c r="B182" s="6" t="s">
        <v>72</v>
      </c>
      <c r="C182" s="33"/>
      <c r="D182" s="6" t="s">
        <v>102</v>
      </c>
      <c r="E182" s="33"/>
      <c r="F182" s="33"/>
      <c r="G182" s="33"/>
      <c r="H182" s="6" t="s">
        <v>76</v>
      </c>
    </row>
    <row r="183">
      <c r="A183" s="33" t="s">
        <v>400</v>
      </c>
      <c r="B183" s="6" t="s">
        <v>72</v>
      </c>
      <c r="C183" s="33"/>
      <c r="D183" s="6" t="s">
        <v>102</v>
      </c>
      <c r="E183" s="33"/>
      <c r="F183" s="33"/>
      <c r="G183" s="33"/>
      <c r="H183" s="6" t="s">
        <v>76</v>
      </c>
    </row>
    <row r="184">
      <c r="A184" s="33" t="s">
        <v>400</v>
      </c>
      <c r="B184" s="6" t="s">
        <v>72</v>
      </c>
      <c r="C184" s="33"/>
      <c r="D184" s="6" t="s">
        <v>102</v>
      </c>
      <c r="E184" s="33"/>
      <c r="F184" s="33"/>
      <c r="G184" s="33"/>
      <c r="H184" s="6" t="s">
        <v>76</v>
      </c>
    </row>
    <row r="185">
      <c r="A185" s="6" t="s">
        <v>72</v>
      </c>
      <c r="B185" s="6" t="s">
        <v>72</v>
      </c>
      <c r="C185" s="33"/>
      <c r="D185" s="6" t="s">
        <v>576</v>
      </c>
      <c r="E185" s="33"/>
      <c r="F185" s="33"/>
      <c r="G185" s="33"/>
      <c r="H185" s="6" t="s">
        <v>76</v>
      </c>
    </row>
    <row r="186">
      <c r="A186" s="33" t="s">
        <v>400</v>
      </c>
      <c r="B186" s="6" t="s">
        <v>76</v>
      </c>
      <c r="C186" s="33"/>
      <c r="D186" s="6" t="s">
        <v>102</v>
      </c>
      <c r="E186" s="33"/>
      <c r="F186" s="33"/>
      <c r="G186" s="33"/>
      <c r="H186" s="6" t="s">
        <v>76</v>
      </c>
    </row>
    <row r="187">
      <c r="A187" s="33" t="s">
        <v>400</v>
      </c>
      <c r="B187" s="6" t="s">
        <v>76</v>
      </c>
      <c r="C187" s="33"/>
      <c r="D187" s="6" t="s">
        <v>102</v>
      </c>
      <c r="E187" s="33"/>
      <c r="F187" s="33"/>
      <c r="G187" s="33"/>
      <c r="H187" s="6" t="s">
        <v>76</v>
      </c>
    </row>
    <row r="188">
      <c r="A188" s="33" t="s">
        <v>400</v>
      </c>
      <c r="B188" s="6" t="s">
        <v>76</v>
      </c>
      <c r="C188" s="33"/>
      <c r="D188" s="6" t="s">
        <v>102</v>
      </c>
      <c r="E188" s="33"/>
      <c r="F188" s="33"/>
      <c r="G188" s="33"/>
      <c r="H188" s="6" t="s">
        <v>76</v>
      </c>
    </row>
    <row r="189">
      <c r="A189" s="6" t="s">
        <v>72</v>
      </c>
      <c r="B189" s="6" t="s">
        <v>72</v>
      </c>
      <c r="C189" s="33"/>
      <c r="D189" s="6" t="s">
        <v>102</v>
      </c>
      <c r="E189" s="33"/>
      <c r="F189" s="33"/>
      <c r="G189" s="33"/>
      <c r="H189" s="6" t="s">
        <v>76</v>
      </c>
    </row>
    <row r="190">
      <c r="A190" s="6" t="s">
        <v>72</v>
      </c>
      <c r="B190" s="6" t="s">
        <v>72</v>
      </c>
      <c r="C190" s="33"/>
      <c r="D190" s="6" t="s">
        <v>102</v>
      </c>
      <c r="E190" s="33"/>
      <c r="F190" s="33"/>
      <c r="G190" s="33"/>
      <c r="H190" s="6" t="s">
        <v>76</v>
      </c>
    </row>
    <row r="191">
      <c r="A191" s="33" t="s">
        <v>400</v>
      </c>
      <c r="B191" s="6" t="s">
        <v>72</v>
      </c>
      <c r="C191" s="33"/>
      <c r="D191" s="6" t="s">
        <v>75</v>
      </c>
      <c r="E191" s="33"/>
      <c r="F191" s="33"/>
      <c r="G191" s="33"/>
      <c r="H191" s="6" t="s">
        <v>76</v>
      </c>
    </row>
    <row r="192">
      <c r="A192" s="33" t="s">
        <v>74</v>
      </c>
      <c r="B192" s="6" t="s">
        <v>72</v>
      </c>
      <c r="C192" s="33"/>
      <c r="D192" s="6" t="s">
        <v>75</v>
      </c>
      <c r="E192" s="33"/>
      <c r="F192" s="33"/>
      <c r="G192" s="33"/>
      <c r="H192" s="6" t="s">
        <v>76</v>
      </c>
    </row>
    <row r="193">
      <c r="A193" s="33" t="s">
        <v>74</v>
      </c>
      <c r="B193" s="6" t="s">
        <v>72</v>
      </c>
      <c r="C193" s="33"/>
      <c r="D193" s="6" t="s">
        <v>75</v>
      </c>
      <c r="E193" s="33"/>
      <c r="F193" s="33"/>
      <c r="G193" s="33"/>
      <c r="H193" s="6" t="s">
        <v>76</v>
      </c>
    </row>
    <row r="194">
      <c r="A194" s="33" t="s">
        <v>74</v>
      </c>
      <c r="B194" s="6" t="s">
        <v>72</v>
      </c>
      <c r="C194" s="33"/>
      <c r="D194" s="6" t="s">
        <v>75</v>
      </c>
      <c r="E194" s="33"/>
      <c r="F194" s="33"/>
      <c r="G194" s="33"/>
      <c r="H194" s="6" t="s">
        <v>76</v>
      </c>
    </row>
    <row r="195">
      <c r="A195" s="33" t="s">
        <v>74</v>
      </c>
      <c r="B195" s="6" t="s">
        <v>72</v>
      </c>
      <c r="C195" s="33"/>
      <c r="D195" s="6" t="s">
        <v>75</v>
      </c>
      <c r="E195" s="33"/>
      <c r="F195" s="33"/>
      <c r="G195" s="33"/>
      <c r="H195" s="6" t="s">
        <v>76</v>
      </c>
    </row>
    <row r="196">
      <c r="A196" s="33" t="s">
        <v>74</v>
      </c>
      <c r="B196" s="6" t="s">
        <v>72</v>
      </c>
      <c r="C196" s="33"/>
      <c r="D196" s="6" t="s">
        <v>75</v>
      </c>
      <c r="E196" s="33"/>
      <c r="F196" s="33"/>
      <c r="G196" s="33"/>
      <c r="H196" s="6" t="s">
        <v>76</v>
      </c>
    </row>
    <row r="197">
      <c r="A197" s="33" t="s">
        <v>74</v>
      </c>
      <c r="B197" s="6" t="s">
        <v>72</v>
      </c>
      <c r="C197" s="33"/>
      <c r="D197" s="6" t="s">
        <v>75</v>
      </c>
      <c r="E197" s="33"/>
      <c r="F197" s="33"/>
      <c r="G197" s="33"/>
      <c r="H197" s="6" t="s">
        <v>76</v>
      </c>
    </row>
    <row r="198">
      <c r="A198" s="33" t="s">
        <v>74</v>
      </c>
      <c r="B198" s="6" t="s">
        <v>72</v>
      </c>
      <c r="C198" s="33"/>
      <c r="D198" s="6" t="s">
        <v>75</v>
      </c>
      <c r="E198" s="33"/>
      <c r="F198" s="33"/>
      <c r="G198" s="33"/>
      <c r="H198" s="6" t="s">
        <v>60</v>
      </c>
    </row>
    <row r="199">
      <c r="A199" s="33" t="s">
        <v>74</v>
      </c>
      <c r="B199" s="6" t="s">
        <v>72</v>
      </c>
      <c r="C199" s="33"/>
      <c r="D199" s="6" t="s">
        <v>75</v>
      </c>
      <c r="E199" s="33"/>
      <c r="F199" s="33"/>
      <c r="G199" s="33"/>
      <c r="H199" s="6" t="s">
        <v>60</v>
      </c>
    </row>
    <row r="200">
      <c r="A200" s="33" t="s">
        <v>74</v>
      </c>
      <c r="B200" s="6" t="s">
        <v>72</v>
      </c>
      <c r="C200" s="33"/>
      <c r="D200" s="6" t="s">
        <v>75</v>
      </c>
      <c r="E200" s="33"/>
      <c r="F200" s="33"/>
      <c r="G200" s="33"/>
      <c r="H200" s="6" t="s">
        <v>60</v>
      </c>
    </row>
    <row r="201">
      <c r="A201" s="33" t="s">
        <v>74</v>
      </c>
      <c r="B201" s="6" t="s">
        <v>72</v>
      </c>
      <c r="C201" s="33"/>
      <c r="D201" s="6" t="s">
        <v>75</v>
      </c>
      <c r="E201" s="33"/>
      <c r="F201" s="33"/>
      <c r="G201" s="33"/>
      <c r="H201" s="6" t="s">
        <v>60</v>
      </c>
    </row>
    <row r="202">
      <c r="A202" s="33" t="s">
        <v>74</v>
      </c>
      <c r="B202" s="6" t="s">
        <v>72</v>
      </c>
      <c r="C202" s="33"/>
      <c r="D202" s="6" t="s">
        <v>75</v>
      </c>
      <c r="E202" s="33"/>
      <c r="F202" s="33"/>
      <c r="G202" s="33"/>
      <c r="H202" s="6" t="s">
        <v>60</v>
      </c>
    </row>
    <row r="203">
      <c r="A203" s="33" t="s">
        <v>74</v>
      </c>
      <c r="B203" s="6" t="s">
        <v>72</v>
      </c>
      <c r="C203" s="33"/>
      <c r="D203" s="6" t="s">
        <v>75</v>
      </c>
      <c r="E203" s="33"/>
      <c r="F203" s="33"/>
      <c r="G203" s="33"/>
      <c r="H203" s="6" t="s">
        <v>60</v>
      </c>
    </row>
    <row r="204">
      <c r="A204" s="33" t="s">
        <v>74</v>
      </c>
      <c r="B204" s="6" t="s">
        <v>72</v>
      </c>
      <c r="C204" s="33"/>
      <c r="D204" s="6" t="s">
        <v>75</v>
      </c>
      <c r="E204" s="33"/>
      <c r="F204" s="33"/>
      <c r="G204" s="33"/>
      <c r="H204" s="6" t="s">
        <v>76</v>
      </c>
    </row>
    <row r="205">
      <c r="A205" s="33" t="s">
        <v>74</v>
      </c>
      <c r="B205" s="6" t="s">
        <v>72</v>
      </c>
      <c r="C205" s="33"/>
      <c r="D205" s="6" t="s">
        <v>75</v>
      </c>
      <c r="E205" s="33"/>
      <c r="F205" s="33"/>
      <c r="G205" s="33"/>
      <c r="H205" s="6" t="s">
        <v>76</v>
      </c>
    </row>
    <row r="206">
      <c r="A206" s="33" t="s">
        <v>74</v>
      </c>
      <c r="B206" s="6" t="s">
        <v>72</v>
      </c>
      <c r="C206" s="33"/>
      <c r="D206" s="6" t="s">
        <v>75</v>
      </c>
      <c r="E206" s="33"/>
      <c r="F206" s="33"/>
      <c r="G206" s="33"/>
      <c r="H206" s="6" t="s">
        <v>76</v>
      </c>
    </row>
    <row r="207">
      <c r="A207" s="33" t="s">
        <v>74</v>
      </c>
      <c r="B207" s="6" t="s">
        <v>72</v>
      </c>
      <c r="C207" s="33"/>
      <c r="D207" s="6" t="s">
        <v>75</v>
      </c>
      <c r="E207" s="33"/>
      <c r="F207" s="33"/>
      <c r="G207" s="33"/>
      <c r="H207" s="6" t="s">
        <v>76</v>
      </c>
    </row>
    <row r="208">
      <c r="A208" s="33" t="s">
        <v>74</v>
      </c>
      <c r="B208" s="6" t="s">
        <v>72</v>
      </c>
      <c r="C208" s="33"/>
      <c r="D208" s="6" t="s">
        <v>75</v>
      </c>
      <c r="E208" s="33"/>
      <c r="F208" s="33"/>
      <c r="G208" s="33"/>
      <c r="H208" s="6" t="s">
        <v>76</v>
      </c>
    </row>
    <row r="209">
      <c r="A209" s="33" t="s">
        <v>74</v>
      </c>
      <c r="B209" s="6" t="s">
        <v>72</v>
      </c>
      <c r="C209" s="33"/>
      <c r="D209" s="6" t="s">
        <v>75</v>
      </c>
      <c r="E209" s="33"/>
      <c r="F209" s="33"/>
      <c r="G209" s="33"/>
      <c r="H209" s="6" t="s">
        <v>76</v>
      </c>
    </row>
    <row r="210">
      <c r="A210" s="41" t="s">
        <v>74</v>
      </c>
      <c r="B210" s="5" t="s">
        <v>72</v>
      </c>
      <c r="C210" s="41"/>
      <c r="D210" s="5" t="s">
        <v>75</v>
      </c>
      <c r="E210" s="41"/>
      <c r="F210" s="41"/>
      <c r="G210" s="41"/>
      <c r="H210" s="5" t="s">
        <v>76</v>
      </c>
    </row>
    <row r="211">
      <c r="A211" s="33" t="s">
        <v>400</v>
      </c>
      <c r="B211" s="5" t="s">
        <v>72</v>
      </c>
      <c r="C211" s="41"/>
      <c r="D211" s="5" t="s">
        <v>75</v>
      </c>
      <c r="E211" s="41"/>
      <c r="F211" s="41"/>
      <c r="G211" s="41"/>
      <c r="H211" s="5" t="s">
        <v>60</v>
      </c>
    </row>
    <row r="212">
      <c r="A212" s="33" t="s">
        <v>400</v>
      </c>
      <c r="B212" s="6" t="s">
        <v>72</v>
      </c>
      <c r="C212" s="33"/>
      <c r="D212" s="6" t="s">
        <v>75</v>
      </c>
      <c r="E212" s="33"/>
      <c r="F212" s="33"/>
      <c r="G212" s="33"/>
      <c r="H212" s="6" t="s">
        <v>76</v>
      </c>
    </row>
    <row r="213">
      <c r="A213" s="33" t="s">
        <v>400</v>
      </c>
      <c r="B213" s="6" t="s">
        <v>72</v>
      </c>
      <c r="C213" s="33"/>
      <c r="D213" s="6" t="s">
        <v>75</v>
      </c>
      <c r="E213" s="33"/>
      <c r="F213" s="33"/>
      <c r="G213" s="33"/>
      <c r="H213" s="6" t="s">
        <v>76</v>
      </c>
    </row>
    <row r="214">
      <c r="A214" s="33" t="s">
        <v>400</v>
      </c>
      <c r="B214" s="6" t="s">
        <v>72</v>
      </c>
      <c r="C214" s="33"/>
      <c r="D214" s="6" t="s">
        <v>75</v>
      </c>
      <c r="E214" s="33"/>
      <c r="F214" s="33"/>
      <c r="G214" s="33"/>
      <c r="H214" s="6" t="s">
        <v>76</v>
      </c>
    </row>
    <row r="215">
      <c r="A215" s="33" t="s">
        <v>74</v>
      </c>
      <c r="B215" s="6" t="s">
        <v>72</v>
      </c>
      <c r="C215" s="33"/>
      <c r="D215" s="6" t="s">
        <v>75</v>
      </c>
      <c r="E215" s="33"/>
      <c r="F215" s="33"/>
      <c r="G215" s="33"/>
      <c r="H215" s="6" t="s">
        <v>76</v>
      </c>
    </row>
    <row r="216">
      <c r="A216" s="33" t="s">
        <v>74</v>
      </c>
      <c r="B216" s="6" t="s">
        <v>72</v>
      </c>
      <c r="C216" s="33"/>
      <c r="D216" s="6" t="s">
        <v>75</v>
      </c>
      <c r="E216" s="33"/>
      <c r="F216" s="33"/>
      <c r="G216" s="33"/>
      <c r="H216" s="6" t="s">
        <v>76</v>
      </c>
    </row>
    <row r="217">
      <c r="A217" s="33" t="s">
        <v>74</v>
      </c>
      <c r="B217" s="6" t="s">
        <v>72</v>
      </c>
      <c r="C217" s="33"/>
      <c r="D217" s="6" t="s">
        <v>75</v>
      </c>
      <c r="E217" s="33"/>
      <c r="F217" s="33"/>
      <c r="G217" s="33"/>
      <c r="H217" s="6" t="s">
        <v>76</v>
      </c>
    </row>
    <row r="218">
      <c r="A218" s="33" t="s">
        <v>74</v>
      </c>
      <c r="B218" s="6" t="s">
        <v>72</v>
      </c>
      <c r="C218" s="33"/>
      <c r="D218" s="6" t="s">
        <v>75</v>
      </c>
      <c r="E218" s="33"/>
      <c r="F218" s="33"/>
      <c r="G218" s="33"/>
      <c r="H218" s="6" t="s">
        <v>76</v>
      </c>
    </row>
    <row r="219">
      <c r="A219" s="41" t="s">
        <v>74</v>
      </c>
      <c r="B219" s="5" t="s">
        <v>72</v>
      </c>
      <c r="C219" s="41"/>
      <c r="D219" s="5" t="s">
        <v>75</v>
      </c>
      <c r="E219" s="41"/>
      <c r="F219" s="41"/>
      <c r="G219" s="41"/>
      <c r="H219" s="5" t="s">
        <v>60</v>
      </c>
    </row>
    <row r="220">
      <c r="A220" s="5" t="s">
        <v>72</v>
      </c>
      <c r="B220" s="6" t="s">
        <v>101</v>
      </c>
      <c r="C220" s="33"/>
      <c r="D220" s="6" t="s">
        <v>102</v>
      </c>
      <c r="E220" s="33"/>
      <c r="F220" s="33"/>
      <c r="G220" s="33"/>
      <c r="H220" s="6" t="s">
        <v>76</v>
      </c>
    </row>
    <row r="221">
      <c r="A221" s="5" t="s">
        <v>72</v>
      </c>
      <c r="B221" s="6" t="s">
        <v>101</v>
      </c>
      <c r="C221" s="33"/>
      <c r="D221" s="6" t="s">
        <v>102</v>
      </c>
      <c r="E221" s="33"/>
      <c r="F221" s="33"/>
      <c r="G221" s="33"/>
      <c r="H221" s="6" t="s">
        <v>76</v>
      </c>
    </row>
    <row r="222">
      <c r="A222" s="33" t="s">
        <v>238</v>
      </c>
      <c r="B222" s="6" t="s">
        <v>76</v>
      </c>
      <c r="C222" s="33"/>
      <c r="D222" s="6" t="s">
        <v>102</v>
      </c>
      <c r="E222" s="33"/>
      <c r="F222" s="33"/>
      <c r="G222" s="33"/>
      <c r="H222" s="6" t="s">
        <v>76</v>
      </c>
    </row>
    <row r="223">
      <c r="A223" s="33" t="s">
        <v>238</v>
      </c>
      <c r="B223" s="6" t="s">
        <v>76</v>
      </c>
      <c r="C223" s="33"/>
      <c r="D223" s="6" t="s">
        <v>102</v>
      </c>
      <c r="E223" s="33"/>
      <c r="F223" s="33"/>
      <c r="G223" s="33"/>
      <c r="H223" s="6" t="s">
        <v>76</v>
      </c>
    </row>
    <row r="224">
      <c r="A224" s="33" t="s">
        <v>238</v>
      </c>
      <c r="B224" s="6" t="s">
        <v>76</v>
      </c>
      <c r="C224" s="33"/>
      <c r="D224" s="6" t="s">
        <v>102</v>
      </c>
      <c r="E224" s="33"/>
      <c r="F224" s="33"/>
      <c r="G224" s="33"/>
      <c r="H224" s="6" t="s">
        <v>76</v>
      </c>
    </row>
    <row r="225">
      <c r="A225" s="33" t="s">
        <v>238</v>
      </c>
      <c r="B225" s="6" t="s">
        <v>76</v>
      </c>
      <c r="C225" s="33"/>
      <c r="D225" s="6" t="s">
        <v>102</v>
      </c>
      <c r="E225" s="33"/>
      <c r="F225" s="33"/>
      <c r="G225" s="33"/>
      <c r="H225" s="6" t="s">
        <v>76</v>
      </c>
    </row>
    <row r="226">
      <c r="A226" s="33" t="s">
        <v>238</v>
      </c>
      <c r="B226" s="6" t="s">
        <v>76</v>
      </c>
      <c r="C226" s="33"/>
      <c r="D226" s="6" t="s">
        <v>102</v>
      </c>
      <c r="E226" s="33"/>
      <c r="F226" s="33"/>
      <c r="G226" s="33"/>
      <c r="H226" s="6" t="s">
        <v>76</v>
      </c>
    </row>
    <row r="227">
      <c r="A227" s="33" t="s">
        <v>238</v>
      </c>
      <c r="B227" s="6" t="s">
        <v>76</v>
      </c>
      <c r="C227" s="33"/>
      <c r="D227" s="6" t="s">
        <v>102</v>
      </c>
      <c r="E227" s="33"/>
      <c r="F227" s="33"/>
      <c r="G227" s="33"/>
      <c r="H227" s="6" t="s">
        <v>76</v>
      </c>
    </row>
    <row r="228">
      <c r="A228" s="33" t="s">
        <v>238</v>
      </c>
      <c r="B228" s="6" t="s">
        <v>76</v>
      </c>
      <c r="C228" s="33"/>
      <c r="D228" s="6" t="s">
        <v>102</v>
      </c>
      <c r="E228" s="33"/>
      <c r="F228" s="33"/>
      <c r="G228" s="33"/>
      <c r="H228" s="6" t="s">
        <v>76</v>
      </c>
    </row>
    <row r="229">
      <c r="A229" s="33" t="s">
        <v>238</v>
      </c>
      <c r="B229" s="6" t="s">
        <v>76</v>
      </c>
      <c r="C229" s="33"/>
      <c r="D229" s="6" t="s">
        <v>102</v>
      </c>
      <c r="E229" s="33"/>
      <c r="F229" s="33"/>
      <c r="G229" s="33"/>
      <c r="H229" s="6" t="s">
        <v>76</v>
      </c>
    </row>
    <row r="230">
      <c r="A230" s="41" t="s">
        <v>74</v>
      </c>
      <c r="B230" s="5" t="s">
        <v>72</v>
      </c>
      <c r="C230" s="41"/>
      <c r="D230" s="5" t="s">
        <v>102</v>
      </c>
      <c r="E230" s="41"/>
      <c r="F230" s="41"/>
      <c r="G230" s="41"/>
      <c r="H230" s="5" t="s">
        <v>60</v>
      </c>
    </row>
    <row r="231">
      <c r="A231" s="5" t="s">
        <v>72</v>
      </c>
      <c r="B231" s="5" t="s">
        <v>72</v>
      </c>
      <c r="C231" s="41"/>
      <c r="D231" s="5" t="s">
        <v>102</v>
      </c>
      <c r="E231" s="41"/>
      <c r="F231" s="41"/>
      <c r="G231" s="41"/>
      <c r="H231" s="6" t="s">
        <v>76</v>
      </c>
    </row>
    <row r="232">
      <c r="A232" s="33" t="s">
        <v>400</v>
      </c>
      <c r="B232" s="5" t="s">
        <v>72</v>
      </c>
      <c r="C232" s="41"/>
      <c r="D232" s="5" t="s">
        <v>102</v>
      </c>
      <c r="E232" s="41"/>
      <c r="F232" s="41"/>
      <c r="G232" s="41"/>
      <c r="H232" s="5" t="s">
        <v>60</v>
      </c>
    </row>
    <row r="233">
      <c r="A233" s="33" t="s">
        <v>400</v>
      </c>
      <c r="B233" s="6" t="s">
        <v>72</v>
      </c>
      <c r="C233" s="33"/>
      <c r="D233" s="6" t="s">
        <v>102</v>
      </c>
      <c r="E233" s="33"/>
      <c r="F233" s="33"/>
      <c r="G233" s="33"/>
      <c r="H233" s="6" t="s">
        <v>76</v>
      </c>
    </row>
    <row r="234">
      <c r="A234" s="33" t="s">
        <v>400</v>
      </c>
      <c r="B234" s="6" t="s">
        <v>72</v>
      </c>
      <c r="C234" s="33"/>
      <c r="D234" s="6" t="s">
        <v>102</v>
      </c>
      <c r="E234" s="33"/>
      <c r="F234" s="33"/>
      <c r="G234" s="33"/>
      <c r="H234" s="6" t="s">
        <v>76</v>
      </c>
    </row>
    <row r="235">
      <c r="A235" s="33" t="s">
        <v>400</v>
      </c>
      <c r="B235" s="6" t="s">
        <v>72</v>
      </c>
      <c r="C235" s="33"/>
      <c r="D235" s="6" t="s">
        <v>102</v>
      </c>
      <c r="E235" s="33"/>
      <c r="F235" s="33"/>
      <c r="G235" s="33"/>
      <c r="H235" s="6" t="s">
        <v>76</v>
      </c>
    </row>
    <row r="236">
      <c r="A236" s="41" t="s">
        <v>238</v>
      </c>
      <c r="B236" s="5" t="s">
        <v>76</v>
      </c>
      <c r="C236" s="41"/>
      <c r="D236" s="5" t="s">
        <v>75</v>
      </c>
      <c r="E236" s="41"/>
      <c r="F236" s="41"/>
      <c r="G236" s="41"/>
      <c r="H236" s="5" t="s">
        <v>60</v>
      </c>
    </row>
    <row r="237">
      <c r="A237" s="33" t="s">
        <v>238</v>
      </c>
      <c r="B237" s="6" t="s">
        <v>76</v>
      </c>
      <c r="C237" s="33"/>
      <c r="D237" s="6" t="s">
        <v>75</v>
      </c>
      <c r="E237" s="33"/>
      <c r="F237" s="33"/>
      <c r="G237" s="33"/>
      <c r="H237" s="6" t="s">
        <v>76</v>
      </c>
    </row>
    <row r="238">
      <c r="A238" s="33" t="s">
        <v>238</v>
      </c>
      <c r="B238" s="6" t="s">
        <v>76</v>
      </c>
      <c r="C238" s="33"/>
      <c r="D238" s="6" t="s">
        <v>75</v>
      </c>
      <c r="E238" s="33"/>
      <c r="F238" s="33"/>
      <c r="G238" s="33"/>
      <c r="H238" s="6" t="s">
        <v>76</v>
      </c>
    </row>
    <row r="239">
      <c r="A239" s="33" t="s">
        <v>238</v>
      </c>
      <c r="B239" s="6" t="s">
        <v>76</v>
      </c>
      <c r="C239" s="33"/>
      <c r="D239" s="6" t="s">
        <v>75</v>
      </c>
      <c r="E239" s="33"/>
      <c r="F239" s="33"/>
      <c r="G239" s="33"/>
      <c r="H239" s="6" t="s">
        <v>76</v>
      </c>
    </row>
    <row r="240">
      <c r="A240" s="5" t="s">
        <v>72</v>
      </c>
      <c r="B240" s="6" t="s">
        <v>101</v>
      </c>
      <c r="C240" s="33"/>
      <c r="D240" s="6" t="s">
        <v>576</v>
      </c>
      <c r="E240" s="33"/>
      <c r="F240" s="33"/>
      <c r="G240" s="33"/>
      <c r="H240" s="6" t="s">
        <v>76</v>
      </c>
    </row>
    <row r="241">
      <c r="A241" s="5" t="s">
        <v>72</v>
      </c>
      <c r="B241" s="6" t="s">
        <v>101</v>
      </c>
      <c r="C241" s="33"/>
      <c r="D241" s="6" t="s">
        <v>576</v>
      </c>
      <c r="E241" s="33"/>
      <c r="F241" s="33"/>
      <c r="G241" s="33"/>
      <c r="H241" s="6" t="s">
        <v>76</v>
      </c>
    </row>
    <row r="242">
      <c r="A242" s="5" t="s">
        <v>72</v>
      </c>
      <c r="B242" s="6" t="s">
        <v>101</v>
      </c>
      <c r="C242" s="33"/>
      <c r="D242" s="6" t="s">
        <v>102</v>
      </c>
      <c r="E242" s="33"/>
      <c r="F242" s="33"/>
      <c r="G242" s="33"/>
      <c r="H242" s="6" t="s">
        <v>76</v>
      </c>
    </row>
    <row r="243">
      <c r="A243" s="41" t="s">
        <v>74</v>
      </c>
      <c r="B243" s="5" t="s">
        <v>72</v>
      </c>
      <c r="C243" s="41"/>
      <c r="D243" s="5" t="s">
        <v>75</v>
      </c>
      <c r="E243" s="5" t="s">
        <v>101</v>
      </c>
      <c r="F243" s="5" t="s">
        <v>101</v>
      </c>
      <c r="G243" s="5" t="s">
        <v>101</v>
      </c>
      <c r="H243" s="5" t="s">
        <v>76</v>
      </c>
    </row>
    <row r="244">
      <c r="A244" s="33" t="s">
        <v>1391</v>
      </c>
      <c r="B244" s="6" t="s">
        <v>76</v>
      </c>
      <c r="C244" s="33"/>
      <c r="D244" s="6" t="s">
        <v>75</v>
      </c>
      <c r="E244" s="33"/>
      <c r="F244" s="33"/>
      <c r="G244" s="33"/>
      <c r="H244" s="6" t="s">
        <v>76</v>
      </c>
    </row>
    <row r="245">
      <c r="A245" s="33" t="s">
        <v>1391</v>
      </c>
      <c r="B245" s="6" t="s">
        <v>76</v>
      </c>
      <c r="C245" s="33"/>
      <c r="D245" s="6" t="s">
        <v>75</v>
      </c>
      <c r="E245" s="33"/>
      <c r="F245" s="33"/>
      <c r="G245" s="33"/>
      <c r="H245" s="6" t="s">
        <v>76</v>
      </c>
    </row>
    <row r="246">
      <c r="A246" s="33" t="s">
        <v>74</v>
      </c>
      <c r="B246" s="6" t="s">
        <v>72</v>
      </c>
      <c r="C246" s="33"/>
      <c r="D246" s="6" t="s">
        <v>75</v>
      </c>
      <c r="E246" s="33"/>
      <c r="F246" s="33"/>
      <c r="G246" s="33"/>
      <c r="H246" s="6" t="s">
        <v>76</v>
      </c>
    </row>
    <row r="247">
      <c r="A247" s="41" t="s">
        <v>74</v>
      </c>
      <c r="B247" s="5" t="s">
        <v>72</v>
      </c>
      <c r="C247" s="41"/>
      <c r="D247" s="5" t="s">
        <v>75</v>
      </c>
      <c r="E247" s="41"/>
      <c r="F247" s="41"/>
      <c r="G247" s="41"/>
      <c r="H247" s="5" t="s">
        <v>60</v>
      </c>
    </row>
    <row r="248">
      <c r="A248" s="33" t="s">
        <v>74</v>
      </c>
      <c r="B248" s="6" t="s">
        <v>72</v>
      </c>
      <c r="C248" s="33"/>
      <c r="D248" s="6" t="s">
        <v>75</v>
      </c>
      <c r="E248" s="33"/>
      <c r="F248" s="33"/>
      <c r="G248" s="33"/>
      <c r="H248" s="6" t="s">
        <v>76</v>
      </c>
    </row>
    <row r="249">
      <c r="A249" s="33" t="s">
        <v>74</v>
      </c>
      <c r="B249" s="6" t="s">
        <v>72</v>
      </c>
      <c r="C249" s="33"/>
      <c r="D249" s="6" t="s">
        <v>75</v>
      </c>
      <c r="E249" s="33"/>
      <c r="F249" s="33"/>
      <c r="G249" s="33"/>
      <c r="H249" s="6" t="s">
        <v>76</v>
      </c>
    </row>
    <row r="250">
      <c r="A250" s="33" t="s">
        <v>74</v>
      </c>
      <c r="B250" s="6" t="s">
        <v>72</v>
      </c>
      <c r="C250" s="33"/>
      <c r="D250" s="6" t="s">
        <v>75</v>
      </c>
      <c r="E250" s="33"/>
      <c r="F250" s="33"/>
      <c r="G250" s="33"/>
      <c r="H250" s="6" t="s">
        <v>76</v>
      </c>
    </row>
    <row r="251">
      <c r="A251" s="41" t="s">
        <v>238</v>
      </c>
      <c r="B251" s="5" t="s">
        <v>101</v>
      </c>
      <c r="C251" s="41"/>
      <c r="D251" s="5" t="s">
        <v>75</v>
      </c>
      <c r="E251" s="41"/>
      <c r="F251" s="41"/>
      <c r="G251" s="41"/>
      <c r="H251" s="5" t="s">
        <v>76</v>
      </c>
    </row>
    <row r="252">
      <c r="A252" s="33" t="s">
        <v>238</v>
      </c>
      <c r="B252" s="6" t="s">
        <v>60</v>
      </c>
      <c r="C252" s="33"/>
      <c r="D252" s="6" t="s">
        <v>75</v>
      </c>
      <c r="E252" s="33"/>
      <c r="F252" s="33"/>
      <c r="G252" s="33"/>
      <c r="H252" s="6" t="s">
        <v>76</v>
      </c>
    </row>
    <row r="253">
      <c r="A253" s="33" t="s">
        <v>238</v>
      </c>
      <c r="B253" s="6" t="s">
        <v>101</v>
      </c>
      <c r="C253" s="33"/>
      <c r="D253" s="6" t="s">
        <v>75</v>
      </c>
      <c r="E253" s="33"/>
      <c r="F253" s="33"/>
      <c r="G253" s="33"/>
      <c r="H253" s="6" t="s">
        <v>76</v>
      </c>
    </row>
    <row r="254">
      <c r="A254" s="33" t="s">
        <v>238</v>
      </c>
      <c r="B254" s="6" t="s">
        <v>101</v>
      </c>
      <c r="C254" s="33"/>
      <c r="D254" s="6" t="s">
        <v>75</v>
      </c>
      <c r="E254" s="33"/>
      <c r="F254" s="33"/>
      <c r="G254" s="33"/>
      <c r="H254" s="6" t="s">
        <v>76</v>
      </c>
    </row>
    <row r="255">
      <c r="A255" s="33" t="s">
        <v>238</v>
      </c>
      <c r="B255" s="6" t="s">
        <v>101</v>
      </c>
      <c r="C255" s="33"/>
      <c r="D255" s="6" t="s">
        <v>75</v>
      </c>
      <c r="E255" s="33"/>
      <c r="F255" s="33"/>
      <c r="G255" s="33"/>
      <c r="H255" s="6" t="s">
        <v>76</v>
      </c>
    </row>
    <row r="256">
      <c r="A256" s="33" t="s">
        <v>238</v>
      </c>
      <c r="B256" s="6" t="s">
        <v>101</v>
      </c>
      <c r="C256" s="33"/>
      <c r="D256" s="6" t="s">
        <v>75</v>
      </c>
      <c r="E256" s="33"/>
      <c r="F256" s="33"/>
      <c r="G256" s="33"/>
      <c r="H256" s="6" t="s">
        <v>76</v>
      </c>
    </row>
    <row r="257">
      <c r="A257" s="33" t="s">
        <v>238</v>
      </c>
      <c r="B257" s="6" t="s">
        <v>101</v>
      </c>
      <c r="C257" s="33"/>
      <c r="D257" s="6" t="s">
        <v>75</v>
      </c>
      <c r="E257" s="33"/>
      <c r="F257" s="33"/>
      <c r="G257" s="33"/>
      <c r="H257" s="6" t="s">
        <v>76</v>
      </c>
    </row>
    <row r="258">
      <c r="A258" s="33" t="s">
        <v>238</v>
      </c>
      <c r="B258" s="6" t="s">
        <v>101</v>
      </c>
      <c r="C258" s="33"/>
      <c r="D258" s="6" t="s">
        <v>75</v>
      </c>
      <c r="E258" s="33"/>
      <c r="F258" s="33"/>
      <c r="G258" s="33"/>
      <c r="H258" s="6" t="s">
        <v>76</v>
      </c>
    </row>
    <row r="259">
      <c r="A259" s="33" t="s">
        <v>238</v>
      </c>
      <c r="B259" s="6" t="s">
        <v>101</v>
      </c>
      <c r="C259" s="33"/>
      <c r="D259" s="6" t="s">
        <v>75</v>
      </c>
      <c r="E259" s="33"/>
      <c r="F259" s="33"/>
      <c r="G259" s="33"/>
      <c r="H259" s="6" t="s">
        <v>76</v>
      </c>
    </row>
    <row r="260">
      <c r="A260" s="5" t="s">
        <v>72</v>
      </c>
      <c r="B260" s="6" t="s">
        <v>101</v>
      </c>
      <c r="C260" s="33"/>
      <c r="D260" s="6" t="s">
        <v>102</v>
      </c>
      <c r="E260" s="33"/>
      <c r="F260" s="33"/>
      <c r="G260" s="33"/>
      <c r="H260" s="6" t="s">
        <v>76</v>
      </c>
    </row>
    <row r="261">
      <c r="A261" s="33" t="s">
        <v>74</v>
      </c>
      <c r="B261" s="6" t="s">
        <v>60</v>
      </c>
      <c r="C261" s="33"/>
      <c r="D261" s="6" t="s">
        <v>75</v>
      </c>
      <c r="E261" s="33"/>
      <c r="F261" s="33"/>
      <c r="G261" s="33"/>
      <c r="H261" s="6" t="s">
        <v>76</v>
      </c>
    </row>
    <row r="262">
      <c r="A262" s="33" t="s">
        <v>74</v>
      </c>
      <c r="B262" s="6" t="s">
        <v>60</v>
      </c>
      <c r="C262" s="33"/>
      <c r="D262" s="6" t="s">
        <v>75</v>
      </c>
      <c r="E262" s="33"/>
      <c r="F262" s="33"/>
      <c r="G262" s="33"/>
      <c r="H262" s="6" t="s">
        <v>76</v>
      </c>
    </row>
    <row r="263">
      <c r="A263" s="33" t="s">
        <v>74</v>
      </c>
      <c r="B263" s="6" t="s">
        <v>60</v>
      </c>
      <c r="C263" s="33"/>
      <c r="D263" s="6" t="s">
        <v>75</v>
      </c>
      <c r="E263" s="33"/>
      <c r="F263" s="33"/>
      <c r="G263" s="33"/>
      <c r="H263" s="6" t="s">
        <v>76</v>
      </c>
    </row>
    <row r="264">
      <c r="A264" s="41" t="s">
        <v>74</v>
      </c>
      <c r="B264" s="5" t="s">
        <v>60</v>
      </c>
      <c r="C264" s="41"/>
      <c r="D264" s="5" t="s">
        <v>75</v>
      </c>
      <c r="E264" s="41"/>
      <c r="F264" s="41"/>
      <c r="G264" s="41"/>
      <c r="H264" s="5" t="s">
        <v>76</v>
      </c>
    </row>
    <row r="265">
      <c r="A265" s="33" t="s">
        <v>74</v>
      </c>
      <c r="B265" s="6" t="s">
        <v>60</v>
      </c>
      <c r="C265" s="33"/>
      <c r="D265" s="6" t="s">
        <v>75</v>
      </c>
      <c r="E265" s="33"/>
      <c r="F265" s="33"/>
      <c r="G265" s="33"/>
      <c r="H265" s="6" t="s">
        <v>76</v>
      </c>
    </row>
    <row r="266">
      <c r="A266" s="33" t="s">
        <v>74</v>
      </c>
      <c r="B266" s="6" t="s">
        <v>60</v>
      </c>
      <c r="C266" s="33"/>
      <c r="D266" s="6" t="s">
        <v>75</v>
      </c>
      <c r="E266" s="33"/>
      <c r="F266" s="33"/>
      <c r="G266" s="33"/>
      <c r="H266" s="6" t="s">
        <v>76</v>
      </c>
    </row>
    <row r="267">
      <c r="A267" s="33" t="s">
        <v>74</v>
      </c>
      <c r="B267" s="6" t="s">
        <v>60</v>
      </c>
      <c r="C267" s="33"/>
      <c r="D267" s="6" t="s">
        <v>75</v>
      </c>
      <c r="E267" s="33"/>
      <c r="F267" s="33"/>
      <c r="G267" s="33"/>
      <c r="H267" s="6" t="s">
        <v>76</v>
      </c>
    </row>
    <row r="268">
      <c r="A268" s="33" t="s">
        <v>74</v>
      </c>
      <c r="B268" s="6" t="s">
        <v>60</v>
      </c>
      <c r="C268" s="33"/>
      <c r="D268" s="6" t="s">
        <v>75</v>
      </c>
      <c r="E268" s="33"/>
      <c r="F268" s="33"/>
      <c r="G268" s="33"/>
      <c r="H268" s="6" t="s">
        <v>76</v>
      </c>
    </row>
    <row r="269">
      <c r="A269" s="33" t="s">
        <v>74</v>
      </c>
      <c r="B269" s="6" t="s">
        <v>60</v>
      </c>
      <c r="C269" s="33"/>
      <c r="D269" s="6" t="s">
        <v>75</v>
      </c>
      <c r="E269" s="33"/>
      <c r="F269" s="33"/>
      <c r="G269" s="33"/>
      <c r="H269" s="6" t="s">
        <v>76</v>
      </c>
    </row>
    <row r="270">
      <c r="A270" s="33" t="s">
        <v>74</v>
      </c>
      <c r="B270" s="6" t="s">
        <v>60</v>
      </c>
      <c r="C270" s="33"/>
      <c r="D270" s="6" t="s">
        <v>75</v>
      </c>
      <c r="E270" s="33"/>
      <c r="F270" s="33"/>
      <c r="G270" s="33"/>
      <c r="H270" s="6" t="s">
        <v>76</v>
      </c>
    </row>
    <row r="271">
      <c r="A271" s="33" t="s">
        <v>74</v>
      </c>
      <c r="B271" s="6" t="s">
        <v>60</v>
      </c>
      <c r="C271" s="33"/>
      <c r="D271" s="6" t="s">
        <v>75</v>
      </c>
      <c r="E271" s="33"/>
      <c r="F271" s="33"/>
      <c r="G271" s="33"/>
      <c r="H271" s="6" t="s">
        <v>76</v>
      </c>
    </row>
    <row r="272">
      <c r="A272" s="33" t="s">
        <v>74</v>
      </c>
      <c r="B272" s="6" t="s">
        <v>60</v>
      </c>
      <c r="C272" s="33"/>
      <c r="D272" s="6" t="s">
        <v>75</v>
      </c>
      <c r="E272" s="33"/>
      <c r="F272" s="33"/>
      <c r="G272" s="33"/>
      <c r="H272" s="6" t="s">
        <v>76</v>
      </c>
    </row>
    <row r="273">
      <c r="A273" s="33" t="s">
        <v>74</v>
      </c>
      <c r="B273" s="6" t="s">
        <v>60</v>
      </c>
      <c r="C273" s="33"/>
      <c r="D273" s="6" t="s">
        <v>75</v>
      </c>
      <c r="E273" s="33"/>
      <c r="F273" s="33"/>
      <c r="G273" s="33"/>
      <c r="H273" s="6" t="s">
        <v>76</v>
      </c>
    </row>
    <row r="274">
      <c r="A274" s="33" t="s">
        <v>74</v>
      </c>
      <c r="B274" s="6" t="s">
        <v>60</v>
      </c>
      <c r="C274" s="33"/>
      <c r="D274" s="6" t="s">
        <v>75</v>
      </c>
      <c r="E274" s="33"/>
      <c r="F274" s="33"/>
      <c r="G274" s="33"/>
      <c r="H274" s="6" t="s">
        <v>76</v>
      </c>
    </row>
    <row r="275">
      <c r="A275" s="33" t="s">
        <v>74</v>
      </c>
      <c r="B275" s="6" t="s">
        <v>60</v>
      </c>
      <c r="C275" s="33"/>
      <c r="D275" s="6" t="s">
        <v>75</v>
      </c>
      <c r="E275" s="33"/>
      <c r="F275" s="33"/>
      <c r="G275" s="33"/>
      <c r="H275" s="6" t="s">
        <v>76</v>
      </c>
    </row>
    <row r="276">
      <c r="A276" s="33" t="s">
        <v>74</v>
      </c>
      <c r="B276" s="6" t="s">
        <v>60</v>
      </c>
      <c r="C276" s="33"/>
      <c r="D276" s="6" t="s">
        <v>75</v>
      </c>
      <c r="E276" s="33"/>
      <c r="F276" s="33"/>
      <c r="G276" s="33"/>
      <c r="H276" s="6" t="s">
        <v>76</v>
      </c>
    </row>
    <row r="277">
      <c r="A277" s="33" t="s">
        <v>74</v>
      </c>
      <c r="B277" s="6" t="s">
        <v>60</v>
      </c>
      <c r="C277" s="33"/>
      <c r="D277" s="6" t="s">
        <v>75</v>
      </c>
      <c r="E277" s="33"/>
      <c r="F277" s="33"/>
      <c r="G277" s="33"/>
      <c r="H277" s="6" t="s">
        <v>76</v>
      </c>
    </row>
    <row r="278">
      <c r="A278" s="33" t="s">
        <v>238</v>
      </c>
      <c r="B278" s="6" t="s">
        <v>72</v>
      </c>
      <c r="C278" s="33"/>
      <c r="D278" s="6" t="s">
        <v>75</v>
      </c>
      <c r="E278" s="33"/>
      <c r="F278" s="33"/>
      <c r="G278" s="33"/>
      <c r="H278" s="6" t="s">
        <v>76</v>
      </c>
    </row>
    <row r="279">
      <c r="A279" s="33" t="s">
        <v>238</v>
      </c>
      <c r="B279" s="6" t="s">
        <v>72</v>
      </c>
      <c r="C279" s="33"/>
      <c r="D279" s="6" t="s">
        <v>75</v>
      </c>
      <c r="E279" s="33"/>
      <c r="F279" s="33"/>
      <c r="G279" s="33"/>
      <c r="H279" s="6" t="s">
        <v>76</v>
      </c>
    </row>
    <row r="280">
      <c r="A280" s="33" t="s">
        <v>238</v>
      </c>
      <c r="B280" s="6" t="s">
        <v>72</v>
      </c>
      <c r="C280" s="33"/>
      <c r="D280" s="6" t="s">
        <v>75</v>
      </c>
      <c r="E280" s="33"/>
      <c r="F280" s="33"/>
      <c r="G280" s="33"/>
      <c r="H280" s="6" t="s">
        <v>76</v>
      </c>
    </row>
    <row r="281">
      <c r="A281" s="41" t="s">
        <v>238</v>
      </c>
      <c r="B281" s="5" t="s">
        <v>72</v>
      </c>
      <c r="C281" s="41"/>
      <c r="D281" s="5" t="s">
        <v>75</v>
      </c>
      <c r="E281" s="41"/>
      <c r="F281" s="41"/>
      <c r="G281" s="41"/>
      <c r="H281" s="5" t="s">
        <v>76</v>
      </c>
    </row>
    <row r="282">
      <c r="A282" s="33" t="s">
        <v>238</v>
      </c>
      <c r="B282" s="6" t="s">
        <v>72</v>
      </c>
      <c r="C282" s="33"/>
      <c r="D282" s="6" t="s">
        <v>75</v>
      </c>
      <c r="E282" s="33"/>
      <c r="F282" s="33"/>
      <c r="G282" s="33"/>
      <c r="H282" s="6" t="s">
        <v>76</v>
      </c>
    </row>
    <row r="283">
      <c r="A283" s="33" t="s">
        <v>238</v>
      </c>
      <c r="B283" s="6" t="s">
        <v>72</v>
      </c>
      <c r="C283" s="33"/>
      <c r="D283" s="6" t="s">
        <v>75</v>
      </c>
      <c r="E283" s="33"/>
      <c r="F283" s="33"/>
      <c r="G283" s="33"/>
      <c r="H283" s="6" t="s">
        <v>76</v>
      </c>
    </row>
    <row r="284">
      <c r="A284" s="33" t="s">
        <v>238</v>
      </c>
      <c r="B284" s="6" t="s">
        <v>72</v>
      </c>
      <c r="C284" s="33"/>
      <c r="D284" s="6" t="s">
        <v>75</v>
      </c>
      <c r="E284" s="33"/>
      <c r="F284" s="33"/>
      <c r="G284" s="33"/>
      <c r="H284" s="6" t="s">
        <v>76</v>
      </c>
    </row>
    <row r="285">
      <c r="A285" s="5" t="s">
        <v>72</v>
      </c>
      <c r="B285" s="5" t="s">
        <v>72</v>
      </c>
      <c r="C285" s="41"/>
      <c r="D285" s="5" t="s">
        <v>75</v>
      </c>
      <c r="E285" s="41"/>
      <c r="F285" s="41"/>
      <c r="G285" s="41"/>
      <c r="H285" s="5" t="s">
        <v>60</v>
      </c>
    </row>
    <row r="286">
      <c r="A286" s="6" t="s">
        <v>72</v>
      </c>
      <c r="B286" s="6" t="s">
        <v>72</v>
      </c>
      <c r="C286" s="33"/>
      <c r="D286" s="6" t="s">
        <v>75</v>
      </c>
      <c r="E286" s="33"/>
      <c r="F286" s="33"/>
      <c r="G286" s="33"/>
      <c r="H286" s="6" t="s">
        <v>76</v>
      </c>
    </row>
    <row r="287">
      <c r="A287" s="5" t="s">
        <v>72</v>
      </c>
      <c r="B287" s="5" t="s">
        <v>72</v>
      </c>
      <c r="C287" s="41"/>
      <c r="D287" s="5" t="s">
        <v>75</v>
      </c>
      <c r="E287" s="41"/>
      <c r="F287" s="41"/>
      <c r="G287" s="41"/>
      <c r="H287" s="6" t="s">
        <v>76</v>
      </c>
    </row>
    <row r="288">
      <c r="A288" s="6" t="s">
        <v>72</v>
      </c>
      <c r="B288" s="6" t="s">
        <v>72</v>
      </c>
      <c r="C288" s="33"/>
      <c r="D288" s="6" t="s">
        <v>75</v>
      </c>
      <c r="E288" s="33"/>
      <c r="F288" s="33"/>
      <c r="G288" s="33"/>
      <c r="H288" s="6" t="s">
        <v>76</v>
      </c>
    </row>
    <row r="289">
      <c r="A289" s="6" t="s">
        <v>72</v>
      </c>
      <c r="B289" s="6" t="s">
        <v>72</v>
      </c>
      <c r="C289" s="33"/>
      <c r="D289" s="6" t="s">
        <v>75</v>
      </c>
      <c r="E289" s="33"/>
      <c r="F289" s="33"/>
      <c r="G289" s="33"/>
      <c r="H289" s="6" t="s">
        <v>76</v>
      </c>
    </row>
    <row r="290">
      <c r="A290" s="6" t="s">
        <v>72</v>
      </c>
      <c r="B290" s="6" t="s">
        <v>72</v>
      </c>
      <c r="C290" s="33"/>
      <c r="D290" s="6" t="s">
        <v>75</v>
      </c>
      <c r="E290" s="33"/>
      <c r="F290" s="33"/>
      <c r="G290" s="33"/>
      <c r="H290" s="6" t="s">
        <v>76</v>
      </c>
    </row>
    <row r="291">
      <c r="A291" s="6" t="s">
        <v>72</v>
      </c>
      <c r="B291" s="6" t="s">
        <v>72</v>
      </c>
      <c r="C291" s="33"/>
      <c r="D291" s="6" t="s">
        <v>75</v>
      </c>
      <c r="E291" s="33"/>
      <c r="F291" s="33"/>
      <c r="G291" s="33"/>
      <c r="H291" s="6" t="s">
        <v>76</v>
      </c>
    </row>
    <row r="292">
      <c r="A292" s="6" t="s">
        <v>72</v>
      </c>
      <c r="B292" s="6" t="s">
        <v>72</v>
      </c>
      <c r="C292" s="33"/>
      <c r="D292" s="6" t="s">
        <v>75</v>
      </c>
      <c r="E292" s="33"/>
      <c r="F292" s="33"/>
      <c r="G292" s="33"/>
      <c r="H292" s="6" t="s">
        <v>76</v>
      </c>
    </row>
    <row r="293">
      <c r="A293" s="6" t="s">
        <v>72</v>
      </c>
      <c r="B293" s="6" t="s">
        <v>72</v>
      </c>
      <c r="C293" s="33"/>
      <c r="D293" s="6" t="s">
        <v>75</v>
      </c>
      <c r="E293" s="33"/>
      <c r="F293" s="33"/>
      <c r="G293" s="33"/>
      <c r="H293" s="6" t="s">
        <v>76</v>
      </c>
    </row>
    <row r="294">
      <c r="A294" s="6" t="s">
        <v>72</v>
      </c>
      <c r="B294" s="6" t="s">
        <v>72</v>
      </c>
      <c r="C294" s="33"/>
      <c r="D294" s="6" t="s">
        <v>75</v>
      </c>
      <c r="E294" s="33"/>
      <c r="F294" s="33"/>
      <c r="G294" s="33"/>
      <c r="H294" s="6" t="s">
        <v>76</v>
      </c>
    </row>
    <row r="295">
      <c r="A295" s="6" t="s">
        <v>400</v>
      </c>
      <c r="B295" s="5" t="s">
        <v>72</v>
      </c>
      <c r="C295" s="41"/>
      <c r="D295" s="5" t="s">
        <v>75</v>
      </c>
      <c r="E295" s="41"/>
      <c r="F295" s="41"/>
      <c r="G295" s="41"/>
      <c r="H295" s="5" t="s">
        <v>76</v>
      </c>
    </row>
    <row r="296">
      <c r="A296" s="6" t="s">
        <v>400</v>
      </c>
      <c r="B296" s="6" t="s">
        <v>72</v>
      </c>
      <c r="C296" s="33"/>
      <c r="D296" s="6" t="s">
        <v>75</v>
      </c>
      <c r="E296" s="33"/>
      <c r="F296" s="33"/>
      <c r="G296" s="33"/>
      <c r="H296" s="6" t="s">
        <v>76</v>
      </c>
    </row>
    <row r="297">
      <c r="A297" s="6" t="s">
        <v>400</v>
      </c>
      <c r="B297" s="6" t="s">
        <v>72</v>
      </c>
      <c r="C297" s="33"/>
      <c r="D297" s="6" t="s">
        <v>75</v>
      </c>
      <c r="E297" s="33"/>
      <c r="F297" s="33"/>
      <c r="G297" s="33"/>
      <c r="H297" s="6" t="s">
        <v>76</v>
      </c>
    </row>
    <row r="298">
      <c r="A298" s="6" t="s">
        <v>400</v>
      </c>
      <c r="B298" s="6" t="s">
        <v>72</v>
      </c>
      <c r="C298" s="33"/>
      <c r="D298" s="6" t="s">
        <v>75</v>
      </c>
      <c r="E298" s="33"/>
      <c r="F298" s="33"/>
      <c r="G298" s="33"/>
      <c r="H298" s="6" t="s">
        <v>76</v>
      </c>
    </row>
    <row r="299">
      <c r="A299" s="33" t="s">
        <v>2091</v>
      </c>
      <c r="B299" s="6" t="s">
        <v>72</v>
      </c>
      <c r="C299" s="33"/>
      <c r="D299" s="6" t="s">
        <v>576</v>
      </c>
      <c r="E299" s="33"/>
      <c r="F299" s="33"/>
      <c r="G299" s="33"/>
      <c r="H299" s="6" t="s">
        <v>60</v>
      </c>
    </row>
    <row r="300">
      <c r="A300" s="33" t="s">
        <v>2091</v>
      </c>
      <c r="B300" s="6" t="s">
        <v>72</v>
      </c>
      <c r="C300" s="33"/>
      <c r="D300" s="6" t="s">
        <v>102</v>
      </c>
      <c r="E300" s="33"/>
      <c r="F300" s="33"/>
      <c r="G300" s="33"/>
      <c r="H300" s="6" t="s">
        <v>76</v>
      </c>
    </row>
    <row r="301">
      <c r="A301" s="33" t="s">
        <v>2091</v>
      </c>
      <c r="B301" s="6" t="s">
        <v>72</v>
      </c>
      <c r="C301" s="33"/>
      <c r="D301" s="6" t="s">
        <v>102</v>
      </c>
      <c r="E301" s="33"/>
      <c r="F301" s="33"/>
      <c r="G301" s="33"/>
      <c r="H301" s="6" t="s">
        <v>76</v>
      </c>
    </row>
    <row r="302">
      <c r="A302" s="5" t="s">
        <v>72</v>
      </c>
      <c r="B302" s="5" t="s">
        <v>76</v>
      </c>
      <c r="C302" s="41"/>
      <c r="D302" s="5" t="s">
        <v>75</v>
      </c>
      <c r="E302" s="5" t="s">
        <v>101</v>
      </c>
      <c r="F302" s="5" t="s">
        <v>101</v>
      </c>
      <c r="G302" s="5" t="s">
        <v>101</v>
      </c>
      <c r="H302" s="5" t="s">
        <v>76</v>
      </c>
    </row>
    <row r="303">
      <c r="A303" s="5" t="s">
        <v>72</v>
      </c>
      <c r="B303" s="6" t="s">
        <v>101</v>
      </c>
      <c r="C303" s="33"/>
      <c r="D303" s="6" t="s">
        <v>102</v>
      </c>
      <c r="E303" s="33"/>
      <c r="F303" s="33"/>
      <c r="G303" s="33"/>
      <c r="H303" s="6" t="s">
        <v>76</v>
      </c>
    </row>
    <row r="304">
      <c r="A304" s="6" t="s">
        <v>72</v>
      </c>
      <c r="B304" s="6" t="s">
        <v>76</v>
      </c>
      <c r="C304" s="33"/>
      <c r="D304" s="6" t="s">
        <v>75</v>
      </c>
      <c r="E304" s="33"/>
      <c r="F304" s="33"/>
      <c r="G304" s="33"/>
      <c r="H304" s="6" t="s">
        <v>76</v>
      </c>
    </row>
    <row r="305">
      <c r="A305" s="5" t="s">
        <v>72</v>
      </c>
      <c r="B305" s="5" t="s">
        <v>76</v>
      </c>
      <c r="C305" s="41"/>
      <c r="D305" s="5" t="s">
        <v>75</v>
      </c>
      <c r="E305" s="41"/>
      <c r="F305" s="41"/>
      <c r="G305" s="41"/>
      <c r="H305" s="5" t="s">
        <v>76</v>
      </c>
    </row>
    <row r="306">
      <c r="A306" s="6" t="s">
        <v>72</v>
      </c>
      <c r="B306" s="6" t="s">
        <v>76</v>
      </c>
      <c r="C306" s="33"/>
      <c r="D306" s="6" t="s">
        <v>75</v>
      </c>
      <c r="E306" s="33"/>
      <c r="F306" s="33"/>
      <c r="G306" s="33"/>
      <c r="H306" s="6" t="s">
        <v>76</v>
      </c>
    </row>
    <row r="307">
      <c r="A307" s="6" t="s">
        <v>72</v>
      </c>
      <c r="B307" s="6" t="s">
        <v>76</v>
      </c>
      <c r="C307" s="33"/>
      <c r="D307" s="6" t="s">
        <v>75</v>
      </c>
      <c r="E307" s="33"/>
      <c r="F307" s="33"/>
      <c r="G307" s="33"/>
      <c r="H307" s="6" t="s">
        <v>76</v>
      </c>
    </row>
    <row r="308">
      <c r="A308" s="6" t="s">
        <v>72</v>
      </c>
      <c r="B308" s="6" t="s">
        <v>76</v>
      </c>
      <c r="C308" s="33"/>
      <c r="D308" s="6" t="s">
        <v>75</v>
      </c>
      <c r="E308" s="33"/>
      <c r="F308" s="33"/>
      <c r="G308" s="33"/>
      <c r="H308" s="6" t="s">
        <v>76</v>
      </c>
    </row>
    <row r="309">
      <c r="A309" s="5" t="s">
        <v>72</v>
      </c>
      <c r="B309" s="6" t="s">
        <v>101</v>
      </c>
      <c r="C309" s="33"/>
      <c r="D309" s="6" t="s">
        <v>75</v>
      </c>
      <c r="E309" s="33"/>
      <c r="F309" s="33"/>
      <c r="G309" s="33"/>
      <c r="H309" s="6" t="s">
        <v>76</v>
      </c>
    </row>
    <row r="310">
      <c r="A310" s="5" t="s">
        <v>72</v>
      </c>
      <c r="B310" s="6" t="s">
        <v>101</v>
      </c>
      <c r="C310" s="33"/>
      <c r="D310" s="6" t="s">
        <v>75</v>
      </c>
      <c r="E310" s="33"/>
      <c r="F310" s="33"/>
      <c r="G310" s="33"/>
      <c r="H310" s="6" t="s">
        <v>76</v>
      </c>
    </row>
    <row r="311">
      <c r="A311" s="5" t="s">
        <v>72</v>
      </c>
      <c r="B311" s="6" t="s">
        <v>101</v>
      </c>
      <c r="C311" s="33"/>
      <c r="D311" s="6" t="s">
        <v>75</v>
      </c>
      <c r="E311" s="33"/>
      <c r="F311" s="33"/>
      <c r="G311" s="33"/>
      <c r="H311" s="6" t="s">
        <v>76</v>
      </c>
    </row>
    <row r="312">
      <c r="A312" s="5" t="s">
        <v>72</v>
      </c>
      <c r="B312" s="6" t="s">
        <v>101</v>
      </c>
      <c r="C312" s="33"/>
      <c r="D312" s="6" t="s">
        <v>75</v>
      </c>
      <c r="E312" s="33"/>
      <c r="F312" s="33"/>
      <c r="G312" s="33"/>
      <c r="H312" s="6" t="s">
        <v>76</v>
      </c>
    </row>
    <row r="313">
      <c r="A313" s="5" t="s">
        <v>72</v>
      </c>
      <c r="B313" s="6" t="s">
        <v>101</v>
      </c>
      <c r="C313" s="33"/>
      <c r="D313" s="6" t="s">
        <v>75</v>
      </c>
      <c r="E313" s="33"/>
      <c r="F313" s="33"/>
      <c r="G313" s="33"/>
      <c r="H313" s="6" t="s">
        <v>76</v>
      </c>
    </row>
    <row r="314">
      <c r="A314" s="5" t="s">
        <v>72</v>
      </c>
      <c r="B314" s="6" t="s">
        <v>101</v>
      </c>
      <c r="C314" s="33"/>
      <c r="D314" s="6" t="s">
        <v>75</v>
      </c>
      <c r="E314" s="33"/>
      <c r="F314" s="33"/>
      <c r="G314" s="33"/>
      <c r="H314" s="6" t="s">
        <v>76</v>
      </c>
    </row>
    <row r="315">
      <c r="A315" s="5" t="s">
        <v>72</v>
      </c>
      <c r="B315" s="6" t="s">
        <v>101</v>
      </c>
      <c r="C315" s="33"/>
      <c r="D315" s="6" t="s">
        <v>75</v>
      </c>
      <c r="E315" s="33"/>
      <c r="F315" s="33"/>
      <c r="G315" s="33"/>
      <c r="H315" s="6" t="s">
        <v>76</v>
      </c>
    </row>
    <row r="316">
      <c r="A316" s="33" t="s">
        <v>238</v>
      </c>
      <c r="B316" s="6" t="s">
        <v>72</v>
      </c>
      <c r="C316" s="33"/>
      <c r="D316" s="6" t="s">
        <v>75</v>
      </c>
      <c r="E316" s="33"/>
      <c r="F316" s="33"/>
      <c r="G316" s="33"/>
      <c r="H316" s="6" t="s">
        <v>76</v>
      </c>
    </row>
    <row r="317">
      <c r="A317" s="33" t="s">
        <v>238</v>
      </c>
      <c r="B317" s="6" t="s">
        <v>72</v>
      </c>
      <c r="C317" s="33"/>
      <c r="D317" s="6" t="s">
        <v>75</v>
      </c>
      <c r="E317" s="33"/>
      <c r="F317" s="33"/>
      <c r="G317" s="33"/>
      <c r="H317" s="6" t="s">
        <v>76</v>
      </c>
    </row>
    <row r="318">
      <c r="A318" s="33" t="s">
        <v>238</v>
      </c>
      <c r="B318" s="6" t="s">
        <v>72</v>
      </c>
      <c r="C318" s="33"/>
      <c r="D318" s="6" t="s">
        <v>75</v>
      </c>
      <c r="E318" s="33"/>
      <c r="F318" s="33"/>
      <c r="G318" s="33"/>
      <c r="H318" s="6" t="s">
        <v>76</v>
      </c>
    </row>
    <row r="319">
      <c r="A319" s="33" t="s">
        <v>238</v>
      </c>
      <c r="B319" s="6" t="s">
        <v>72</v>
      </c>
      <c r="C319" s="33"/>
      <c r="D319" s="6" t="s">
        <v>75</v>
      </c>
      <c r="E319" s="33"/>
      <c r="F319" s="33"/>
      <c r="G319" s="33"/>
      <c r="H319" s="6" t="s">
        <v>76</v>
      </c>
    </row>
    <row r="320">
      <c r="A320" s="33" t="s">
        <v>238</v>
      </c>
      <c r="B320" s="6" t="s">
        <v>72</v>
      </c>
      <c r="C320" s="33"/>
      <c r="D320" s="6" t="s">
        <v>75</v>
      </c>
      <c r="E320" s="33"/>
      <c r="F320" s="33"/>
      <c r="G320" s="33"/>
      <c r="H320" s="6" t="s">
        <v>76</v>
      </c>
    </row>
    <row r="321">
      <c r="A321" s="33" t="s">
        <v>238</v>
      </c>
      <c r="B321" s="6" t="s">
        <v>72</v>
      </c>
      <c r="C321" s="33"/>
      <c r="D321" s="6" t="s">
        <v>75</v>
      </c>
      <c r="E321" s="33"/>
      <c r="F321" s="33"/>
      <c r="G321" s="33"/>
      <c r="H321" s="6" t="s">
        <v>76</v>
      </c>
    </row>
    <row r="322">
      <c r="A322" s="33" t="s">
        <v>238</v>
      </c>
      <c r="B322" s="6" t="s">
        <v>72</v>
      </c>
      <c r="C322" s="33"/>
      <c r="D322" s="6" t="s">
        <v>75</v>
      </c>
      <c r="E322" s="33"/>
      <c r="F322" s="33"/>
      <c r="G322" s="33"/>
      <c r="H322" s="6" t="s">
        <v>76</v>
      </c>
    </row>
    <row r="323">
      <c r="A323" s="33" t="s">
        <v>238</v>
      </c>
      <c r="B323" s="6" t="s">
        <v>72</v>
      </c>
      <c r="C323" s="33"/>
      <c r="D323" s="6" t="s">
        <v>75</v>
      </c>
      <c r="E323" s="33"/>
      <c r="F323" s="33"/>
      <c r="G323" s="33"/>
      <c r="H323" s="6" t="s">
        <v>76</v>
      </c>
    </row>
    <row r="324">
      <c r="A324" s="33" t="s">
        <v>238</v>
      </c>
      <c r="B324" s="6" t="s">
        <v>72</v>
      </c>
      <c r="C324" s="33"/>
      <c r="D324" s="6" t="s">
        <v>75</v>
      </c>
      <c r="E324" s="33"/>
      <c r="F324" s="33"/>
      <c r="G324" s="33"/>
      <c r="H324" s="6" t="s">
        <v>76</v>
      </c>
    </row>
    <row r="325">
      <c r="A325" s="33" t="s">
        <v>238</v>
      </c>
      <c r="B325" s="6" t="s">
        <v>72</v>
      </c>
      <c r="C325" s="33"/>
      <c r="D325" s="6" t="s">
        <v>75</v>
      </c>
      <c r="E325" s="33"/>
      <c r="F325" s="33"/>
      <c r="G325" s="33"/>
      <c r="H325" s="6" t="s">
        <v>76</v>
      </c>
    </row>
    <row r="326">
      <c r="A326" s="33" t="s">
        <v>238</v>
      </c>
      <c r="B326" s="6" t="s">
        <v>72</v>
      </c>
      <c r="C326" s="33"/>
      <c r="D326" s="6" t="s">
        <v>75</v>
      </c>
      <c r="E326" s="33"/>
      <c r="F326" s="33"/>
      <c r="G326" s="33"/>
      <c r="H326" s="6" t="s">
        <v>76</v>
      </c>
    </row>
    <row r="327">
      <c r="A327" s="33" t="s">
        <v>238</v>
      </c>
      <c r="B327" s="6" t="s">
        <v>72</v>
      </c>
      <c r="C327" s="33"/>
      <c r="D327" s="6" t="s">
        <v>75</v>
      </c>
      <c r="E327" s="33"/>
      <c r="F327" s="33"/>
      <c r="G327" s="33"/>
      <c r="H327" s="6" t="s">
        <v>76</v>
      </c>
    </row>
    <row r="328">
      <c r="A328" s="33" t="s">
        <v>238</v>
      </c>
      <c r="B328" s="6" t="s">
        <v>72</v>
      </c>
      <c r="C328" s="33"/>
      <c r="D328" s="6" t="s">
        <v>75</v>
      </c>
      <c r="E328" s="33"/>
      <c r="F328" s="33"/>
      <c r="G328" s="33"/>
      <c r="H328" s="6" t="s">
        <v>76</v>
      </c>
    </row>
    <row r="329">
      <c r="A329" s="33" t="s">
        <v>238</v>
      </c>
      <c r="B329" s="6" t="s">
        <v>72</v>
      </c>
      <c r="C329" s="33"/>
      <c r="D329" s="6" t="s">
        <v>75</v>
      </c>
      <c r="E329" s="33"/>
      <c r="F329" s="33"/>
      <c r="G329" s="33"/>
      <c r="H329" s="6" t="s">
        <v>76</v>
      </c>
    </row>
    <row r="330">
      <c r="A330" s="33" t="s">
        <v>238</v>
      </c>
      <c r="B330" s="6" t="s">
        <v>72</v>
      </c>
      <c r="C330" s="33"/>
      <c r="D330" s="6" t="s">
        <v>75</v>
      </c>
      <c r="E330" s="33"/>
      <c r="F330" s="33"/>
      <c r="G330" s="33"/>
      <c r="H330" s="6" t="s">
        <v>76</v>
      </c>
    </row>
    <row r="331">
      <c r="A331" s="33" t="s">
        <v>238</v>
      </c>
      <c r="B331" s="6" t="s">
        <v>72</v>
      </c>
      <c r="C331" s="33"/>
      <c r="D331" s="6" t="s">
        <v>102</v>
      </c>
      <c r="E331" s="33"/>
      <c r="F331" s="33"/>
      <c r="G331" s="33"/>
      <c r="H331" s="6" t="s">
        <v>76</v>
      </c>
    </row>
    <row r="332">
      <c r="A332" s="33" t="s">
        <v>238</v>
      </c>
      <c r="B332" s="6" t="s">
        <v>72</v>
      </c>
      <c r="C332" s="33"/>
      <c r="D332" s="6" t="s">
        <v>102</v>
      </c>
      <c r="E332" s="33"/>
      <c r="F332" s="33"/>
      <c r="G332" s="33"/>
      <c r="H332" s="6" t="s">
        <v>76</v>
      </c>
    </row>
    <row r="333">
      <c r="A333" s="33" t="s">
        <v>238</v>
      </c>
      <c r="B333" s="6" t="s">
        <v>72</v>
      </c>
      <c r="C333" s="33"/>
      <c r="D333" s="6" t="s">
        <v>102</v>
      </c>
      <c r="E333" s="33"/>
      <c r="F333" s="33"/>
      <c r="G333" s="33"/>
      <c r="H333" s="6" t="s">
        <v>76</v>
      </c>
    </row>
    <row r="334">
      <c r="A334" s="33" t="s">
        <v>238</v>
      </c>
      <c r="B334" s="6" t="s">
        <v>60</v>
      </c>
      <c r="C334" s="33"/>
      <c r="D334" s="6" t="s">
        <v>102</v>
      </c>
      <c r="E334" s="33"/>
      <c r="F334" s="33"/>
      <c r="G334" s="33"/>
      <c r="H334" s="6" t="s">
        <v>76</v>
      </c>
    </row>
    <row r="335">
      <c r="A335" s="33" t="s">
        <v>238</v>
      </c>
      <c r="B335" s="6" t="s">
        <v>60</v>
      </c>
      <c r="C335" s="33"/>
      <c r="D335" s="6" t="s">
        <v>102</v>
      </c>
      <c r="E335" s="33"/>
      <c r="F335" s="33"/>
      <c r="G335" s="33"/>
      <c r="H335" s="6" t="s">
        <v>76</v>
      </c>
    </row>
    <row r="336">
      <c r="A336" s="33" t="s">
        <v>238</v>
      </c>
      <c r="B336" s="6" t="s">
        <v>60</v>
      </c>
      <c r="C336" s="33"/>
      <c r="D336" s="6" t="s">
        <v>102</v>
      </c>
      <c r="E336" s="33"/>
      <c r="F336" s="33"/>
      <c r="G336" s="33"/>
      <c r="H336" s="6" t="s">
        <v>76</v>
      </c>
    </row>
    <row r="337">
      <c r="A337" s="33" t="s">
        <v>238</v>
      </c>
      <c r="B337" s="6" t="s">
        <v>60</v>
      </c>
      <c r="C337" s="33"/>
      <c r="D337" s="6" t="s">
        <v>102</v>
      </c>
      <c r="E337" s="33"/>
      <c r="F337" s="33"/>
      <c r="G337" s="33"/>
      <c r="H337" s="6" t="s">
        <v>76</v>
      </c>
    </row>
    <row r="338">
      <c r="A338" s="33" t="s">
        <v>238</v>
      </c>
      <c r="B338" s="6" t="s">
        <v>60</v>
      </c>
      <c r="C338" s="33"/>
      <c r="D338" s="6" t="s">
        <v>102</v>
      </c>
      <c r="E338" s="33"/>
      <c r="F338" s="33"/>
      <c r="G338" s="33"/>
      <c r="H338" s="6" t="s">
        <v>76</v>
      </c>
    </row>
    <row r="339">
      <c r="A339" s="33" t="s">
        <v>238</v>
      </c>
      <c r="B339" s="5" t="s">
        <v>60</v>
      </c>
      <c r="C339" s="41"/>
      <c r="D339" s="5" t="s">
        <v>102</v>
      </c>
      <c r="E339" s="41"/>
      <c r="F339" s="41"/>
      <c r="G339" s="41"/>
      <c r="H339" s="5" t="s">
        <v>76</v>
      </c>
    </row>
    <row r="340">
      <c r="A340" s="33" t="s">
        <v>238</v>
      </c>
      <c r="B340" s="5" t="s">
        <v>72</v>
      </c>
      <c r="C340" s="41"/>
      <c r="D340" s="5" t="s">
        <v>102</v>
      </c>
      <c r="E340" s="41"/>
      <c r="F340" s="41"/>
      <c r="G340" s="41"/>
      <c r="H340" s="5" t="s">
        <v>76</v>
      </c>
    </row>
    <row r="341">
      <c r="A341" s="33" t="s">
        <v>238</v>
      </c>
      <c r="B341" s="5" t="s">
        <v>72</v>
      </c>
      <c r="C341" s="41"/>
      <c r="D341" s="5" t="s">
        <v>75</v>
      </c>
      <c r="E341" s="41"/>
      <c r="F341" s="41"/>
      <c r="G341" s="41"/>
      <c r="H341" s="5" t="s">
        <v>76</v>
      </c>
    </row>
    <row r="342">
      <c r="A342" s="33" t="s">
        <v>238</v>
      </c>
      <c r="B342" s="6" t="s">
        <v>72</v>
      </c>
      <c r="C342" s="33"/>
      <c r="D342" s="6" t="s">
        <v>75</v>
      </c>
      <c r="E342" s="33"/>
      <c r="F342" s="33"/>
      <c r="G342" s="33"/>
      <c r="H342" s="6" t="s">
        <v>76</v>
      </c>
    </row>
    <row r="343">
      <c r="A343" s="33" t="s">
        <v>238</v>
      </c>
      <c r="B343" s="6" t="s">
        <v>72</v>
      </c>
      <c r="C343" s="33"/>
      <c r="D343" s="6" t="s">
        <v>75</v>
      </c>
      <c r="E343" s="33"/>
      <c r="F343" s="33"/>
      <c r="G343" s="33"/>
      <c r="H343" s="6" t="s">
        <v>76</v>
      </c>
    </row>
    <row r="344">
      <c r="A344" s="33" t="s">
        <v>238</v>
      </c>
      <c r="B344" s="6" t="s">
        <v>72</v>
      </c>
      <c r="C344" s="33"/>
      <c r="D344" s="6" t="s">
        <v>75</v>
      </c>
      <c r="E344" s="33"/>
      <c r="F344" s="33"/>
      <c r="G344" s="33"/>
      <c r="H344" s="6" t="s">
        <v>76</v>
      </c>
    </row>
    <row r="345">
      <c r="A345" s="33" t="s">
        <v>238</v>
      </c>
      <c r="B345" s="6" t="s">
        <v>72</v>
      </c>
      <c r="C345" s="33"/>
      <c r="D345" s="6" t="s">
        <v>75</v>
      </c>
      <c r="E345" s="33"/>
      <c r="F345" s="33"/>
      <c r="G345" s="33"/>
      <c r="H345" s="6" t="s">
        <v>76</v>
      </c>
    </row>
    <row r="346">
      <c r="A346" s="33" t="s">
        <v>238</v>
      </c>
      <c r="B346" s="6" t="s">
        <v>72</v>
      </c>
      <c r="C346" s="33"/>
      <c r="D346" s="6" t="s">
        <v>75</v>
      </c>
      <c r="E346" s="33"/>
      <c r="F346" s="33"/>
      <c r="G346" s="33"/>
      <c r="H346" s="6" t="s">
        <v>76</v>
      </c>
    </row>
    <row r="347">
      <c r="A347" s="33" t="s">
        <v>238</v>
      </c>
      <c r="B347" s="5" t="s">
        <v>72</v>
      </c>
      <c r="C347" s="41"/>
      <c r="D347" s="5" t="s">
        <v>75</v>
      </c>
      <c r="E347" s="41"/>
      <c r="F347" s="41"/>
      <c r="G347" s="41"/>
      <c r="H347" s="5" t="s">
        <v>60</v>
      </c>
    </row>
    <row r="348">
      <c r="A348" s="33" t="s">
        <v>238</v>
      </c>
      <c r="B348" s="6" t="s">
        <v>72</v>
      </c>
      <c r="C348" s="33"/>
      <c r="D348" s="6" t="s">
        <v>75</v>
      </c>
      <c r="E348" s="33"/>
      <c r="F348" s="33"/>
      <c r="G348" s="33"/>
      <c r="H348" s="6" t="s">
        <v>76</v>
      </c>
    </row>
    <row r="349">
      <c r="A349" s="33" t="s">
        <v>238</v>
      </c>
      <c r="B349" s="6" t="s">
        <v>72</v>
      </c>
      <c r="C349" s="33"/>
      <c r="D349" s="6" t="s">
        <v>75</v>
      </c>
      <c r="E349" s="33"/>
      <c r="F349" s="33"/>
      <c r="G349" s="33"/>
      <c r="H349" s="6" t="s">
        <v>76</v>
      </c>
    </row>
    <row r="350">
      <c r="A350" s="33" t="s">
        <v>238</v>
      </c>
      <c r="B350" s="6" t="s">
        <v>72</v>
      </c>
      <c r="C350" s="33"/>
      <c r="D350" s="6" t="s">
        <v>75</v>
      </c>
      <c r="E350" s="33"/>
      <c r="F350" s="33"/>
      <c r="G350" s="33"/>
      <c r="H350" s="6" t="s">
        <v>76</v>
      </c>
    </row>
    <row r="351">
      <c r="A351" s="33" t="s">
        <v>238</v>
      </c>
      <c r="B351" s="6" t="s">
        <v>72</v>
      </c>
      <c r="C351" s="33"/>
      <c r="D351" s="6" t="s">
        <v>75</v>
      </c>
      <c r="E351" s="33"/>
      <c r="F351" s="33"/>
      <c r="G351" s="33"/>
      <c r="H351" s="6" t="s">
        <v>76</v>
      </c>
    </row>
    <row r="352">
      <c r="A352" s="5" t="s">
        <v>72</v>
      </c>
      <c r="B352" s="5" t="s">
        <v>72</v>
      </c>
      <c r="C352" s="41"/>
      <c r="D352" s="5" t="s">
        <v>75</v>
      </c>
      <c r="E352" s="41"/>
      <c r="F352" s="41"/>
      <c r="G352" s="41"/>
      <c r="H352" s="5" t="s">
        <v>60</v>
      </c>
    </row>
    <row r="353">
      <c r="A353" s="6" t="s">
        <v>524</v>
      </c>
      <c r="B353" s="6" t="s">
        <v>72</v>
      </c>
      <c r="C353" s="33"/>
      <c r="D353" s="6" t="s">
        <v>75</v>
      </c>
      <c r="E353" s="33"/>
      <c r="F353" s="33"/>
      <c r="G353" s="33"/>
      <c r="H353" s="6" t="s">
        <v>76</v>
      </c>
    </row>
    <row r="354">
      <c r="A354" s="33" t="s">
        <v>1391</v>
      </c>
      <c r="B354" s="6" t="s">
        <v>76</v>
      </c>
      <c r="C354" s="33"/>
      <c r="D354" s="6" t="s">
        <v>102</v>
      </c>
      <c r="E354" s="33"/>
      <c r="F354" s="33"/>
      <c r="G354" s="33"/>
      <c r="H354" s="6" t="s">
        <v>76</v>
      </c>
    </row>
    <row r="355">
      <c r="A355" s="33" t="s">
        <v>1391</v>
      </c>
      <c r="B355" s="6" t="s">
        <v>76</v>
      </c>
      <c r="C355" s="33"/>
      <c r="D355" s="6" t="s">
        <v>102</v>
      </c>
      <c r="E355" s="33"/>
      <c r="F355" s="33"/>
      <c r="G355" s="33"/>
      <c r="H355" s="6" t="s">
        <v>76</v>
      </c>
    </row>
    <row r="356">
      <c r="A356" s="41" t="s">
        <v>1391</v>
      </c>
      <c r="B356" s="5" t="s">
        <v>76</v>
      </c>
      <c r="C356" s="41"/>
      <c r="D356" s="5" t="s">
        <v>102</v>
      </c>
      <c r="E356" s="41"/>
      <c r="F356" s="41"/>
      <c r="G356" s="41"/>
      <c r="H356" s="5" t="s">
        <v>76</v>
      </c>
    </row>
    <row r="357">
      <c r="A357" s="6" t="s">
        <v>524</v>
      </c>
      <c r="B357" s="6" t="s">
        <v>76</v>
      </c>
      <c r="C357" s="33"/>
      <c r="D357" s="6" t="s">
        <v>102</v>
      </c>
      <c r="E357" s="33"/>
      <c r="F357" s="33"/>
      <c r="G357" s="33"/>
      <c r="H357" s="6" t="s">
        <v>76</v>
      </c>
    </row>
    <row r="358">
      <c r="A358" s="6" t="s">
        <v>524</v>
      </c>
      <c r="B358" s="6" t="s">
        <v>76</v>
      </c>
      <c r="C358" s="33"/>
      <c r="D358" s="6" t="s">
        <v>102</v>
      </c>
      <c r="E358" s="33"/>
      <c r="F358" s="33"/>
      <c r="G358" s="33"/>
      <c r="H358" s="6" t="s">
        <v>76</v>
      </c>
    </row>
    <row r="359">
      <c r="A359" s="6" t="s">
        <v>524</v>
      </c>
      <c r="B359" s="6" t="s">
        <v>76</v>
      </c>
      <c r="C359" s="33"/>
      <c r="D359" s="6" t="s">
        <v>102</v>
      </c>
      <c r="E359" s="33"/>
      <c r="F359" s="33"/>
      <c r="G359" s="33"/>
      <c r="H359" s="6" t="s">
        <v>76</v>
      </c>
    </row>
    <row r="360">
      <c r="A360" s="6" t="s">
        <v>524</v>
      </c>
      <c r="B360" s="6" t="s">
        <v>76</v>
      </c>
      <c r="C360" s="33"/>
      <c r="D360" s="6" t="s">
        <v>102</v>
      </c>
      <c r="E360" s="33"/>
      <c r="F360" s="33"/>
      <c r="G360" s="33"/>
      <c r="H360" s="6" t="s">
        <v>76</v>
      </c>
    </row>
    <row r="361">
      <c r="A361" s="6" t="s">
        <v>524</v>
      </c>
      <c r="B361" s="5" t="s">
        <v>72</v>
      </c>
      <c r="C361" s="41"/>
      <c r="D361" s="5" t="s">
        <v>576</v>
      </c>
      <c r="E361" s="41"/>
      <c r="F361" s="41"/>
      <c r="G361" s="41"/>
      <c r="H361" s="5" t="s">
        <v>60</v>
      </c>
    </row>
    <row r="362">
      <c r="A362" s="6" t="s">
        <v>524</v>
      </c>
      <c r="B362" s="6" t="s">
        <v>72</v>
      </c>
      <c r="C362" s="33"/>
      <c r="D362" s="6" t="s">
        <v>576</v>
      </c>
      <c r="E362" s="33"/>
      <c r="F362" s="33"/>
      <c r="G362" s="33"/>
      <c r="H362" s="6" t="s">
        <v>76</v>
      </c>
    </row>
    <row r="363">
      <c r="A363" s="6" t="s">
        <v>524</v>
      </c>
      <c r="B363" s="6" t="s">
        <v>72</v>
      </c>
      <c r="C363" s="33"/>
      <c r="D363" s="6" t="s">
        <v>576</v>
      </c>
      <c r="E363" s="33"/>
      <c r="F363" s="33"/>
      <c r="G363" s="33"/>
      <c r="H363" s="6" t="s">
        <v>76</v>
      </c>
    </row>
    <row r="364">
      <c r="A364" s="6" t="s">
        <v>524</v>
      </c>
      <c r="B364" s="6" t="s">
        <v>72</v>
      </c>
      <c r="C364" s="33"/>
      <c r="D364" s="6" t="s">
        <v>576</v>
      </c>
      <c r="E364" s="33"/>
      <c r="F364" s="33"/>
      <c r="G364" s="33"/>
      <c r="H364" s="6" t="s">
        <v>76</v>
      </c>
    </row>
    <row r="365">
      <c r="A365" s="5" t="s">
        <v>72</v>
      </c>
      <c r="B365" s="6" t="s">
        <v>101</v>
      </c>
      <c r="C365" s="33"/>
      <c r="D365" s="6" t="s">
        <v>102</v>
      </c>
      <c r="E365" s="33"/>
      <c r="F365" s="33"/>
      <c r="G365" s="33"/>
      <c r="H365" s="6" t="s">
        <v>76</v>
      </c>
    </row>
    <row r="366">
      <c r="A366" s="5" t="s">
        <v>72</v>
      </c>
      <c r="B366" s="6" t="s">
        <v>101</v>
      </c>
      <c r="C366" s="33"/>
      <c r="D366" s="6" t="s">
        <v>102</v>
      </c>
      <c r="E366" s="33"/>
      <c r="F366" s="33"/>
      <c r="G366" s="33"/>
      <c r="H366" s="6" t="s">
        <v>76</v>
      </c>
    </row>
    <row r="367">
      <c r="A367" s="6" t="s">
        <v>524</v>
      </c>
      <c r="B367" s="5" t="s">
        <v>72</v>
      </c>
      <c r="C367" s="41"/>
      <c r="D367" s="5" t="s">
        <v>75</v>
      </c>
      <c r="E367" s="41"/>
      <c r="F367" s="41"/>
      <c r="G367" s="41"/>
      <c r="H367" s="5" t="s">
        <v>76</v>
      </c>
    </row>
    <row r="368">
      <c r="A368" s="6" t="s">
        <v>524</v>
      </c>
      <c r="B368" s="6" t="s">
        <v>72</v>
      </c>
      <c r="C368" s="33"/>
      <c r="D368" s="6" t="s">
        <v>75</v>
      </c>
      <c r="E368" s="33"/>
      <c r="F368" s="33"/>
      <c r="G368" s="33"/>
      <c r="H368" s="6" t="s">
        <v>76</v>
      </c>
    </row>
    <row r="369">
      <c r="A369" s="6" t="s">
        <v>524</v>
      </c>
      <c r="B369" s="6" t="s">
        <v>72</v>
      </c>
      <c r="C369" s="33"/>
      <c r="D369" s="6" t="s">
        <v>75</v>
      </c>
      <c r="E369" s="33"/>
      <c r="F369" s="33"/>
      <c r="G369" s="33"/>
      <c r="H369" s="6" t="s">
        <v>76</v>
      </c>
    </row>
    <row r="370">
      <c r="A370" s="6" t="s">
        <v>524</v>
      </c>
      <c r="B370" s="6" t="s">
        <v>72</v>
      </c>
      <c r="C370" s="33"/>
      <c r="D370" s="6" t="s">
        <v>75</v>
      </c>
      <c r="E370" s="33"/>
      <c r="F370" s="33"/>
      <c r="G370" s="33"/>
      <c r="H370" s="6" t="s">
        <v>76</v>
      </c>
    </row>
    <row r="371">
      <c r="A371" s="6" t="s">
        <v>524</v>
      </c>
      <c r="B371" s="6" t="s">
        <v>72</v>
      </c>
      <c r="C371" s="33"/>
      <c r="D371" s="6" t="s">
        <v>75</v>
      </c>
      <c r="E371" s="33"/>
      <c r="F371" s="33"/>
      <c r="G371" s="33"/>
      <c r="H371" s="6" t="s">
        <v>76</v>
      </c>
    </row>
    <row r="372">
      <c r="A372" s="6" t="s">
        <v>524</v>
      </c>
      <c r="B372" s="6" t="s">
        <v>72</v>
      </c>
      <c r="C372" s="33"/>
      <c r="D372" s="6" t="s">
        <v>75</v>
      </c>
      <c r="E372" s="33"/>
      <c r="F372" s="33"/>
      <c r="G372" s="33"/>
      <c r="H372" s="6" t="s">
        <v>76</v>
      </c>
    </row>
    <row r="373">
      <c r="A373" s="6" t="s">
        <v>524</v>
      </c>
      <c r="B373" s="6" t="s">
        <v>72</v>
      </c>
      <c r="C373" s="33"/>
      <c r="D373" s="6" t="s">
        <v>75</v>
      </c>
      <c r="E373" s="33"/>
      <c r="F373" s="33"/>
      <c r="G373" s="33"/>
      <c r="H373" s="6" t="s">
        <v>76</v>
      </c>
    </row>
    <row r="374">
      <c r="A374" s="6" t="s">
        <v>524</v>
      </c>
      <c r="B374" s="6" t="s">
        <v>72</v>
      </c>
      <c r="C374" s="33"/>
      <c r="D374" s="6" t="s">
        <v>75</v>
      </c>
      <c r="E374" s="33"/>
      <c r="F374" s="33"/>
      <c r="G374" s="33"/>
      <c r="H374" s="6" t="s">
        <v>76</v>
      </c>
    </row>
    <row r="375">
      <c r="A375" s="6" t="s">
        <v>524</v>
      </c>
      <c r="B375" s="6" t="s">
        <v>72</v>
      </c>
      <c r="C375" s="33"/>
      <c r="D375" s="6" t="s">
        <v>75</v>
      </c>
      <c r="E375" s="33"/>
      <c r="F375" s="33"/>
      <c r="G375" s="33"/>
      <c r="H375" s="6" t="s">
        <v>76</v>
      </c>
    </row>
    <row r="376">
      <c r="A376" s="6" t="s">
        <v>524</v>
      </c>
      <c r="B376" s="6" t="s">
        <v>72</v>
      </c>
      <c r="C376" s="33"/>
      <c r="D376" s="6" t="s">
        <v>75</v>
      </c>
      <c r="E376" s="33"/>
      <c r="F376" s="33"/>
      <c r="G376" s="33"/>
      <c r="H376" s="6" t="s">
        <v>76</v>
      </c>
    </row>
    <row r="377">
      <c r="A377" s="6" t="s">
        <v>524</v>
      </c>
      <c r="B377" s="6" t="s">
        <v>72</v>
      </c>
      <c r="C377" s="33"/>
      <c r="D377" s="6" t="s">
        <v>75</v>
      </c>
      <c r="E377" s="33"/>
      <c r="F377" s="33"/>
      <c r="G377" s="33"/>
      <c r="H377" s="6" t="s">
        <v>76</v>
      </c>
    </row>
    <row r="378">
      <c r="A378" s="6" t="s">
        <v>524</v>
      </c>
      <c r="B378" s="6" t="s">
        <v>72</v>
      </c>
      <c r="C378" s="33"/>
      <c r="D378" s="6" t="s">
        <v>75</v>
      </c>
      <c r="E378" s="33"/>
      <c r="F378" s="33"/>
      <c r="G378" s="33"/>
      <c r="H378" s="6" t="s">
        <v>76</v>
      </c>
    </row>
    <row r="379">
      <c r="A379" s="6" t="s">
        <v>524</v>
      </c>
      <c r="B379" s="6" t="s">
        <v>72</v>
      </c>
      <c r="C379" s="33"/>
      <c r="D379" s="6" t="s">
        <v>75</v>
      </c>
      <c r="E379" s="33"/>
      <c r="F379" s="33"/>
      <c r="G379" s="33"/>
      <c r="H379" s="6" t="s">
        <v>76</v>
      </c>
    </row>
    <row r="380">
      <c r="A380" s="6" t="s">
        <v>72</v>
      </c>
      <c r="B380" s="6" t="s">
        <v>72</v>
      </c>
      <c r="C380" s="33"/>
      <c r="D380" s="6" t="s">
        <v>75</v>
      </c>
      <c r="E380" s="33"/>
      <c r="F380" s="33"/>
      <c r="G380" s="33"/>
      <c r="H380" s="6" t="s">
        <v>76</v>
      </c>
    </row>
    <row r="381">
      <c r="A381" s="5" t="s">
        <v>72</v>
      </c>
      <c r="B381" s="6" t="s">
        <v>101</v>
      </c>
      <c r="C381" s="33"/>
      <c r="D381" s="6" t="s">
        <v>102</v>
      </c>
      <c r="E381" s="33"/>
      <c r="F381" s="33"/>
      <c r="G381" s="33"/>
      <c r="H381" s="6" t="s">
        <v>76</v>
      </c>
    </row>
    <row r="382">
      <c r="A382" s="5" t="s">
        <v>72</v>
      </c>
      <c r="B382" s="6" t="s">
        <v>101</v>
      </c>
      <c r="C382" s="33"/>
      <c r="D382" s="6" t="s">
        <v>102</v>
      </c>
      <c r="E382" s="33"/>
      <c r="F382" s="33"/>
      <c r="G382" s="33"/>
      <c r="H382" s="6" t="s">
        <v>76</v>
      </c>
    </row>
    <row r="383">
      <c r="A383" s="6" t="s">
        <v>72</v>
      </c>
      <c r="B383" s="6" t="s">
        <v>72</v>
      </c>
      <c r="C383" s="33"/>
      <c r="D383" s="6" t="s">
        <v>576</v>
      </c>
      <c r="E383" s="33"/>
      <c r="F383" s="33"/>
      <c r="G383" s="33"/>
      <c r="H383" s="6" t="s">
        <v>76</v>
      </c>
    </row>
    <row r="384">
      <c r="A384" s="5" t="s">
        <v>72</v>
      </c>
      <c r="B384" s="5" t="s">
        <v>72</v>
      </c>
      <c r="C384" s="41"/>
      <c r="D384" s="5" t="s">
        <v>576</v>
      </c>
      <c r="E384" s="41"/>
      <c r="F384" s="41"/>
      <c r="G384" s="41"/>
      <c r="H384" s="5" t="s">
        <v>60</v>
      </c>
    </row>
    <row r="385">
      <c r="A385" s="6" t="s">
        <v>524</v>
      </c>
      <c r="B385" s="6" t="s">
        <v>72</v>
      </c>
      <c r="C385" s="33"/>
      <c r="D385" s="6" t="s">
        <v>75</v>
      </c>
      <c r="E385" s="33"/>
      <c r="F385" s="33"/>
      <c r="G385" s="33"/>
      <c r="H385" s="6" t="s">
        <v>76</v>
      </c>
    </row>
    <row r="386">
      <c r="A386" s="6" t="s">
        <v>524</v>
      </c>
      <c r="B386" s="6" t="s">
        <v>72</v>
      </c>
      <c r="C386" s="33"/>
      <c r="D386" s="6" t="s">
        <v>75</v>
      </c>
      <c r="E386" s="33"/>
      <c r="F386" s="33"/>
      <c r="G386" s="33"/>
      <c r="H386" s="6" t="s">
        <v>76</v>
      </c>
    </row>
    <row r="387">
      <c r="A387" s="6" t="s">
        <v>524</v>
      </c>
      <c r="B387" s="6" t="s">
        <v>72</v>
      </c>
      <c r="C387" s="33"/>
      <c r="D387" s="6" t="s">
        <v>75</v>
      </c>
      <c r="E387" s="33"/>
      <c r="F387" s="33"/>
      <c r="G387" s="33"/>
      <c r="H387" s="6" t="s">
        <v>76</v>
      </c>
    </row>
    <row r="388">
      <c r="A388" s="6" t="s">
        <v>524</v>
      </c>
      <c r="B388" s="6" t="s">
        <v>72</v>
      </c>
      <c r="C388" s="33"/>
      <c r="D388" s="6" t="s">
        <v>75</v>
      </c>
      <c r="E388" s="33"/>
      <c r="F388" s="33"/>
      <c r="G388" s="33"/>
      <c r="H388" s="6" t="s">
        <v>76</v>
      </c>
    </row>
    <row r="389">
      <c r="A389" s="6" t="s">
        <v>524</v>
      </c>
      <c r="B389" s="6" t="s">
        <v>72</v>
      </c>
      <c r="C389" s="33"/>
      <c r="D389" s="6" t="s">
        <v>102</v>
      </c>
      <c r="E389" s="33"/>
      <c r="F389" s="33"/>
      <c r="G389" s="33"/>
      <c r="H389" s="6" t="s">
        <v>76</v>
      </c>
    </row>
    <row r="390">
      <c r="A390" s="6" t="s">
        <v>72</v>
      </c>
      <c r="B390" s="6" t="s">
        <v>72</v>
      </c>
      <c r="C390" s="33"/>
      <c r="D390" s="6" t="s">
        <v>75</v>
      </c>
      <c r="E390" s="33"/>
      <c r="F390" s="33"/>
      <c r="G390" s="33"/>
      <c r="H390" s="6" t="s">
        <v>76</v>
      </c>
    </row>
    <row r="391">
      <c r="A391" s="6" t="s">
        <v>72</v>
      </c>
      <c r="B391" s="6" t="s">
        <v>72</v>
      </c>
      <c r="C391" s="33"/>
      <c r="D391" s="6" t="s">
        <v>75</v>
      </c>
      <c r="E391" s="33"/>
      <c r="F391" s="33"/>
      <c r="G391" s="33"/>
      <c r="H391" s="6" t="s">
        <v>76</v>
      </c>
    </row>
    <row r="392">
      <c r="A392" s="6" t="s">
        <v>72</v>
      </c>
      <c r="B392" s="6" t="s">
        <v>72</v>
      </c>
      <c r="C392" s="33"/>
      <c r="D392" s="6" t="s">
        <v>75</v>
      </c>
      <c r="E392" s="33"/>
      <c r="F392" s="33"/>
      <c r="G392" s="33"/>
      <c r="H392" s="6" t="s">
        <v>76</v>
      </c>
    </row>
    <row r="393">
      <c r="A393" s="6" t="s">
        <v>72</v>
      </c>
      <c r="B393" s="6" t="s">
        <v>72</v>
      </c>
      <c r="C393" s="33"/>
      <c r="D393" s="6" t="s">
        <v>75</v>
      </c>
      <c r="E393" s="33"/>
      <c r="F393" s="33"/>
      <c r="G393" s="33"/>
      <c r="H393" s="6" t="s">
        <v>76</v>
      </c>
    </row>
    <row r="394">
      <c r="A394" s="6" t="s">
        <v>72</v>
      </c>
      <c r="B394" s="6" t="s">
        <v>72</v>
      </c>
      <c r="C394" s="33"/>
      <c r="D394" s="6" t="s">
        <v>75</v>
      </c>
      <c r="E394" s="33"/>
      <c r="F394" s="33"/>
      <c r="G394" s="33"/>
      <c r="H394" s="6" t="s">
        <v>76</v>
      </c>
    </row>
    <row r="395">
      <c r="A395" s="5" t="s">
        <v>72</v>
      </c>
      <c r="B395" s="5" t="s">
        <v>72</v>
      </c>
      <c r="C395" s="41"/>
      <c r="D395" s="5" t="s">
        <v>75</v>
      </c>
      <c r="E395" s="41"/>
      <c r="F395" s="41"/>
      <c r="G395" s="41"/>
      <c r="H395" s="5" t="s">
        <v>60</v>
      </c>
    </row>
    <row r="396">
      <c r="A396" s="5" t="s">
        <v>72</v>
      </c>
      <c r="B396" s="5" t="s">
        <v>72</v>
      </c>
      <c r="C396" s="41"/>
      <c r="D396" s="5" t="s">
        <v>75</v>
      </c>
      <c r="E396" s="41"/>
      <c r="F396" s="41"/>
      <c r="G396" s="41"/>
      <c r="H396" s="5" t="s">
        <v>60</v>
      </c>
    </row>
    <row r="397">
      <c r="A397" s="5" t="s">
        <v>72</v>
      </c>
      <c r="B397" s="5" t="s">
        <v>72</v>
      </c>
      <c r="C397" s="41"/>
      <c r="D397" s="5" t="s">
        <v>75</v>
      </c>
      <c r="E397" s="41"/>
      <c r="F397" s="41"/>
      <c r="G397" s="41"/>
      <c r="H397" s="5" t="s">
        <v>60</v>
      </c>
    </row>
    <row r="398">
      <c r="A398" s="5" t="s">
        <v>72</v>
      </c>
      <c r="B398" s="5" t="s">
        <v>72</v>
      </c>
      <c r="C398" s="41"/>
      <c r="D398" s="5" t="s">
        <v>75</v>
      </c>
      <c r="E398" s="41"/>
      <c r="F398" s="41"/>
      <c r="G398" s="41"/>
      <c r="H398" s="5" t="s">
        <v>60</v>
      </c>
    </row>
    <row r="399">
      <c r="A399" s="5" t="s">
        <v>72</v>
      </c>
      <c r="B399" s="5" t="s">
        <v>72</v>
      </c>
      <c r="C399" s="41"/>
      <c r="D399" s="5" t="s">
        <v>75</v>
      </c>
      <c r="E399" s="41"/>
      <c r="F399" s="41"/>
      <c r="G399" s="41"/>
      <c r="H399" s="5" t="s">
        <v>60</v>
      </c>
    </row>
    <row r="400">
      <c r="A400" s="33" t="s">
        <v>238</v>
      </c>
      <c r="B400" s="6" t="s">
        <v>72</v>
      </c>
      <c r="C400" s="33"/>
      <c r="D400" s="6" t="s">
        <v>102</v>
      </c>
      <c r="E400" s="33"/>
      <c r="F400" s="33"/>
      <c r="G400" s="33"/>
      <c r="H400" s="6" t="s">
        <v>76</v>
      </c>
    </row>
    <row r="401">
      <c r="A401" s="6" t="s">
        <v>524</v>
      </c>
      <c r="B401" s="5" t="s">
        <v>76</v>
      </c>
      <c r="C401" s="41"/>
      <c r="D401" s="5" t="s">
        <v>102</v>
      </c>
      <c r="E401" s="41"/>
      <c r="F401" s="41"/>
      <c r="G401" s="41"/>
      <c r="H401" s="5" t="s">
        <v>60</v>
      </c>
    </row>
    <row r="402">
      <c r="A402" s="6" t="s">
        <v>524</v>
      </c>
      <c r="B402" s="6" t="s">
        <v>76</v>
      </c>
      <c r="C402" s="33"/>
      <c r="D402" s="6" t="s">
        <v>576</v>
      </c>
      <c r="E402" s="33"/>
      <c r="F402" s="33"/>
      <c r="G402" s="33"/>
      <c r="H402" s="6" t="s">
        <v>76</v>
      </c>
    </row>
    <row r="403">
      <c r="A403" s="6" t="s">
        <v>524</v>
      </c>
      <c r="B403" s="6" t="s">
        <v>76</v>
      </c>
      <c r="C403" s="33"/>
      <c r="D403" s="6" t="s">
        <v>576</v>
      </c>
      <c r="E403" s="33"/>
      <c r="F403" s="33"/>
      <c r="G403" s="33"/>
      <c r="H403" s="6" t="s">
        <v>76</v>
      </c>
    </row>
    <row r="404">
      <c r="A404" s="6" t="s">
        <v>524</v>
      </c>
      <c r="B404" s="6" t="s">
        <v>76</v>
      </c>
      <c r="C404" s="33"/>
      <c r="D404" s="6" t="s">
        <v>576</v>
      </c>
      <c r="E404" s="33"/>
      <c r="F404" s="33"/>
      <c r="G404" s="33"/>
      <c r="H404" s="6" t="s">
        <v>76</v>
      </c>
    </row>
    <row r="405">
      <c r="A405" s="6" t="s">
        <v>524</v>
      </c>
      <c r="B405" s="6" t="s">
        <v>76</v>
      </c>
      <c r="C405" s="33"/>
      <c r="D405" s="6" t="s">
        <v>576</v>
      </c>
      <c r="E405" s="33"/>
      <c r="F405" s="33"/>
      <c r="G405" s="33"/>
      <c r="H405" s="6" t="s">
        <v>76</v>
      </c>
    </row>
    <row r="406">
      <c r="A406" s="6" t="s">
        <v>524</v>
      </c>
      <c r="B406" s="6" t="s">
        <v>76</v>
      </c>
      <c r="C406" s="33"/>
      <c r="D406" s="6" t="s">
        <v>576</v>
      </c>
      <c r="E406" s="33"/>
      <c r="F406" s="33"/>
      <c r="G406" s="33"/>
      <c r="H406" s="6" t="s">
        <v>76</v>
      </c>
    </row>
    <row r="407">
      <c r="A407" s="6" t="s">
        <v>132</v>
      </c>
      <c r="B407" s="6" t="s">
        <v>60</v>
      </c>
      <c r="C407" s="33" t="s">
        <v>471</v>
      </c>
      <c r="D407" s="6" t="s">
        <v>102</v>
      </c>
      <c r="E407" s="33"/>
      <c r="F407" s="33"/>
      <c r="G407" s="33"/>
      <c r="H407" s="6" t="s">
        <v>76</v>
      </c>
    </row>
    <row r="408">
      <c r="A408" s="6" t="s">
        <v>132</v>
      </c>
      <c r="B408" s="6" t="s">
        <v>60</v>
      </c>
      <c r="C408" s="33" t="s">
        <v>471</v>
      </c>
      <c r="D408" s="6" t="s">
        <v>102</v>
      </c>
      <c r="E408" s="33"/>
      <c r="F408" s="33"/>
      <c r="G408" s="33"/>
      <c r="H408" s="6" t="s">
        <v>76</v>
      </c>
    </row>
    <row r="409">
      <c r="A409" s="6" t="s">
        <v>72</v>
      </c>
      <c r="B409" s="6" t="s">
        <v>72</v>
      </c>
      <c r="C409" s="33"/>
      <c r="D409" s="6" t="s">
        <v>75</v>
      </c>
      <c r="E409" s="33"/>
      <c r="F409" s="33"/>
      <c r="G409" s="33"/>
      <c r="H409" s="6" t="s">
        <v>76</v>
      </c>
    </row>
    <row r="410">
      <c r="A410" s="6" t="s">
        <v>72</v>
      </c>
      <c r="B410" s="6" t="s">
        <v>72</v>
      </c>
      <c r="C410" s="33"/>
      <c r="D410" s="6" t="s">
        <v>102</v>
      </c>
      <c r="E410" s="33"/>
      <c r="F410" s="33"/>
      <c r="G410" s="33"/>
      <c r="H410" s="6" t="s">
        <v>76</v>
      </c>
    </row>
    <row r="411">
      <c r="A411" s="6" t="s">
        <v>72</v>
      </c>
      <c r="B411" s="6" t="s">
        <v>72</v>
      </c>
      <c r="C411" s="33"/>
      <c r="D411" s="6" t="s">
        <v>102</v>
      </c>
      <c r="E411" s="33"/>
      <c r="F411" s="33"/>
      <c r="G411" s="33"/>
      <c r="H411" s="6" t="s">
        <v>76</v>
      </c>
    </row>
    <row r="412">
      <c r="A412" s="6" t="s">
        <v>72</v>
      </c>
      <c r="B412" s="6" t="s">
        <v>72</v>
      </c>
      <c r="C412" s="33"/>
      <c r="D412" s="6" t="s">
        <v>102</v>
      </c>
      <c r="E412" s="33"/>
      <c r="F412" s="33"/>
      <c r="G412" s="33"/>
      <c r="H412" s="6" t="s">
        <v>76</v>
      </c>
    </row>
    <row r="413">
      <c r="A413" s="5" t="s">
        <v>72</v>
      </c>
      <c r="B413" s="6" t="s">
        <v>101</v>
      </c>
      <c r="C413" s="33"/>
      <c r="D413" s="6" t="s">
        <v>102</v>
      </c>
      <c r="E413" s="33"/>
      <c r="F413" s="33"/>
      <c r="G413" s="33"/>
      <c r="H413" s="6" t="s">
        <v>76</v>
      </c>
    </row>
    <row r="414">
      <c r="A414" s="6" t="s">
        <v>132</v>
      </c>
      <c r="B414" s="5" t="s">
        <v>72</v>
      </c>
      <c r="C414" s="41"/>
      <c r="D414" s="5" t="s">
        <v>102</v>
      </c>
      <c r="E414" s="41"/>
      <c r="F414" s="41"/>
      <c r="G414" s="41"/>
      <c r="H414" s="5" t="s">
        <v>60</v>
      </c>
    </row>
    <row r="415">
      <c r="A415" s="6" t="s">
        <v>132</v>
      </c>
      <c r="B415" s="6" t="s">
        <v>72</v>
      </c>
      <c r="C415" s="33"/>
      <c r="D415" s="6" t="s">
        <v>102</v>
      </c>
      <c r="E415" s="33"/>
      <c r="F415" s="33"/>
      <c r="G415" s="33"/>
      <c r="H415" s="6" t="s">
        <v>76</v>
      </c>
    </row>
    <row r="416">
      <c r="A416" s="6" t="s">
        <v>524</v>
      </c>
      <c r="B416" s="6" t="s">
        <v>72</v>
      </c>
      <c r="C416" s="33"/>
      <c r="D416" s="6" t="s">
        <v>75</v>
      </c>
      <c r="E416" s="33"/>
      <c r="F416" s="33"/>
      <c r="G416" s="33"/>
      <c r="H416" s="6" t="s">
        <v>76</v>
      </c>
    </row>
    <row r="417">
      <c r="A417" s="6" t="s">
        <v>524</v>
      </c>
      <c r="B417" s="5" t="s">
        <v>72</v>
      </c>
      <c r="C417" s="41"/>
      <c r="D417" s="5" t="s">
        <v>75</v>
      </c>
      <c r="E417" s="41"/>
      <c r="F417" s="41"/>
      <c r="G417" s="41"/>
      <c r="H417" s="5" t="s">
        <v>60</v>
      </c>
    </row>
    <row r="418">
      <c r="A418" s="6" t="s">
        <v>524</v>
      </c>
      <c r="B418" s="6" t="s">
        <v>72</v>
      </c>
      <c r="C418" s="33"/>
      <c r="D418" s="6" t="s">
        <v>75</v>
      </c>
      <c r="E418" s="33"/>
      <c r="F418" s="33"/>
      <c r="G418" s="33"/>
      <c r="H418" s="6" t="s">
        <v>76</v>
      </c>
    </row>
    <row r="419">
      <c r="A419" s="6" t="s">
        <v>524</v>
      </c>
      <c r="B419" s="6" t="s">
        <v>72</v>
      </c>
      <c r="C419" s="33"/>
      <c r="D419" s="6" t="s">
        <v>75</v>
      </c>
      <c r="E419" s="33"/>
      <c r="F419" s="33"/>
      <c r="G419" s="33"/>
      <c r="H419" s="6" t="s">
        <v>76</v>
      </c>
    </row>
    <row r="420">
      <c r="A420" s="6" t="s">
        <v>524</v>
      </c>
      <c r="B420" s="6" t="s">
        <v>72</v>
      </c>
      <c r="C420" s="33"/>
      <c r="D420" s="6" t="s">
        <v>75</v>
      </c>
      <c r="E420" s="33"/>
      <c r="F420" s="33"/>
      <c r="G420" s="33"/>
      <c r="H420" s="6" t="s">
        <v>76</v>
      </c>
    </row>
    <row r="421">
      <c r="A421" s="5" t="s">
        <v>72</v>
      </c>
      <c r="B421" s="6" t="s">
        <v>101</v>
      </c>
      <c r="C421" s="33"/>
      <c r="D421" s="6" t="s">
        <v>102</v>
      </c>
      <c r="E421" s="33"/>
      <c r="F421" s="33"/>
      <c r="G421" s="33"/>
      <c r="H421" s="6" t="s">
        <v>76</v>
      </c>
    </row>
    <row r="422">
      <c r="A422" s="6" t="s">
        <v>132</v>
      </c>
      <c r="B422" s="6" t="s">
        <v>60</v>
      </c>
      <c r="C422" s="33" t="s">
        <v>471</v>
      </c>
      <c r="D422" s="6" t="s">
        <v>102</v>
      </c>
      <c r="E422" s="33"/>
      <c r="F422" s="33"/>
      <c r="G422" s="33"/>
      <c r="H422" s="6" t="s">
        <v>76</v>
      </c>
    </row>
    <row r="423">
      <c r="A423" s="6" t="s">
        <v>132</v>
      </c>
      <c r="B423" s="6" t="s">
        <v>60</v>
      </c>
      <c r="C423" s="33" t="s">
        <v>471</v>
      </c>
      <c r="D423" s="6" t="s">
        <v>102</v>
      </c>
      <c r="E423" s="33"/>
      <c r="F423" s="33"/>
      <c r="G423" s="33"/>
      <c r="H423" s="6" t="s">
        <v>76</v>
      </c>
    </row>
    <row r="424">
      <c r="A424" s="6" t="s">
        <v>132</v>
      </c>
      <c r="B424" s="6" t="s">
        <v>60</v>
      </c>
      <c r="C424" s="33" t="s">
        <v>471</v>
      </c>
      <c r="D424" s="6" t="s">
        <v>102</v>
      </c>
      <c r="E424" s="33"/>
      <c r="F424" s="33"/>
      <c r="G424" s="33"/>
      <c r="H424" s="6" t="s">
        <v>76</v>
      </c>
    </row>
    <row r="425">
      <c r="A425" s="6" t="s">
        <v>132</v>
      </c>
      <c r="B425" s="6" t="s">
        <v>60</v>
      </c>
      <c r="C425" s="33" t="s">
        <v>471</v>
      </c>
      <c r="D425" s="6" t="s">
        <v>102</v>
      </c>
      <c r="E425" s="33"/>
      <c r="F425" s="33"/>
      <c r="G425" s="33"/>
      <c r="H425" s="6" t="s">
        <v>76</v>
      </c>
    </row>
    <row r="426">
      <c r="A426" s="6" t="s">
        <v>132</v>
      </c>
      <c r="B426" s="5" t="s">
        <v>60</v>
      </c>
      <c r="C426" s="41"/>
      <c r="D426" s="5" t="s">
        <v>75</v>
      </c>
      <c r="E426" s="41"/>
      <c r="F426" s="41"/>
      <c r="G426" s="41"/>
      <c r="H426" s="5" t="s">
        <v>60</v>
      </c>
    </row>
    <row r="427">
      <c r="A427" s="6" t="s">
        <v>132</v>
      </c>
      <c r="B427" s="6" t="s">
        <v>60</v>
      </c>
      <c r="C427" s="33"/>
      <c r="D427" s="6" t="s">
        <v>75</v>
      </c>
      <c r="E427" s="33"/>
      <c r="F427" s="33"/>
      <c r="G427" s="33"/>
      <c r="H427" s="6" t="s">
        <v>76</v>
      </c>
    </row>
    <row r="428">
      <c r="A428" s="5" t="s">
        <v>72</v>
      </c>
      <c r="B428" s="6" t="s">
        <v>101</v>
      </c>
      <c r="C428" s="33"/>
      <c r="D428" s="6" t="s">
        <v>102</v>
      </c>
      <c r="E428" s="33"/>
      <c r="F428" s="33"/>
      <c r="G428" s="33"/>
      <c r="H428" s="6" t="s">
        <v>76</v>
      </c>
    </row>
    <row r="429">
      <c r="A429" s="6" t="s">
        <v>132</v>
      </c>
      <c r="B429" s="6" t="s">
        <v>72</v>
      </c>
      <c r="C429" s="33"/>
      <c r="D429" s="6" t="s">
        <v>75</v>
      </c>
      <c r="E429" s="33"/>
      <c r="F429" s="33"/>
      <c r="G429" s="33"/>
      <c r="H429" s="6" t="s">
        <v>76</v>
      </c>
    </row>
    <row r="430">
      <c r="A430" s="6" t="s">
        <v>132</v>
      </c>
      <c r="B430" s="6" t="s">
        <v>72</v>
      </c>
      <c r="C430" s="33"/>
      <c r="D430" s="6" t="s">
        <v>75</v>
      </c>
      <c r="E430" s="33"/>
      <c r="F430" s="33"/>
      <c r="G430" s="33"/>
      <c r="H430" s="6" t="s">
        <v>76</v>
      </c>
    </row>
    <row r="431">
      <c r="A431" s="5" t="s">
        <v>72</v>
      </c>
      <c r="B431" s="5" t="s">
        <v>72</v>
      </c>
      <c r="C431" s="41"/>
      <c r="D431" s="5" t="s">
        <v>75</v>
      </c>
      <c r="E431" s="41"/>
      <c r="F431" s="41"/>
      <c r="G431" s="41"/>
      <c r="H431" s="6" t="s">
        <v>76</v>
      </c>
    </row>
    <row r="432">
      <c r="A432" s="6" t="s">
        <v>72</v>
      </c>
      <c r="B432" s="6" t="s">
        <v>72</v>
      </c>
      <c r="C432" s="33"/>
      <c r="D432" s="6" t="s">
        <v>75</v>
      </c>
      <c r="E432" s="33"/>
      <c r="F432" s="33"/>
      <c r="G432" s="33"/>
      <c r="H432" s="6" t="s">
        <v>76</v>
      </c>
    </row>
    <row r="433">
      <c r="A433" s="5" t="s">
        <v>72</v>
      </c>
      <c r="B433" s="5" t="s">
        <v>72</v>
      </c>
      <c r="C433" s="41"/>
      <c r="D433" s="5" t="s">
        <v>75</v>
      </c>
      <c r="E433" s="41"/>
      <c r="F433" s="41"/>
      <c r="G433" s="41"/>
      <c r="H433" s="5" t="s">
        <v>60</v>
      </c>
    </row>
    <row r="434">
      <c r="A434" s="6" t="s">
        <v>72</v>
      </c>
      <c r="B434" s="6" t="s">
        <v>72</v>
      </c>
      <c r="C434" s="33"/>
      <c r="D434" s="6" t="s">
        <v>75</v>
      </c>
      <c r="E434" s="33"/>
      <c r="F434" s="33"/>
      <c r="G434" s="33"/>
      <c r="H434" s="6" t="s">
        <v>76</v>
      </c>
    </row>
    <row r="435">
      <c r="A435" s="33" t="s">
        <v>238</v>
      </c>
      <c r="B435" s="6" t="s">
        <v>72</v>
      </c>
      <c r="C435" s="33"/>
      <c r="D435" s="6" t="s">
        <v>102</v>
      </c>
      <c r="E435" s="33"/>
      <c r="F435" s="33"/>
      <c r="G435" s="33"/>
      <c r="H435" s="6" t="s">
        <v>76</v>
      </c>
    </row>
    <row r="436">
      <c r="A436" s="33" t="s">
        <v>238</v>
      </c>
      <c r="B436" s="6" t="s">
        <v>72</v>
      </c>
      <c r="C436" s="33"/>
      <c r="D436" s="6" t="s">
        <v>102</v>
      </c>
      <c r="E436" s="33"/>
      <c r="F436" s="33"/>
      <c r="G436" s="33"/>
      <c r="H436" s="6" t="s">
        <v>76</v>
      </c>
    </row>
    <row r="437">
      <c r="A437" s="33" t="s">
        <v>238</v>
      </c>
      <c r="B437" s="6" t="s">
        <v>72</v>
      </c>
      <c r="C437" s="33"/>
      <c r="D437" s="6" t="s">
        <v>102</v>
      </c>
      <c r="E437" s="33"/>
      <c r="F437" s="33"/>
      <c r="G437" s="33"/>
      <c r="H437" s="6" t="s">
        <v>76</v>
      </c>
    </row>
    <row r="438">
      <c r="A438" s="33" t="s">
        <v>238</v>
      </c>
      <c r="B438" s="6" t="s">
        <v>72</v>
      </c>
      <c r="C438" s="33"/>
      <c r="D438" s="6" t="s">
        <v>102</v>
      </c>
      <c r="E438" s="33"/>
      <c r="F438" s="33"/>
      <c r="G438" s="33"/>
      <c r="H438" s="6" t="s">
        <v>76</v>
      </c>
    </row>
    <row r="439">
      <c r="A439" s="33" t="s">
        <v>238</v>
      </c>
      <c r="B439" s="6" t="s">
        <v>72</v>
      </c>
      <c r="C439" s="33"/>
      <c r="D439" s="6" t="s">
        <v>102</v>
      </c>
      <c r="E439" s="33"/>
      <c r="F439" s="33"/>
      <c r="G439" s="33"/>
      <c r="H439" s="6" t="s">
        <v>76</v>
      </c>
    </row>
    <row r="440">
      <c r="A440" s="33" t="s">
        <v>238</v>
      </c>
      <c r="B440" s="5" t="s">
        <v>72</v>
      </c>
      <c r="C440" s="41"/>
      <c r="D440" s="5" t="s">
        <v>102</v>
      </c>
      <c r="E440" s="41"/>
      <c r="F440" s="41"/>
      <c r="G440" s="41"/>
      <c r="H440" s="6" t="s">
        <v>76</v>
      </c>
    </row>
    <row r="441">
      <c r="A441" s="33" t="s">
        <v>238</v>
      </c>
      <c r="B441" s="5" t="s">
        <v>72</v>
      </c>
      <c r="C441" s="41"/>
      <c r="D441" s="5" t="s">
        <v>102</v>
      </c>
      <c r="E441" s="41"/>
      <c r="F441" s="41"/>
      <c r="G441" s="41"/>
      <c r="H441" s="6" t="s">
        <v>76</v>
      </c>
    </row>
    <row r="442">
      <c r="A442" s="33" t="s">
        <v>238</v>
      </c>
      <c r="B442" s="5" t="s">
        <v>72</v>
      </c>
      <c r="C442" s="41"/>
      <c r="D442" s="5" t="s">
        <v>102</v>
      </c>
      <c r="E442" s="41"/>
      <c r="F442" s="41"/>
      <c r="G442" s="41"/>
      <c r="H442" s="6" t="s">
        <v>76</v>
      </c>
    </row>
    <row r="443">
      <c r="A443" s="33" t="s">
        <v>238</v>
      </c>
      <c r="B443" s="5" t="s">
        <v>72</v>
      </c>
      <c r="C443" s="41"/>
      <c r="D443" s="5" t="s">
        <v>102</v>
      </c>
      <c r="E443" s="41"/>
      <c r="F443" s="41"/>
      <c r="G443" s="41"/>
      <c r="H443" s="6" t="s">
        <v>76</v>
      </c>
    </row>
    <row r="444">
      <c r="A444" s="33" t="s">
        <v>238</v>
      </c>
      <c r="B444" s="5" t="s">
        <v>72</v>
      </c>
      <c r="C444" s="41"/>
      <c r="D444" s="5" t="s">
        <v>102</v>
      </c>
      <c r="E444" s="41"/>
      <c r="F444" s="41"/>
      <c r="G444" s="41"/>
      <c r="H444" s="6" t="s">
        <v>76</v>
      </c>
    </row>
    <row r="445">
      <c r="A445" s="33" t="s">
        <v>238</v>
      </c>
      <c r="B445" s="6" t="s">
        <v>72</v>
      </c>
      <c r="C445" s="33"/>
      <c r="D445" s="6" t="s">
        <v>102</v>
      </c>
      <c r="E445" s="33"/>
      <c r="F445" s="33"/>
      <c r="G445" s="33"/>
      <c r="H445" s="6" t="s">
        <v>76</v>
      </c>
    </row>
    <row r="446">
      <c r="A446" s="33" t="s">
        <v>238</v>
      </c>
      <c r="B446" s="6" t="s">
        <v>72</v>
      </c>
      <c r="C446" s="33"/>
      <c r="D446" s="6" t="s">
        <v>102</v>
      </c>
      <c r="E446" s="33"/>
      <c r="F446" s="33"/>
      <c r="G446" s="33"/>
      <c r="H446" s="6" t="s">
        <v>76</v>
      </c>
    </row>
    <row r="447">
      <c r="A447" s="33" t="s">
        <v>238</v>
      </c>
      <c r="B447" s="6" t="s">
        <v>72</v>
      </c>
      <c r="C447" s="33"/>
      <c r="D447" s="6" t="s">
        <v>102</v>
      </c>
      <c r="E447" s="33"/>
      <c r="F447" s="33"/>
      <c r="G447" s="33"/>
      <c r="H447" s="6" t="s">
        <v>76</v>
      </c>
    </row>
    <row r="448">
      <c r="A448" s="33" t="s">
        <v>238</v>
      </c>
      <c r="B448" s="6" t="s">
        <v>72</v>
      </c>
      <c r="C448" s="33"/>
      <c r="D448" s="6" t="s">
        <v>102</v>
      </c>
      <c r="E448" s="33"/>
      <c r="F448" s="33"/>
      <c r="G448" s="33"/>
      <c r="H448" s="6" t="s">
        <v>76</v>
      </c>
    </row>
    <row r="449">
      <c r="A449" s="33" t="s">
        <v>238</v>
      </c>
      <c r="B449" s="6" t="s">
        <v>72</v>
      </c>
      <c r="C449" s="33"/>
      <c r="D449" s="6" t="s">
        <v>102</v>
      </c>
      <c r="E449" s="33"/>
      <c r="F449" s="33"/>
      <c r="G449" s="33"/>
      <c r="H449" s="6" t="s">
        <v>76</v>
      </c>
    </row>
    <row r="450">
      <c r="A450" s="33" t="s">
        <v>238</v>
      </c>
      <c r="B450" s="6" t="s">
        <v>72</v>
      </c>
      <c r="C450" s="33"/>
      <c r="D450" s="6" t="s">
        <v>102</v>
      </c>
      <c r="E450" s="33"/>
      <c r="F450" s="33"/>
      <c r="G450" s="33"/>
      <c r="H450" s="6" t="s">
        <v>76</v>
      </c>
    </row>
    <row r="451">
      <c r="A451" s="33" t="s">
        <v>238</v>
      </c>
      <c r="B451" s="6" t="s">
        <v>72</v>
      </c>
      <c r="C451" s="33"/>
      <c r="D451" s="6" t="s">
        <v>102</v>
      </c>
      <c r="E451" s="33"/>
      <c r="F451" s="33"/>
      <c r="G451" s="33"/>
      <c r="H451" s="6" t="s">
        <v>76</v>
      </c>
    </row>
    <row r="452">
      <c r="A452" s="33" t="s">
        <v>238</v>
      </c>
      <c r="B452" s="6" t="s">
        <v>72</v>
      </c>
      <c r="C452" s="33"/>
      <c r="D452" s="6" t="s">
        <v>102</v>
      </c>
      <c r="E452" s="33"/>
      <c r="F452" s="33"/>
      <c r="G452" s="33"/>
      <c r="H452" s="6" t="s">
        <v>76</v>
      </c>
    </row>
    <row r="453">
      <c r="A453" s="33" t="s">
        <v>238</v>
      </c>
      <c r="B453" s="6" t="s">
        <v>72</v>
      </c>
      <c r="C453" s="33"/>
      <c r="D453" s="6" t="s">
        <v>102</v>
      </c>
      <c r="E453" s="33"/>
      <c r="F453" s="33"/>
      <c r="G453" s="33"/>
      <c r="H453" s="6" t="s">
        <v>76</v>
      </c>
    </row>
    <row r="454">
      <c r="A454" s="33" t="s">
        <v>238</v>
      </c>
      <c r="B454" s="6" t="s">
        <v>72</v>
      </c>
      <c r="C454" s="33"/>
      <c r="D454" s="6" t="s">
        <v>102</v>
      </c>
      <c r="E454" s="33"/>
      <c r="F454" s="33"/>
      <c r="G454" s="33"/>
      <c r="H454" s="6" t="s">
        <v>76</v>
      </c>
    </row>
    <row r="455">
      <c r="A455" s="41" t="s">
        <v>74</v>
      </c>
      <c r="B455" s="5" t="s">
        <v>72</v>
      </c>
      <c r="C455" s="41"/>
      <c r="D455" s="5" t="s">
        <v>576</v>
      </c>
      <c r="E455" s="68">
        <v>305.0</v>
      </c>
      <c r="F455" s="68">
        <v>131.0</v>
      </c>
      <c r="G455" s="68">
        <v>225.0</v>
      </c>
      <c r="H455" s="5" t="s">
        <v>60</v>
      </c>
    </row>
    <row r="456">
      <c r="A456" s="5" t="s">
        <v>72</v>
      </c>
      <c r="B456" s="6" t="s">
        <v>101</v>
      </c>
      <c r="C456" s="33"/>
      <c r="D456" s="6" t="s">
        <v>102</v>
      </c>
      <c r="E456" s="33"/>
      <c r="F456" s="33"/>
      <c r="G456" s="33"/>
      <c r="H456" s="6" t="s">
        <v>76</v>
      </c>
    </row>
    <row r="457">
      <c r="A457" s="5" t="s">
        <v>72</v>
      </c>
      <c r="B457" s="6" t="s">
        <v>101</v>
      </c>
      <c r="C457" s="33"/>
      <c r="D457" s="6" t="s">
        <v>102</v>
      </c>
      <c r="E457" s="33"/>
      <c r="F457" s="33"/>
      <c r="G457" s="33"/>
      <c r="H457" s="6" t="s">
        <v>76</v>
      </c>
    </row>
    <row r="458">
      <c r="A458" s="6" t="s">
        <v>72</v>
      </c>
      <c r="B458" s="6" t="s">
        <v>72</v>
      </c>
      <c r="C458" s="33"/>
      <c r="D458" s="6" t="s">
        <v>102</v>
      </c>
      <c r="E458" s="33"/>
      <c r="F458" s="33"/>
      <c r="G458" s="33"/>
      <c r="H458" s="6" t="s">
        <v>76</v>
      </c>
    </row>
    <row r="459">
      <c r="A459" s="5" t="s">
        <v>72</v>
      </c>
      <c r="B459" s="5" t="s">
        <v>72</v>
      </c>
      <c r="C459" s="41"/>
      <c r="D459" s="5" t="s">
        <v>102</v>
      </c>
      <c r="E459" s="41"/>
      <c r="F459" s="41"/>
      <c r="G459" s="41"/>
      <c r="H459" s="5" t="s">
        <v>60</v>
      </c>
    </row>
    <row r="460">
      <c r="A460" s="5" t="s">
        <v>72</v>
      </c>
      <c r="B460" s="5" t="s">
        <v>72</v>
      </c>
      <c r="C460" s="41"/>
      <c r="D460" s="5" t="s">
        <v>102</v>
      </c>
      <c r="E460" s="41"/>
      <c r="F460" s="41"/>
      <c r="G460" s="41"/>
      <c r="H460" s="5" t="s">
        <v>60</v>
      </c>
    </row>
    <row r="461">
      <c r="A461" s="6" t="s">
        <v>72</v>
      </c>
      <c r="B461" s="6" t="s">
        <v>72</v>
      </c>
      <c r="C461" s="33"/>
      <c r="D461" s="6" t="s">
        <v>102</v>
      </c>
      <c r="E461" s="33"/>
      <c r="F461" s="33"/>
      <c r="G461" s="33"/>
      <c r="H461" s="6" t="s">
        <v>76</v>
      </c>
    </row>
    <row r="462">
      <c r="A462" s="6" t="s">
        <v>72</v>
      </c>
      <c r="B462" s="6" t="s">
        <v>72</v>
      </c>
      <c r="C462" s="33"/>
      <c r="D462" s="6" t="s">
        <v>102</v>
      </c>
      <c r="E462" s="33"/>
      <c r="F462" s="33"/>
      <c r="G462" s="33"/>
      <c r="H462" s="6" t="s">
        <v>76</v>
      </c>
    </row>
    <row r="463">
      <c r="A463" s="6" t="s">
        <v>132</v>
      </c>
      <c r="B463" s="6" t="s">
        <v>72</v>
      </c>
      <c r="C463" s="33"/>
      <c r="D463" s="6" t="s">
        <v>102</v>
      </c>
      <c r="E463" s="33"/>
      <c r="F463" s="33"/>
      <c r="G463" s="33"/>
      <c r="H463" s="6" t="s">
        <v>76</v>
      </c>
    </row>
    <row r="464">
      <c r="A464" s="6" t="s">
        <v>132</v>
      </c>
      <c r="B464" s="6" t="s">
        <v>72</v>
      </c>
      <c r="C464" s="33"/>
      <c r="D464" s="6" t="s">
        <v>102</v>
      </c>
      <c r="E464" s="33"/>
      <c r="F464" s="33"/>
      <c r="G464" s="33"/>
      <c r="H464" s="6" t="s">
        <v>76</v>
      </c>
    </row>
    <row r="465">
      <c r="A465" s="6" t="s">
        <v>132</v>
      </c>
      <c r="B465" s="6" t="s">
        <v>72</v>
      </c>
      <c r="C465" s="33"/>
      <c r="D465" s="6" t="s">
        <v>102</v>
      </c>
      <c r="E465" s="33"/>
      <c r="F465" s="33"/>
      <c r="G465" s="33"/>
      <c r="H465" s="6" t="s">
        <v>60</v>
      </c>
    </row>
    <row r="466">
      <c r="A466" s="6" t="s">
        <v>132</v>
      </c>
      <c r="B466" s="6" t="s">
        <v>72</v>
      </c>
      <c r="C466" s="33"/>
      <c r="D466" s="6" t="s">
        <v>102</v>
      </c>
      <c r="E466" s="33"/>
      <c r="F466" s="33"/>
      <c r="G466" s="33"/>
      <c r="H466" s="6" t="s">
        <v>76</v>
      </c>
    </row>
    <row r="467">
      <c r="A467" s="6" t="s">
        <v>524</v>
      </c>
      <c r="B467" s="6" t="s">
        <v>72</v>
      </c>
      <c r="C467" s="33"/>
      <c r="D467" s="6" t="s">
        <v>102</v>
      </c>
      <c r="E467" s="33"/>
      <c r="F467" s="33"/>
      <c r="G467" s="33"/>
      <c r="H467" s="6" t="s">
        <v>76</v>
      </c>
    </row>
    <row r="468">
      <c r="A468" s="5" t="s">
        <v>72</v>
      </c>
      <c r="B468" s="6" t="s">
        <v>101</v>
      </c>
      <c r="C468" s="33"/>
      <c r="D468" s="6" t="s">
        <v>102</v>
      </c>
      <c r="E468" s="33"/>
      <c r="F468" s="33"/>
      <c r="G468" s="33"/>
      <c r="H468" s="6" t="s">
        <v>76</v>
      </c>
    </row>
    <row r="469">
      <c r="A469" s="5" t="s">
        <v>72</v>
      </c>
      <c r="B469" s="6" t="s">
        <v>101</v>
      </c>
      <c r="C469" s="33"/>
      <c r="D469" s="6" t="s">
        <v>102</v>
      </c>
      <c r="E469" s="33"/>
      <c r="F469" s="33"/>
      <c r="G469" s="33"/>
      <c r="H469" s="6" t="s">
        <v>76</v>
      </c>
    </row>
    <row r="470">
      <c r="A470" s="5" t="s">
        <v>72</v>
      </c>
      <c r="B470" s="6" t="s">
        <v>101</v>
      </c>
      <c r="C470" s="33"/>
      <c r="D470" s="6" t="s">
        <v>102</v>
      </c>
      <c r="E470" s="33"/>
      <c r="F470" s="33"/>
      <c r="G470" s="33"/>
      <c r="H470" s="6" t="s">
        <v>76</v>
      </c>
    </row>
    <row r="471">
      <c r="A471" s="6" t="s">
        <v>72</v>
      </c>
      <c r="B471" s="6" t="s">
        <v>72</v>
      </c>
      <c r="C471" s="33"/>
      <c r="D471" s="6" t="s">
        <v>75</v>
      </c>
      <c r="E471" s="33"/>
      <c r="F471" s="33"/>
      <c r="G471" s="33"/>
      <c r="H471" s="6" t="s">
        <v>76</v>
      </c>
    </row>
    <row r="472">
      <c r="A472" s="6" t="s">
        <v>132</v>
      </c>
      <c r="B472" s="5" t="s">
        <v>76</v>
      </c>
      <c r="C472" s="41"/>
      <c r="D472" s="5" t="s">
        <v>102</v>
      </c>
      <c r="E472" s="41"/>
      <c r="F472" s="41"/>
      <c r="G472" s="41"/>
      <c r="H472" s="5" t="s">
        <v>60</v>
      </c>
    </row>
    <row r="473">
      <c r="A473" s="6" t="s">
        <v>132</v>
      </c>
      <c r="B473" s="6" t="s">
        <v>76</v>
      </c>
      <c r="C473" s="33"/>
      <c r="D473" s="6" t="s">
        <v>576</v>
      </c>
      <c r="E473" s="33"/>
      <c r="F473" s="33"/>
      <c r="G473" s="33"/>
      <c r="H473" s="6" t="s">
        <v>76</v>
      </c>
    </row>
    <row r="474">
      <c r="A474" s="6" t="s">
        <v>132</v>
      </c>
      <c r="B474" s="6" t="s">
        <v>76</v>
      </c>
      <c r="C474" s="33"/>
      <c r="D474" s="6" t="s">
        <v>576</v>
      </c>
      <c r="E474" s="33"/>
      <c r="F474" s="33"/>
      <c r="G474" s="33"/>
      <c r="H474" s="6" t="s">
        <v>76</v>
      </c>
    </row>
    <row r="475">
      <c r="A475" s="6" t="s">
        <v>132</v>
      </c>
      <c r="B475" s="6" t="s">
        <v>76</v>
      </c>
      <c r="C475" s="33"/>
      <c r="D475" s="6" t="s">
        <v>576</v>
      </c>
      <c r="E475" s="33"/>
      <c r="F475" s="33"/>
      <c r="G475" s="33"/>
      <c r="H475" s="6" t="s">
        <v>76</v>
      </c>
    </row>
    <row r="476">
      <c r="A476" s="6" t="s">
        <v>132</v>
      </c>
      <c r="B476" s="6" t="s">
        <v>76</v>
      </c>
      <c r="C476" s="33"/>
      <c r="D476" s="6" t="s">
        <v>576</v>
      </c>
      <c r="E476" s="33"/>
      <c r="F476" s="33"/>
      <c r="G476" s="33"/>
      <c r="H476" s="6" t="s">
        <v>76</v>
      </c>
    </row>
    <row r="477">
      <c r="A477" s="6" t="s">
        <v>524</v>
      </c>
      <c r="B477" s="6" t="s">
        <v>72</v>
      </c>
      <c r="C477" s="33"/>
      <c r="D477" s="6" t="s">
        <v>75</v>
      </c>
      <c r="E477" s="33"/>
      <c r="F477" s="33"/>
      <c r="G477" s="33"/>
      <c r="H477" s="6" t="s">
        <v>76</v>
      </c>
    </row>
    <row r="478">
      <c r="A478" s="6" t="s">
        <v>524</v>
      </c>
      <c r="B478" s="6" t="s">
        <v>72</v>
      </c>
      <c r="C478" s="33"/>
      <c r="D478" s="6" t="s">
        <v>75</v>
      </c>
      <c r="E478" s="33"/>
      <c r="F478" s="33"/>
      <c r="G478" s="33"/>
      <c r="H478" s="6" t="s">
        <v>76</v>
      </c>
    </row>
    <row r="479">
      <c r="A479" s="6" t="s">
        <v>524</v>
      </c>
      <c r="B479" s="6" t="s">
        <v>72</v>
      </c>
      <c r="C479" s="33"/>
      <c r="D479" s="6" t="s">
        <v>75</v>
      </c>
      <c r="E479" s="33"/>
      <c r="F479" s="33"/>
      <c r="G479" s="33"/>
      <c r="H479" s="6" t="s">
        <v>76</v>
      </c>
    </row>
    <row r="480">
      <c r="A480" s="6" t="s">
        <v>524</v>
      </c>
      <c r="B480" s="6" t="s">
        <v>72</v>
      </c>
      <c r="C480" s="33"/>
      <c r="D480" s="6" t="s">
        <v>75</v>
      </c>
      <c r="E480" s="33"/>
      <c r="F480" s="33"/>
      <c r="G480" s="33"/>
      <c r="H480" s="6" t="s">
        <v>76</v>
      </c>
    </row>
    <row r="481">
      <c r="A481" s="6" t="s">
        <v>524</v>
      </c>
      <c r="B481" s="6" t="s">
        <v>72</v>
      </c>
      <c r="C481" s="33"/>
      <c r="D481" s="6" t="s">
        <v>75</v>
      </c>
      <c r="E481" s="33"/>
      <c r="F481" s="33"/>
      <c r="G481" s="33"/>
      <c r="H481" s="6" t="s">
        <v>76</v>
      </c>
    </row>
    <row r="482">
      <c r="A482" s="6" t="s">
        <v>524</v>
      </c>
      <c r="B482" s="6" t="s">
        <v>72</v>
      </c>
      <c r="C482" s="33"/>
      <c r="D482" s="6" t="s">
        <v>75</v>
      </c>
      <c r="E482" s="33"/>
      <c r="F482" s="33"/>
      <c r="G482" s="33"/>
      <c r="H482" s="6" t="s">
        <v>76</v>
      </c>
    </row>
    <row r="483">
      <c r="A483" s="6" t="s">
        <v>524</v>
      </c>
      <c r="B483" s="6" t="s">
        <v>72</v>
      </c>
      <c r="C483" s="33"/>
      <c r="D483" s="6" t="s">
        <v>75</v>
      </c>
      <c r="E483" s="33"/>
      <c r="F483" s="33"/>
      <c r="G483" s="33"/>
      <c r="H483" s="6" t="s">
        <v>76</v>
      </c>
    </row>
    <row r="484">
      <c r="A484" s="6" t="s">
        <v>524</v>
      </c>
      <c r="B484" s="6" t="s">
        <v>72</v>
      </c>
      <c r="C484" s="33"/>
      <c r="D484" s="6" t="s">
        <v>75</v>
      </c>
      <c r="E484" s="33"/>
      <c r="F484" s="33"/>
      <c r="G484" s="33"/>
      <c r="H484" s="6" t="s">
        <v>76</v>
      </c>
    </row>
    <row r="485">
      <c r="A485" s="6" t="s">
        <v>524</v>
      </c>
      <c r="B485" s="6" t="s">
        <v>72</v>
      </c>
      <c r="C485" s="33"/>
      <c r="D485" s="6" t="s">
        <v>75</v>
      </c>
      <c r="E485" s="33"/>
      <c r="F485" s="33"/>
      <c r="G485" s="33"/>
      <c r="H485" s="6" t="s">
        <v>76</v>
      </c>
    </row>
    <row r="486">
      <c r="A486" s="6" t="s">
        <v>524</v>
      </c>
      <c r="B486" s="6" t="s">
        <v>72</v>
      </c>
      <c r="C486" s="33"/>
      <c r="D486" s="6" t="s">
        <v>75</v>
      </c>
      <c r="E486" s="33"/>
      <c r="F486" s="33"/>
      <c r="G486" s="33"/>
      <c r="H486" s="6" t="s">
        <v>76</v>
      </c>
    </row>
    <row r="487">
      <c r="A487" s="6" t="s">
        <v>524</v>
      </c>
      <c r="B487" s="6" t="s">
        <v>72</v>
      </c>
      <c r="C487" s="33"/>
      <c r="D487" s="6" t="s">
        <v>75</v>
      </c>
      <c r="E487" s="33"/>
      <c r="F487" s="33"/>
      <c r="G487" s="33"/>
      <c r="H487" s="6" t="s">
        <v>76</v>
      </c>
    </row>
    <row r="488">
      <c r="A488" s="6" t="s">
        <v>524</v>
      </c>
      <c r="B488" s="6" t="s">
        <v>72</v>
      </c>
      <c r="C488" s="33"/>
      <c r="D488" s="6" t="s">
        <v>75</v>
      </c>
      <c r="E488" s="33"/>
      <c r="F488" s="33"/>
      <c r="G488" s="33"/>
      <c r="H488" s="6" t="s">
        <v>76</v>
      </c>
    </row>
    <row r="489">
      <c r="A489" s="6" t="s">
        <v>524</v>
      </c>
      <c r="B489" s="6" t="s">
        <v>72</v>
      </c>
      <c r="C489" s="33"/>
      <c r="D489" s="6" t="s">
        <v>75</v>
      </c>
      <c r="E489" s="33"/>
      <c r="F489" s="33"/>
      <c r="G489" s="33"/>
      <c r="H489" s="6" t="s">
        <v>76</v>
      </c>
    </row>
    <row r="490">
      <c r="A490" s="6" t="s">
        <v>524</v>
      </c>
      <c r="B490" s="6" t="s">
        <v>72</v>
      </c>
      <c r="C490" s="33"/>
      <c r="D490" s="6" t="s">
        <v>75</v>
      </c>
      <c r="E490" s="33"/>
      <c r="F490" s="33"/>
      <c r="G490" s="33"/>
      <c r="H490" s="6" t="s">
        <v>76</v>
      </c>
    </row>
    <row r="491">
      <c r="A491" s="6" t="s">
        <v>524</v>
      </c>
      <c r="B491" s="6" t="s">
        <v>72</v>
      </c>
      <c r="C491" s="33"/>
      <c r="D491" s="6" t="s">
        <v>75</v>
      </c>
      <c r="E491" s="33"/>
      <c r="F491" s="33"/>
      <c r="G491" s="33"/>
      <c r="H491" s="6" t="s">
        <v>76</v>
      </c>
    </row>
    <row r="492">
      <c r="A492" s="6" t="s">
        <v>524</v>
      </c>
      <c r="B492" s="6" t="s">
        <v>72</v>
      </c>
      <c r="C492" s="33"/>
      <c r="D492" s="6" t="s">
        <v>75</v>
      </c>
      <c r="E492" s="33"/>
      <c r="F492" s="33"/>
      <c r="G492" s="33"/>
      <c r="H492" s="6" t="s">
        <v>76</v>
      </c>
    </row>
    <row r="493">
      <c r="A493" s="6" t="s">
        <v>524</v>
      </c>
      <c r="B493" s="6" t="s">
        <v>72</v>
      </c>
      <c r="C493" s="33"/>
      <c r="D493" s="6" t="s">
        <v>75</v>
      </c>
      <c r="E493" s="33"/>
      <c r="F493" s="33"/>
      <c r="G493" s="33"/>
      <c r="H493" s="6" t="s">
        <v>76</v>
      </c>
    </row>
    <row r="494">
      <c r="A494" s="6" t="s">
        <v>524</v>
      </c>
      <c r="B494" s="6" t="s">
        <v>72</v>
      </c>
      <c r="C494" s="33"/>
      <c r="D494" s="6" t="s">
        <v>75</v>
      </c>
      <c r="E494" s="33"/>
      <c r="F494" s="33"/>
      <c r="G494" s="33"/>
      <c r="H494" s="6" t="s">
        <v>76</v>
      </c>
    </row>
    <row r="495">
      <c r="A495" s="6" t="s">
        <v>524</v>
      </c>
      <c r="B495" s="6" t="s">
        <v>72</v>
      </c>
      <c r="C495" s="33"/>
      <c r="D495" s="6" t="s">
        <v>75</v>
      </c>
      <c r="E495" s="33"/>
      <c r="F495" s="33"/>
      <c r="G495" s="33"/>
      <c r="H495" s="6" t="s">
        <v>76</v>
      </c>
    </row>
    <row r="496">
      <c r="A496" s="6" t="s">
        <v>524</v>
      </c>
      <c r="B496" s="6" t="s">
        <v>72</v>
      </c>
      <c r="C496" s="33"/>
      <c r="D496" s="6" t="s">
        <v>75</v>
      </c>
      <c r="E496" s="33"/>
      <c r="F496" s="33"/>
      <c r="G496" s="33"/>
      <c r="H496" s="6" t="s">
        <v>76</v>
      </c>
    </row>
    <row r="497">
      <c r="A497" s="6" t="s">
        <v>524</v>
      </c>
      <c r="B497" s="6" t="s">
        <v>72</v>
      </c>
      <c r="C497" s="33"/>
      <c r="D497" s="6" t="s">
        <v>75</v>
      </c>
      <c r="E497" s="33"/>
      <c r="F497" s="33"/>
      <c r="G497" s="33"/>
      <c r="H497" s="6" t="s">
        <v>76</v>
      </c>
    </row>
    <row r="498">
      <c r="A498" s="6" t="s">
        <v>524</v>
      </c>
      <c r="B498" s="6" t="s">
        <v>72</v>
      </c>
      <c r="C498" s="33"/>
      <c r="D498" s="6" t="s">
        <v>75</v>
      </c>
      <c r="E498" s="33"/>
      <c r="F498" s="33"/>
      <c r="G498" s="33"/>
      <c r="H498" s="6" t="s">
        <v>76</v>
      </c>
    </row>
    <row r="499">
      <c r="A499" s="6" t="s">
        <v>524</v>
      </c>
      <c r="B499" s="6" t="s">
        <v>72</v>
      </c>
      <c r="C499" s="33"/>
      <c r="D499" s="6" t="s">
        <v>75</v>
      </c>
      <c r="E499" s="33"/>
      <c r="F499" s="33"/>
      <c r="G499" s="33"/>
      <c r="H499" s="6" t="s">
        <v>76</v>
      </c>
    </row>
    <row r="500">
      <c r="A500" s="6" t="s">
        <v>524</v>
      </c>
      <c r="B500" s="6" t="s">
        <v>72</v>
      </c>
      <c r="C500" s="33"/>
      <c r="D500" s="6" t="s">
        <v>75</v>
      </c>
      <c r="E500" s="33"/>
      <c r="F500" s="33"/>
      <c r="G500" s="33"/>
      <c r="H500" s="6" t="s">
        <v>76</v>
      </c>
    </row>
    <row r="501">
      <c r="A501" s="6" t="s">
        <v>524</v>
      </c>
      <c r="B501" s="6" t="s">
        <v>72</v>
      </c>
      <c r="C501" s="33"/>
      <c r="D501" s="6" t="s">
        <v>75</v>
      </c>
      <c r="E501" s="33"/>
      <c r="F501" s="33"/>
      <c r="G501" s="33"/>
      <c r="H501" s="6" t="s">
        <v>76</v>
      </c>
    </row>
    <row r="502">
      <c r="A502" s="6" t="s">
        <v>524</v>
      </c>
      <c r="B502" s="6" t="s">
        <v>72</v>
      </c>
      <c r="C502" s="33"/>
      <c r="D502" s="6" t="s">
        <v>75</v>
      </c>
      <c r="E502" s="33"/>
      <c r="F502" s="33"/>
      <c r="G502" s="33"/>
      <c r="H502" s="6" t="s">
        <v>76</v>
      </c>
    </row>
    <row r="503">
      <c r="A503" s="6" t="s">
        <v>132</v>
      </c>
      <c r="B503" s="6" t="s">
        <v>72</v>
      </c>
      <c r="C503" s="33"/>
      <c r="D503" s="6" t="s">
        <v>102</v>
      </c>
      <c r="E503" s="33"/>
      <c r="F503" s="33"/>
      <c r="G503" s="33"/>
      <c r="H503" s="6" t="s">
        <v>76</v>
      </c>
    </row>
    <row r="504">
      <c r="A504" s="6" t="s">
        <v>132</v>
      </c>
      <c r="B504" s="6" t="s">
        <v>72</v>
      </c>
      <c r="C504" s="33"/>
      <c r="D504" s="6" t="s">
        <v>576</v>
      </c>
      <c r="E504" s="33"/>
      <c r="F504" s="33"/>
      <c r="G504" s="33"/>
      <c r="H504" s="6" t="s">
        <v>76</v>
      </c>
    </row>
    <row r="505">
      <c r="A505" s="6" t="s">
        <v>132</v>
      </c>
      <c r="B505" s="6" t="s">
        <v>72</v>
      </c>
      <c r="C505" s="33"/>
      <c r="D505" s="6" t="s">
        <v>576</v>
      </c>
      <c r="E505" s="33"/>
      <c r="F505" s="33"/>
      <c r="G505" s="33"/>
      <c r="H505" s="6" t="s">
        <v>76</v>
      </c>
    </row>
    <row r="506">
      <c r="A506" s="33" t="s">
        <v>400</v>
      </c>
      <c r="B506" s="6" t="s">
        <v>72</v>
      </c>
      <c r="C506" s="33"/>
      <c r="D506" s="6" t="s">
        <v>75</v>
      </c>
      <c r="E506" s="33"/>
      <c r="F506" s="33"/>
      <c r="G506" s="33"/>
      <c r="H506" s="6" t="s">
        <v>76</v>
      </c>
    </row>
    <row r="507">
      <c r="A507" s="33" t="s">
        <v>400</v>
      </c>
      <c r="B507" s="6" t="s">
        <v>72</v>
      </c>
      <c r="C507" s="33"/>
      <c r="D507" s="6" t="s">
        <v>75</v>
      </c>
      <c r="E507" s="33"/>
      <c r="F507" s="33"/>
      <c r="G507" s="33"/>
      <c r="H507" s="6" t="s">
        <v>76</v>
      </c>
    </row>
    <row r="508">
      <c r="A508" s="33" t="s">
        <v>400</v>
      </c>
      <c r="B508" s="6" t="s">
        <v>72</v>
      </c>
      <c r="C508" s="33"/>
      <c r="D508" s="6" t="s">
        <v>75</v>
      </c>
      <c r="E508" s="33"/>
      <c r="F508" s="33"/>
      <c r="G508" s="33"/>
      <c r="H508" s="6" t="s">
        <v>76</v>
      </c>
    </row>
    <row r="509">
      <c r="A509" s="33" t="s">
        <v>400</v>
      </c>
      <c r="B509" s="6" t="s">
        <v>72</v>
      </c>
      <c r="C509" s="33"/>
      <c r="D509" s="6" t="s">
        <v>75</v>
      </c>
      <c r="E509" s="33"/>
      <c r="F509" s="33"/>
      <c r="G509" s="33"/>
      <c r="H509" s="6" t="s">
        <v>76</v>
      </c>
    </row>
    <row r="510">
      <c r="A510" s="33" t="s">
        <v>400</v>
      </c>
      <c r="B510" s="6" t="s">
        <v>72</v>
      </c>
      <c r="C510" s="33"/>
      <c r="D510" s="6" t="s">
        <v>75</v>
      </c>
      <c r="E510" s="33"/>
      <c r="F510" s="33"/>
      <c r="G510" s="33"/>
      <c r="H510" s="6" t="s">
        <v>76</v>
      </c>
    </row>
    <row r="511">
      <c r="A511" s="33" t="s">
        <v>400</v>
      </c>
      <c r="B511" s="5" t="s">
        <v>72</v>
      </c>
      <c r="C511" s="41"/>
      <c r="D511" s="5" t="s">
        <v>75</v>
      </c>
      <c r="E511" s="41"/>
      <c r="F511" s="41"/>
      <c r="G511" s="41"/>
      <c r="H511" s="6" t="s">
        <v>76</v>
      </c>
    </row>
    <row r="512">
      <c r="A512" s="33" t="s">
        <v>400</v>
      </c>
      <c r="B512" s="5" t="s">
        <v>72</v>
      </c>
      <c r="C512" s="41"/>
      <c r="D512" s="5" t="s">
        <v>75</v>
      </c>
      <c r="E512" s="41"/>
      <c r="F512" s="41"/>
      <c r="G512" s="41"/>
      <c r="H512" s="6" t="s">
        <v>76</v>
      </c>
    </row>
    <row r="513">
      <c r="A513" s="33" t="s">
        <v>400</v>
      </c>
      <c r="B513" s="5" t="s">
        <v>72</v>
      </c>
      <c r="C513" s="41"/>
      <c r="D513" s="5" t="s">
        <v>75</v>
      </c>
      <c r="E513" s="41"/>
      <c r="F513" s="41"/>
      <c r="G513" s="41"/>
      <c r="H513" s="6" t="s">
        <v>76</v>
      </c>
    </row>
    <row r="514">
      <c r="A514" s="33" t="s">
        <v>400</v>
      </c>
      <c r="B514" s="5" t="s">
        <v>72</v>
      </c>
      <c r="C514" s="41"/>
      <c r="D514" s="5" t="s">
        <v>75</v>
      </c>
      <c r="E514" s="41"/>
      <c r="F514" s="41"/>
      <c r="G514" s="41"/>
      <c r="H514" s="6" t="s">
        <v>76</v>
      </c>
    </row>
    <row r="515">
      <c r="A515" s="33" t="s">
        <v>400</v>
      </c>
      <c r="B515" s="5" t="s">
        <v>72</v>
      </c>
      <c r="C515" s="41"/>
      <c r="D515" s="5" t="s">
        <v>75</v>
      </c>
      <c r="E515" s="41"/>
      <c r="F515" s="41"/>
      <c r="G515" s="41"/>
      <c r="H515" s="6" t="s">
        <v>76</v>
      </c>
    </row>
    <row r="516">
      <c r="A516" s="33" t="s">
        <v>400</v>
      </c>
      <c r="B516" s="5" t="s">
        <v>72</v>
      </c>
      <c r="C516" s="41"/>
      <c r="D516" s="5" t="s">
        <v>75</v>
      </c>
      <c r="E516" s="41"/>
      <c r="F516" s="41"/>
      <c r="G516" s="41"/>
      <c r="H516" s="5" t="s">
        <v>76</v>
      </c>
    </row>
    <row r="517">
      <c r="A517" s="33" t="s">
        <v>400</v>
      </c>
      <c r="B517" s="5" t="s">
        <v>72</v>
      </c>
      <c r="C517" s="41"/>
      <c r="D517" s="5" t="s">
        <v>75</v>
      </c>
      <c r="E517" s="41"/>
      <c r="F517" s="41"/>
      <c r="G517" s="41"/>
      <c r="H517" s="5" t="s">
        <v>76</v>
      </c>
    </row>
    <row r="518">
      <c r="A518" s="33" t="s">
        <v>400</v>
      </c>
      <c r="B518" s="5" t="s">
        <v>72</v>
      </c>
      <c r="C518" s="41"/>
      <c r="D518" s="5" t="s">
        <v>75</v>
      </c>
      <c r="E518" s="41"/>
      <c r="F518" s="41"/>
      <c r="G518" s="41"/>
      <c r="H518" s="5" t="s">
        <v>76</v>
      </c>
    </row>
    <row r="519">
      <c r="A519" s="33" t="s">
        <v>400</v>
      </c>
      <c r="B519" s="5" t="s">
        <v>72</v>
      </c>
      <c r="C519" s="41"/>
      <c r="D519" s="5" t="s">
        <v>75</v>
      </c>
      <c r="E519" s="41"/>
      <c r="F519" s="41"/>
      <c r="G519" s="41"/>
      <c r="H519" s="5" t="s">
        <v>76</v>
      </c>
    </row>
    <row r="520">
      <c r="A520" s="33" t="s">
        <v>400</v>
      </c>
      <c r="B520" s="5" t="s">
        <v>72</v>
      </c>
      <c r="C520" s="41"/>
      <c r="D520" s="5" t="s">
        <v>75</v>
      </c>
      <c r="E520" s="41"/>
      <c r="F520" s="41"/>
      <c r="G520" s="41"/>
      <c r="H520" s="5" t="s">
        <v>76</v>
      </c>
    </row>
    <row r="521">
      <c r="A521" s="33" t="s">
        <v>400</v>
      </c>
      <c r="B521" s="6" t="s">
        <v>72</v>
      </c>
      <c r="C521" s="33"/>
      <c r="D521" s="6" t="s">
        <v>75</v>
      </c>
      <c r="E521" s="33"/>
      <c r="F521" s="33"/>
      <c r="G521" s="33"/>
      <c r="H521" s="6" t="s">
        <v>76</v>
      </c>
    </row>
    <row r="522">
      <c r="A522" s="33" t="s">
        <v>400</v>
      </c>
      <c r="B522" s="6" t="s">
        <v>72</v>
      </c>
      <c r="C522" s="33"/>
      <c r="D522" s="6" t="s">
        <v>75</v>
      </c>
      <c r="E522" s="33"/>
      <c r="F522" s="33"/>
      <c r="G522" s="33"/>
      <c r="H522" s="6" t="s">
        <v>76</v>
      </c>
    </row>
    <row r="523">
      <c r="A523" s="33" t="s">
        <v>400</v>
      </c>
      <c r="B523" s="5" t="s">
        <v>72</v>
      </c>
      <c r="C523" s="41"/>
      <c r="D523" s="5" t="s">
        <v>75</v>
      </c>
      <c r="E523" s="41"/>
      <c r="F523" s="41"/>
      <c r="G523" s="41"/>
      <c r="H523" s="5" t="s">
        <v>60</v>
      </c>
    </row>
    <row r="524">
      <c r="A524" s="33" t="s">
        <v>400</v>
      </c>
      <c r="B524" s="6" t="s">
        <v>72</v>
      </c>
      <c r="C524" s="33"/>
      <c r="D524" s="6" t="s">
        <v>75</v>
      </c>
      <c r="E524" s="33"/>
      <c r="F524" s="33"/>
      <c r="G524" s="33"/>
      <c r="H524" s="6" t="s">
        <v>76</v>
      </c>
    </row>
    <row r="525">
      <c r="A525" s="33" t="s">
        <v>400</v>
      </c>
      <c r="B525" s="6" t="s">
        <v>72</v>
      </c>
      <c r="C525" s="33"/>
      <c r="D525" s="6" t="s">
        <v>75</v>
      </c>
      <c r="E525" s="33"/>
      <c r="F525" s="33"/>
      <c r="G525" s="33"/>
      <c r="H525" s="6" t="s">
        <v>76</v>
      </c>
    </row>
    <row r="526">
      <c r="A526" s="33" t="s">
        <v>400</v>
      </c>
      <c r="B526" s="6" t="s">
        <v>72</v>
      </c>
      <c r="C526" s="33"/>
      <c r="D526" s="6" t="s">
        <v>75</v>
      </c>
      <c r="E526" s="33"/>
      <c r="F526" s="33"/>
      <c r="G526" s="33"/>
      <c r="H526" s="6" t="s">
        <v>76</v>
      </c>
    </row>
    <row r="527">
      <c r="A527" s="33" t="s">
        <v>400</v>
      </c>
      <c r="B527" s="6" t="s">
        <v>72</v>
      </c>
      <c r="C527" s="33"/>
      <c r="D527" s="6" t="s">
        <v>75</v>
      </c>
      <c r="E527" s="33"/>
      <c r="F527" s="33"/>
      <c r="G527" s="33"/>
      <c r="H527" s="6" t="s">
        <v>76</v>
      </c>
    </row>
    <row r="528">
      <c r="A528" s="33" t="s">
        <v>400</v>
      </c>
      <c r="B528" s="6" t="s">
        <v>72</v>
      </c>
      <c r="C528" s="33"/>
      <c r="D528" s="6" t="s">
        <v>75</v>
      </c>
      <c r="E528" s="33"/>
      <c r="F528" s="33"/>
      <c r="G528" s="33"/>
      <c r="H528" s="6" t="s">
        <v>76</v>
      </c>
    </row>
    <row r="529">
      <c r="A529" s="6" t="s">
        <v>132</v>
      </c>
      <c r="B529" s="5" t="s">
        <v>76</v>
      </c>
      <c r="C529" s="41"/>
      <c r="D529" s="5" t="s">
        <v>75</v>
      </c>
      <c r="E529" s="41"/>
      <c r="F529" s="41"/>
      <c r="G529" s="41"/>
      <c r="H529" s="5" t="s">
        <v>76</v>
      </c>
    </row>
    <row r="530">
      <c r="A530" s="6" t="s">
        <v>132</v>
      </c>
      <c r="B530" s="6" t="s">
        <v>76</v>
      </c>
      <c r="C530" s="33"/>
      <c r="D530" s="6" t="s">
        <v>75</v>
      </c>
      <c r="E530" s="33"/>
      <c r="F530" s="33"/>
      <c r="G530" s="33"/>
      <c r="H530" s="6" t="s">
        <v>76</v>
      </c>
    </row>
    <row r="531">
      <c r="A531" s="6" t="s">
        <v>132</v>
      </c>
      <c r="B531" s="6" t="s">
        <v>76</v>
      </c>
      <c r="C531" s="33"/>
      <c r="D531" s="6" t="s">
        <v>75</v>
      </c>
      <c r="E531" s="33"/>
      <c r="F531" s="33"/>
      <c r="G531" s="33"/>
      <c r="H531" s="6" t="s">
        <v>76</v>
      </c>
    </row>
    <row r="532">
      <c r="A532" s="6" t="s">
        <v>132</v>
      </c>
      <c r="B532" s="5" t="s">
        <v>76</v>
      </c>
      <c r="C532" s="41"/>
      <c r="D532" s="5" t="s">
        <v>75</v>
      </c>
      <c r="E532" s="41"/>
      <c r="F532" s="41"/>
      <c r="G532" s="41"/>
      <c r="H532" s="5" t="s">
        <v>76</v>
      </c>
    </row>
    <row r="533">
      <c r="A533" s="6" t="s">
        <v>132</v>
      </c>
      <c r="B533" s="6" t="s">
        <v>76</v>
      </c>
      <c r="C533" s="33"/>
      <c r="D533" s="6" t="s">
        <v>75</v>
      </c>
      <c r="E533" s="33"/>
      <c r="F533" s="33"/>
      <c r="G533" s="33"/>
      <c r="H533" s="6" t="s">
        <v>76</v>
      </c>
    </row>
    <row r="534">
      <c r="A534" s="6" t="s">
        <v>132</v>
      </c>
      <c r="B534" s="5" t="s">
        <v>72</v>
      </c>
      <c r="C534" s="41"/>
      <c r="D534" s="5" t="s">
        <v>576</v>
      </c>
      <c r="E534" s="41"/>
      <c r="F534" s="41"/>
      <c r="G534" s="41"/>
      <c r="H534" s="5" t="s">
        <v>76</v>
      </c>
    </row>
    <row r="535">
      <c r="A535" s="6" t="s">
        <v>132</v>
      </c>
      <c r="B535" s="5" t="s">
        <v>72</v>
      </c>
      <c r="C535" s="41"/>
      <c r="D535" s="5" t="s">
        <v>576</v>
      </c>
      <c r="E535" s="41"/>
      <c r="F535" s="41"/>
      <c r="G535" s="41"/>
      <c r="H535" s="5" t="s">
        <v>76</v>
      </c>
    </row>
    <row r="536">
      <c r="A536" s="6" t="s">
        <v>132</v>
      </c>
      <c r="B536" s="5" t="s">
        <v>72</v>
      </c>
      <c r="C536" s="41"/>
      <c r="D536" s="5" t="s">
        <v>576</v>
      </c>
      <c r="E536" s="41"/>
      <c r="F536" s="41"/>
      <c r="G536" s="41"/>
      <c r="H536" s="5" t="s">
        <v>76</v>
      </c>
    </row>
    <row r="537">
      <c r="A537" s="5" t="s">
        <v>72</v>
      </c>
      <c r="B537" s="6" t="s">
        <v>101</v>
      </c>
      <c r="C537" s="33"/>
      <c r="D537" s="6" t="s">
        <v>102</v>
      </c>
      <c r="E537" s="33"/>
      <c r="F537" s="33"/>
      <c r="G537" s="33"/>
      <c r="H537" s="6" t="s">
        <v>76</v>
      </c>
    </row>
    <row r="538">
      <c r="A538" s="6" t="s">
        <v>132</v>
      </c>
      <c r="B538" s="6" t="s">
        <v>72</v>
      </c>
      <c r="C538" s="33"/>
      <c r="D538" s="6" t="s">
        <v>102</v>
      </c>
      <c r="E538" s="33"/>
      <c r="F538" s="33"/>
      <c r="G538" s="33"/>
      <c r="H538" s="6" t="s">
        <v>76</v>
      </c>
    </row>
    <row r="539">
      <c r="A539" s="6" t="s">
        <v>132</v>
      </c>
      <c r="B539" s="6" t="s">
        <v>72</v>
      </c>
      <c r="C539" s="33"/>
      <c r="D539" s="6" t="s">
        <v>102</v>
      </c>
      <c r="E539" s="33"/>
      <c r="F539" s="33"/>
      <c r="G539" s="33"/>
      <c r="H539" s="6" t="s">
        <v>76</v>
      </c>
    </row>
    <row r="540">
      <c r="A540" s="6" t="s">
        <v>132</v>
      </c>
      <c r="B540" s="6" t="s">
        <v>72</v>
      </c>
      <c r="C540" s="33"/>
      <c r="D540" s="6" t="s">
        <v>102</v>
      </c>
      <c r="E540" s="33"/>
      <c r="F540" s="33"/>
      <c r="G540" s="33"/>
      <c r="H540" s="6" t="s">
        <v>76</v>
      </c>
    </row>
    <row r="541">
      <c r="A541" s="6" t="s">
        <v>132</v>
      </c>
      <c r="B541" s="6" t="s">
        <v>72</v>
      </c>
      <c r="C541" s="33"/>
      <c r="D541" s="6" t="s">
        <v>102</v>
      </c>
      <c r="E541" s="33"/>
      <c r="F541" s="33"/>
      <c r="G541" s="33"/>
      <c r="H541" s="6" t="s">
        <v>76</v>
      </c>
    </row>
    <row r="542">
      <c r="A542" s="6" t="s">
        <v>132</v>
      </c>
      <c r="B542" s="5" t="s">
        <v>72</v>
      </c>
      <c r="C542" s="41"/>
      <c r="D542" s="5" t="s">
        <v>102</v>
      </c>
      <c r="E542" s="41"/>
      <c r="F542" s="41"/>
      <c r="G542" s="41"/>
      <c r="H542" s="5" t="s">
        <v>76</v>
      </c>
    </row>
    <row r="543">
      <c r="A543" s="6" t="s">
        <v>132</v>
      </c>
      <c r="B543" s="6" t="s">
        <v>72</v>
      </c>
      <c r="C543" s="33"/>
      <c r="D543" s="6" t="s">
        <v>102</v>
      </c>
      <c r="E543" s="33"/>
      <c r="F543" s="33"/>
      <c r="G543" s="33"/>
      <c r="H543" s="6" t="s">
        <v>76</v>
      </c>
    </row>
    <row r="544">
      <c r="A544" s="6" t="s">
        <v>132</v>
      </c>
      <c r="B544" s="6" t="s">
        <v>60</v>
      </c>
      <c r="C544" s="33"/>
      <c r="D544" s="6" t="s">
        <v>102</v>
      </c>
      <c r="E544" s="33"/>
      <c r="F544" s="33"/>
      <c r="G544" s="33"/>
      <c r="H544" s="6" t="s">
        <v>76</v>
      </c>
    </row>
    <row r="545">
      <c r="A545" s="6" t="s">
        <v>132</v>
      </c>
      <c r="B545" s="5" t="s">
        <v>60</v>
      </c>
      <c r="C545" s="41"/>
      <c r="D545" s="5" t="s">
        <v>102</v>
      </c>
      <c r="E545" s="41"/>
      <c r="F545" s="41"/>
      <c r="G545" s="41"/>
      <c r="H545" s="5" t="s">
        <v>60</v>
      </c>
    </row>
    <row r="546">
      <c r="A546" s="6" t="s">
        <v>132</v>
      </c>
      <c r="B546" s="6" t="s">
        <v>60</v>
      </c>
      <c r="C546" s="33"/>
      <c r="D546" s="6" t="s">
        <v>102</v>
      </c>
      <c r="E546" s="33"/>
      <c r="F546" s="33"/>
      <c r="G546" s="33"/>
      <c r="H546" s="6" t="s">
        <v>76</v>
      </c>
    </row>
    <row r="547">
      <c r="A547" s="6" t="s">
        <v>72</v>
      </c>
      <c r="B547" s="6" t="s">
        <v>72</v>
      </c>
      <c r="C547" s="33"/>
      <c r="D547" s="6" t="s">
        <v>102</v>
      </c>
      <c r="E547" s="33"/>
      <c r="F547" s="33"/>
      <c r="G547" s="33"/>
      <c r="H547" s="6" t="s">
        <v>76</v>
      </c>
    </row>
    <row r="548">
      <c r="A548" s="6" t="s">
        <v>72</v>
      </c>
      <c r="B548" s="6" t="s">
        <v>72</v>
      </c>
      <c r="C548" s="33"/>
      <c r="D548" s="6" t="s">
        <v>102</v>
      </c>
      <c r="E548" s="33"/>
      <c r="F548" s="33"/>
      <c r="G548" s="33"/>
      <c r="H548" s="6" t="s">
        <v>76</v>
      </c>
    </row>
    <row r="549">
      <c r="A549" s="6" t="s">
        <v>72</v>
      </c>
      <c r="B549" s="6" t="s">
        <v>72</v>
      </c>
      <c r="C549" s="33"/>
      <c r="D549" s="6" t="s">
        <v>102</v>
      </c>
      <c r="E549" s="33"/>
      <c r="F549" s="33"/>
      <c r="G549" s="33"/>
      <c r="H549" s="6" t="s">
        <v>76</v>
      </c>
    </row>
    <row r="550">
      <c r="A550" s="6" t="s">
        <v>132</v>
      </c>
      <c r="B550" s="6" t="s">
        <v>72</v>
      </c>
      <c r="C550" s="33"/>
      <c r="D550" s="6" t="s">
        <v>102</v>
      </c>
      <c r="E550" s="33"/>
      <c r="F550" s="33"/>
      <c r="G550" s="33"/>
      <c r="H550" s="6" t="s">
        <v>76</v>
      </c>
    </row>
    <row r="551">
      <c r="A551" s="6" t="s">
        <v>132</v>
      </c>
      <c r="B551" s="5" t="s">
        <v>72</v>
      </c>
      <c r="C551" s="41"/>
      <c r="D551" s="5" t="s">
        <v>102</v>
      </c>
      <c r="E551" s="41"/>
      <c r="F551" s="41"/>
      <c r="G551" s="41"/>
      <c r="H551" s="5" t="s">
        <v>76</v>
      </c>
    </row>
    <row r="552">
      <c r="A552" s="6" t="s">
        <v>132</v>
      </c>
      <c r="B552" s="6" t="s">
        <v>72</v>
      </c>
      <c r="C552" s="33"/>
      <c r="D552" s="6" t="s">
        <v>102</v>
      </c>
      <c r="E552" s="33"/>
      <c r="F552" s="33"/>
      <c r="G552" s="33"/>
      <c r="H552" s="6" t="s">
        <v>76</v>
      </c>
    </row>
    <row r="553">
      <c r="A553" s="6" t="s">
        <v>132</v>
      </c>
      <c r="B553" s="5" t="s">
        <v>72</v>
      </c>
      <c r="C553" s="41"/>
      <c r="D553" s="5" t="s">
        <v>102</v>
      </c>
      <c r="E553" s="41"/>
      <c r="F553" s="41"/>
      <c r="G553" s="41"/>
      <c r="H553" s="5" t="s">
        <v>76</v>
      </c>
    </row>
    <row r="554">
      <c r="A554" s="5" t="s">
        <v>72</v>
      </c>
      <c r="B554" s="6" t="s">
        <v>101</v>
      </c>
      <c r="C554" s="33"/>
      <c r="D554" s="6" t="s">
        <v>576</v>
      </c>
      <c r="E554" s="33"/>
      <c r="F554" s="33"/>
      <c r="G554" s="33"/>
      <c r="H554" s="6" t="s">
        <v>76</v>
      </c>
    </row>
    <row r="555">
      <c r="A555" s="5" t="s">
        <v>72</v>
      </c>
      <c r="B555" s="6" t="s">
        <v>101</v>
      </c>
      <c r="C555" s="33"/>
      <c r="D555" s="6" t="s">
        <v>576</v>
      </c>
      <c r="E555" s="33"/>
      <c r="F555" s="33"/>
      <c r="G555" s="33"/>
      <c r="H555" s="6" t="s">
        <v>76</v>
      </c>
    </row>
    <row r="556">
      <c r="A556" s="5" t="s">
        <v>72</v>
      </c>
      <c r="B556" s="6" t="s">
        <v>101</v>
      </c>
      <c r="C556" s="33"/>
      <c r="D556" s="6" t="s">
        <v>576</v>
      </c>
      <c r="E556" s="33"/>
      <c r="F556" s="33"/>
      <c r="G556" s="33"/>
      <c r="H556" s="6" t="s">
        <v>76</v>
      </c>
    </row>
    <row r="557">
      <c r="A557" s="5" t="s">
        <v>72</v>
      </c>
      <c r="B557" s="6" t="s">
        <v>101</v>
      </c>
      <c r="C557" s="33"/>
      <c r="D557" s="6" t="s">
        <v>576</v>
      </c>
      <c r="E557" s="33"/>
      <c r="F557" s="33"/>
      <c r="G557" s="33"/>
      <c r="H557" s="6" t="s">
        <v>76</v>
      </c>
    </row>
    <row r="558">
      <c r="A558" s="6" t="s">
        <v>132</v>
      </c>
      <c r="B558" s="6" t="s">
        <v>72</v>
      </c>
      <c r="C558" s="33"/>
      <c r="D558" s="6" t="s">
        <v>75</v>
      </c>
      <c r="E558" s="33"/>
      <c r="F558" s="33"/>
      <c r="G558" s="33"/>
      <c r="H558" s="6" t="s">
        <v>76</v>
      </c>
    </row>
    <row r="559">
      <c r="A559" s="6" t="s">
        <v>132</v>
      </c>
      <c r="B559" s="6" t="s">
        <v>72</v>
      </c>
      <c r="C559" s="33"/>
      <c r="D559" s="6" t="s">
        <v>75</v>
      </c>
      <c r="E559" s="33"/>
      <c r="F559" s="33"/>
      <c r="G559" s="33"/>
      <c r="H559" s="6" t="s">
        <v>76</v>
      </c>
    </row>
    <row r="560">
      <c r="A560" s="6" t="s">
        <v>132</v>
      </c>
      <c r="B560" s="6" t="s">
        <v>72</v>
      </c>
      <c r="C560" s="33"/>
      <c r="D560" s="6" t="s">
        <v>75</v>
      </c>
      <c r="E560" s="33"/>
      <c r="F560" s="33"/>
      <c r="G560" s="33"/>
      <c r="H560" s="6" t="s">
        <v>76</v>
      </c>
    </row>
    <row r="561">
      <c r="A561" s="6" t="s">
        <v>132</v>
      </c>
      <c r="B561" s="5" t="s">
        <v>72</v>
      </c>
      <c r="C561" s="41"/>
      <c r="D561" s="5" t="s">
        <v>102</v>
      </c>
      <c r="E561" s="68">
        <v>800.0</v>
      </c>
      <c r="F561" s="68">
        <v>100.0</v>
      </c>
      <c r="G561" s="68">
        <v>130.0</v>
      </c>
      <c r="H561" s="5" t="s">
        <v>60</v>
      </c>
    </row>
    <row r="562">
      <c r="A562" s="6" t="s">
        <v>132</v>
      </c>
      <c r="B562" s="6" t="s">
        <v>72</v>
      </c>
      <c r="C562" s="33"/>
      <c r="D562" s="39" t="s">
        <v>102</v>
      </c>
      <c r="E562" s="34">
        <v>800.0</v>
      </c>
      <c r="F562" s="34">
        <v>100.0</v>
      </c>
      <c r="G562" s="34">
        <v>130.0</v>
      </c>
      <c r="H562" s="6" t="s">
        <v>76</v>
      </c>
    </row>
    <row r="563">
      <c r="A563" s="6" t="s">
        <v>132</v>
      </c>
      <c r="B563" s="6" t="s">
        <v>72</v>
      </c>
      <c r="C563" s="33"/>
      <c r="D563" s="39" t="s">
        <v>102</v>
      </c>
      <c r="E563" s="34">
        <v>800.0</v>
      </c>
      <c r="F563" s="34">
        <v>100.0</v>
      </c>
      <c r="G563" s="34">
        <v>130.0</v>
      </c>
      <c r="H563" s="6" t="s">
        <v>76</v>
      </c>
    </row>
    <row r="564">
      <c r="A564" s="6" t="s">
        <v>132</v>
      </c>
      <c r="B564" s="6" t="s">
        <v>72</v>
      </c>
      <c r="C564" s="33"/>
      <c r="D564" s="39" t="s">
        <v>102</v>
      </c>
      <c r="E564" s="34">
        <v>800.0</v>
      </c>
      <c r="F564" s="34">
        <v>100.0</v>
      </c>
      <c r="G564" s="34">
        <v>130.0</v>
      </c>
      <c r="H564" s="6" t="s">
        <v>76</v>
      </c>
    </row>
    <row r="565">
      <c r="A565" s="6" t="s">
        <v>132</v>
      </c>
      <c r="B565" s="5" t="s">
        <v>72</v>
      </c>
      <c r="C565" s="41"/>
      <c r="D565" s="5" t="s">
        <v>102</v>
      </c>
      <c r="E565" s="68">
        <v>37.0</v>
      </c>
      <c r="F565" s="68">
        <v>20.0</v>
      </c>
      <c r="G565" s="68">
        <v>30.0</v>
      </c>
      <c r="H565" s="5" t="s">
        <v>76</v>
      </c>
    </row>
    <row r="566">
      <c r="A566" s="6" t="s">
        <v>132</v>
      </c>
      <c r="B566" s="6" t="s">
        <v>72</v>
      </c>
      <c r="C566" s="33"/>
      <c r="D566" s="39" t="s">
        <v>102</v>
      </c>
      <c r="E566" s="34">
        <v>80.0</v>
      </c>
      <c r="F566" s="34">
        <v>40.0</v>
      </c>
      <c r="G566" s="34">
        <v>60.0</v>
      </c>
      <c r="H566" s="6" t="s">
        <v>76</v>
      </c>
    </row>
    <row r="567">
      <c r="A567" s="6" t="s">
        <v>132</v>
      </c>
      <c r="B567" s="6" t="s">
        <v>72</v>
      </c>
      <c r="C567" s="33"/>
      <c r="D567" s="39" t="s">
        <v>102</v>
      </c>
      <c r="E567" s="34">
        <v>37.0</v>
      </c>
      <c r="F567" s="34">
        <v>20.0</v>
      </c>
      <c r="G567" s="34">
        <v>30.0</v>
      </c>
      <c r="H567" s="6" t="s">
        <v>76</v>
      </c>
    </row>
    <row r="568">
      <c r="A568" s="6" t="s">
        <v>132</v>
      </c>
      <c r="B568" s="6" t="s">
        <v>72</v>
      </c>
      <c r="C568" s="33"/>
      <c r="D568" s="39" t="s">
        <v>102</v>
      </c>
      <c r="E568" s="34">
        <v>37.0</v>
      </c>
      <c r="F568" s="34">
        <v>20.0</v>
      </c>
      <c r="G568" s="34">
        <v>30.0</v>
      </c>
      <c r="H568" s="6" t="s">
        <v>76</v>
      </c>
    </row>
    <row r="569">
      <c r="A569" s="6" t="s">
        <v>132</v>
      </c>
      <c r="B569" s="5" t="s">
        <v>72</v>
      </c>
      <c r="C569" s="41"/>
      <c r="D569" s="5" t="s">
        <v>102</v>
      </c>
      <c r="E569" s="41"/>
      <c r="F569" s="41"/>
      <c r="G569" s="41"/>
      <c r="H569" s="5" t="s">
        <v>76</v>
      </c>
    </row>
    <row r="570">
      <c r="A570" s="6" t="s">
        <v>132</v>
      </c>
      <c r="B570" s="5" t="s">
        <v>72</v>
      </c>
      <c r="C570" s="41"/>
      <c r="D570" s="5" t="s">
        <v>102</v>
      </c>
      <c r="E570" s="41"/>
      <c r="F570" s="41"/>
      <c r="G570" s="41"/>
      <c r="H570" s="5" t="s">
        <v>76</v>
      </c>
    </row>
    <row r="571">
      <c r="A571" s="6" t="s">
        <v>132</v>
      </c>
      <c r="B571" s="5" t="s">
        <v>72</v>
      </c>
      <c r="C571" s="41"/>
      <c r="D571" s="5" t="s">
        <v>102</v>
      </c>
      <c r="E571" s="41"/>
      <c r="F571" s="41"/>
      <c r="G571" s="41"/>
      <c r="H571" s="5" t="s">
        <v>60</v>
      </c>
    </row>
    <row r="572">
      <c r="A572" s="6" t="s">
        <v>132</v>
      </c>
      <c r="B572" s="6" t="s">
        <v>72</v>
      </c>
      <c r="C572" s="33"/>
      <c r="D572" s="6" t="s">
        <v>102</v>
      </c>
      <c r="E572" s="33"/>
      <c r="F572" s="33"/>
      <c r="G572" s="33"/>
      <c r="H572" s="6" t="s">
        <v>76</v>
      </c>
    </row>
    <row r="573">
      <c r="A573" s="6" t="s">
        <v>132</v>
      </c>
      <c r="B573" s="5" t="s">
        <v>72</v>
      </c>
      <c r="C573" s="41"/>
      <c r="D573" s="5" t="s">
        <v>102</v>
      </c>
      <c r="E573" s="41"/>
      <c r="F573" s="41"/>
      <c r="G573" s="41"/>
      <c r="H573" s="6" t="s">
        <v>76</v>
      </c>
    </row>
    <row r="574">
      <c r="A574" s="6" t="s">
        <v>132</v>
      </c>
      <c r="B574" s="5" t="s">
        <v>72</v>
      </c>
      <c r="C574" s="41"/>
      <c r="D574" s="5" t="s">
        <v>102</v>
      </c>
      <c r="E574" s="41"/>
      <c r="F574" s="41"/>
      <c r="G574" s="41"/>
      <c r="H574" s="6" t="s">
        <v>76</v>
      </c>
    </row>
    <row r="575">
      <c r="A575" s="6" t="s">
        <v>132</v>
      </c>
      <c r="B575" s="5" t="s">
        <v>72</v>
      </c>
      <c r="C575" s="41"/>
      <c r="D575" s="5" t="s">
        <v>102</v>
      </c>
      <c r="E575" s="41"/>
      <c r="F575" s="41"/>
      <c r="G575" s="41"/>
      <c r="H575" s="5" t="s">
        <v>76</v>
      </c>
    </row>
    <row r="576">
      <c r="A576" s="5" t="s">
        <v>72</v>
      </c>
      <c r="B576" s="5" t="s">
        <v>72</v>
      </c>
      <c r="C576" s="41"/>
      <c r="D576" s="5" t="s">
        <v>75</v>
      </c>
      <c r="E576" s="41"/>
      <c r="F576" s="41"/>
      <c r="G576" s="41"/>
      <c r="H576" s="5" t="s">
        <v>60</v>
      </c>
    </row>
    <row r="577">
      <c r="A577" s="6" t="s">
        <v>72</v>
      </c>
      <c r="B577" s="6" t="s">
        <v>72</v>
      </c>
      <c r="C577" s="33"/>
      <c r="D577" s="6" t="s">
        <v>75</v>
      </c>
      <c r="E577" s="33"/>
      <c r="F577" s="33"/>
      <c r="G577" s="33"/>
      <c r="H577" s="6" t="s">
        <v>76</v>
      </c>
    </row>
    <row r="578">
      <c r="A578" s="6" t="s">
        <v>72</v>
      </c>
      <c r="B578" s="6" t="s">
        <v>72</v>
      </c>
      <c r="C578" s="33"/>
      <c r="D578" s="6" t="s">
        <v>75</v>
      </c>
      <c r="E578" s="33"/>
      <c r="F578" s="33"/>
      <c r="G578" s="33"/>
      <c r="H578" s="6" t="s">
        <v>76</v>
      </c>
    </row>
    <row r="579">
      <c r="A579" s="6" t="s">
        <v>72</v>
      </c>
      <c r="B579" s="6" t="s">
        <v>72</v>
      </c>
      <c r="C579" s="33"/>
      <c r="D579" s="6" t="s">
        <v>75</v>
      </c>
      <c r="E579" s="33"/>
      <c r="F579" s="33"/>
      <c r="G579" s="33"/>
      <c r="H579" s="6" t="s">
        <v>76</v>
      </c>
    </row>
    <row r="580">
      <c r="A580" s="6" t="s">
        <v>72</v>
      </c>
      <c r="B580" s="6" t="s">
        <v>72</v>
      </c>
      <c r="C580" s="33"/>
      <c r="D580" s="6" t="s">
        <v>75</v>
      </c>
      <c r="E580" s="33"/>
      <c r="F580" s="33"/>
      <c r="G580" s="33"/>
      <c r="H580" s="6" t="s">
        <v>76</v>
      </c>
    </row>
    <row r="581">
      <c r="A581" s="6" t="s">
        <v>72</v>
      </c>
      <c r="B581" s="6" t="s">
        <v>72</v>
      </c>
      <c r="C581" s="33"/>
      <c r="D581" s="6" t="s">
        <v>75</v>
      </c>
      <c r="E581" s="33"/>
      <c r="F581" s="33"/>
      <c r="G581" s="33"/>
      <c r="H581" s="6" t="s">
        <v>76</v>
      </c>
    </row>
    <row r="582">
      <c r="A582" s="5" t="s">
        <v>72</v>
      </c>
      <c r="B582" s="5" t="s">
        <v>72</v>
      </c>
      <c r="C582" s="41"/>
      <c r="D582" s="5" t="s">
        <v>75</v>
      </c>
      <c r="E582" s="41"/>
      <c r="F582" s="41"/>
      <c r="G582" s="41"/>
      <c r="H582" s="6" t="s">
        <v>76</v>
      </c>
    </row>
    <row r="583">
      <c r="A583" s="6" t="s">
        <v>72</v>
      </c>
      <c r="B583" s="6" t="s">
        <v>72</v>
      </c>
      <c r="C583" s="33"/>
      <c r="D583" s="6" t="s">
        <v>75</v>
      </c>
      <c r="E583" s="33"/>
      <c r="F583" s="33"/>
      <c r="G583" s="33"/>
      <c r="H583" s="6" t="s">
        <v>76</v>
      </c>
    </row>
    <row r="584">
      <c r="A584" s="6" t="s">
        <v>72</v>
      </c>
      <c r="B584" s="6" t="s">
        <v>72</v>
      </c>
      <c r="C584" s="33"/>
      <c r="D584" s="6" t="s">
        <v>75</v>
      </c>
      <c r="E584" s="33"/>
      <c r="F584" s="33"/>
      <c r="G584" s="33"/>
      <c r="H584" s="6" t="s">
        <v>76</v>
      </c>
    </row>
    <row r="585">
      <c r="A585" s="5" t="s">
        <v>72</v>
      </c>
      <c r="B585" s="5" t="s">
        <v>72</v>
      </c>
      <c r="C585" s="41"/>
      <c r="D585" s="5" t="s">
        <v>75</v>
      </c>
      <c r="E585" s="41"/>
      <c r="F585" s="41"/>
      <c r="G585" s="41"/>
      <c r="H585" s="5" t="s">
        <v>60</v>
      </c>
    </row>
    <row r="586">
      <c r="A586" s="5" t="s">
        <v>72</v>
      </c>
      <c r="B586" s="5" t="s">
        <v>72</v>
      </c>
      <c r="C586" s="41"/>
      <c r="D586" s="5" t="s">
        <v>75</v>
      </c>
      <c r="E586" s="41"/>
      <c r="F586" s="41"/>
      <c r="G586" s="41"/>
      <c r="H586" s="5" t="s">
        <v>76</v>
      </c>
    </row>
    <row r="587">
      <c r="A587" s="6" t="s">
        <v>72</v>
      </c>
      <c r="B587" s="6" t="s">
        <v>72</v>
      </c>
      <c r="C587" s="33"/>
      <c r="D587" s="6" t="s">
        <v>75</v>
      </c>
      <c r="E587" s="33"/>
      <c r="F587" s="33"/>
      <c r="G587" s="33"/>
      <c r="H587" s="6" t="s">
        <v>76</v>
      </c>
    </row>
    <row r="588">
      <c r="A588" s="6" t="s">
        <v>72</v>
      </c>
      <c r="B588" s="6" t="s">
        <v>72</v>
      </c>
      <c r="C588" s="33"/>
      <c r="D588" s="6" t="s">
        <v>75</v>
      </c>
      <c r="E588" s="33"/>
      <c r="F588" s="33"/>
      <c r="G588" s="33"/>
      <c r="H588" s="6" t="s">
        <v>76</v>
      </c>
    </row>
    <row r="589">
      <c r="A589" s="6" t="s">
        <v>72</v>
      </c>
      <c r="B589" s="6" t="s">
        <v>72</v>
      </c>
      <c r="C589" s="33"/>
      <c r="D589" s="6" t="s">
        <v>75</v>
      </c>
      <c r="E589" s="33"/>
      <c r="F589" s="33"/>
      <c r="G589" s="33"/>
      <c r="H589" s="6" t="s">
        <v>76</v>
      </c>
    </row>
    <row r="590">
      <c r="A590" s="5" t="s">
        <v>72</v>
      </c>
      <c r="B590" s="5" t="s">
        <v>72</v>
      </c>
      <c r="C590" s="41"/>
      <c r="D590" s="5" t="s">
        <v>75</v>
      </c>
      <c r="E590" s="41"/>
      <c r="F590" s="41"/>
      <c r="G590" s="41"/>
      <c r="H590" s="6" t="s">
        <v>76</v>
      </c>
    </row>
    <row r="591">
      <c r="A591" s="6" t="s">
        <v>72</v>
      </c>
      <c r="B591" s="6" t="s">
        <v>72</v>
      </c>
      <c r="C591" s="33"/>
      <c r="D591" s="6" t="s">
        <v>75</v>
      </c>
      <c r="E591" s="33"/>
      <c r="F591" s="33"/>
      <c r="G591" s="33"/>
      <c r="H591" s="6" t="s">
        <v>76</v>
      </c>
    </row>
    <row r="592">
      <c r="A592" s="6" t="s">
        <v>72</v>
      </c>
      <c r="B592" s="6" t="s">
        <v>72</v>
      </c>
      <c r="C592" s="33"/>
      <c r="D592" s="6" t="s">
        <v>75</v>
      </c>
      <c r="E592" s="33"/>
      <c r="F592" s="33"/>
      <c r="G592" s="33"/>
      <c r="H592" s="6" t="s">
        <v>76</v>
      </c>
    </row>
    <row r="593">
      <c r="A593" s="6" t="s">
        <v>72</v>
      </c>
      <c r="B593" s="6" t="s">
        <v>72</v>
      </c>
      <c r="C593" s="33"/>
      <c r="D593" s="6" t="s">
        <v>75</v>
      </c>
      <c r="E593" s="33"/>
      <c r="F593" s="33"/>
      <c r="G593" s="33"/>
      <c r="H593" s="6" t="s">
        <v>76</v>
      </c>
    </row>
    <row r="594">
      <c r="A594" s="6" t="s">
        <v>72</v>
      </c>
      <c r="B594" s="6" t="s">
        <v>72</v>
      </c>
      <c r="C594" s="33"/>
      <c r="D594" s="6" t="s">
        <v>75</v>
      </c>
      <c r="E594" s="33"/>
      <c r="F594" s="33"/>
      <c r="G594" s="33"/>
      <c r="H594" s="6" t="s">
        <v>76</v>
      </c>
    </row>
    <row r="595">
      <c r="A595" s="5" t="s">
        <v>72</v>
      </c>
      <c r="B595" s="5" t="s">
        <v>72</v>
      </c>
      <c r="C595" s="41"/>
      <c r="D595" s="5" t="s">
        <v>75</v>
      </c>
      <c r="E595" s="41"/>
      <c r="F595" s="41"/>
      <c r="G595" s="41"/>
      <c r="H595" s="6" t="s">
        <v>76</v>
      </c>
    </row>
    <row r="596">
      <c r="A596" s="6" t="s">
        <v>72</v>
      </c>
      <c r="B596" s="6" t="s">
        <v>72</v>
      </c>
      <c r="C596" s="33"/>
      <c r="D596" s="6" t="s">
        <v>75</v>
      </c>
      <c r="E596" s="33"/>
      <c r="F596" s="33"/>
      <c r="G596" s="33"/>
      <c r="H596" s="6" t="s">
        <v>76</v>
      </c>
    </row>
    <row r="597">
      <c r="A597" s="5" t="s">
        <v>72</v>
      </c>
      <c r="B597" s="5" t="s">
        <v>72</v>
      </c>
      <c r="C597" s="41"/>
      <c r="D597" s="5" t="s">
        <v>75</v>
      </c>
      <c r="E597" s="41"/>
      <c r="F597" s="41"/>
      <c r="G597" s="41"/>
      <c r="H597" s="5" t="s">
        <v>60</v>
      </c>
    </row>
    <row r="598">
      <c r="A598" s="5" t="s">
        <v>72</v>
      </c>
      <c r="B598" s="5" t="s">
        <v>72</v>
      </c>
      <c r="C598" s="41"/>
      <c r="D598" s="5" t="s">
        <v>75</v>
      </c>
      <c r="E598" s="41"/>
      <c r="F598" s="41"/>
      <c r="G598" s="41"/>
      <c r="H598" s="5" t="s">
        <v>76</v>
      </c>
    </row>
    <row r="599">
      <c r="A599" s="6" t="s">
        <v>72</v>
      </c>
      <c r="B599" s="6" t="s">
        <v>72</v>
      </c>
      <c r="C599" s="33"/>
      <c r="D599" s="6" t="s">
        <v>75</v>
      </c>
      <c r="E599" s="33"/>
      <c r="F599" s="33"/>
      <c r="G599" s="33"/>
      <c r="H599" s="6" t="s">
        <v>76</v>
      </c>
    </row>
    <row r="600">
      <c r="A600" s="6" t="s">
        <v>72</v>
      </c>
      <c r="B600" s="6" t="s">
        <v>72</v>
      </c>
      <c r="C600" s="33"/>
      <c r="D600" s="6" t="s">
        <v>75</v>
      </c>
      <c r="E600" s="33"/>
      <c r="F600" s="33"/>
      <c r="G600" s="33"/>
      <c r="H600" s="6" t="s">
        <v>76</v>
      </c>
    </row>
    <row r="601">
      <c r="A601" s="6" t="s">
        <v>132</v>
      </c>
      <c r="B601" s="6" t="s">
        <v>72</v>
      </c>
      <c r="C601" s="33"/>
      <c r="D601" s="6" t="s">
        <v>102</v>
      </c>
      <c r="E601" s="33"/>
      <c r="F601" s="33"/>
      <c r="G601" s="33"/>
      <c r="H601" s="6" t="s">
        <v>76</v>
      </c>
    </row>
    <row r="602">
      <c r="A602" s="6" t="s">
        <v>132</v>
      </c>
      <c r="B602" s="6" t="s">
        <v>72</v>
      </c>
      <c r="C602" s="33"/>
      <c r="D602" s="6" t="s">
        <v>72</v>
      </c>
      <c r="E602" s="33"/>
      <c r="F602" s="33"/>
      <c r="G602" s="33"/>
      <c r="H602" s="6" t="s">
        <v>76</v>
      </c>
    </row>
    <row r="603">
      <c r="A603" s="6" t="s">
        <v>132</v>
      </c>
      <c r="B603" s="6" t="s">
        <v>72</v>
      </c>
      <c r="C603" s="33"/>
      <c r="D603" s="6" t="s">
        <v>576</v>
      </c>
      <c r="E603" s="33"/>
      <c r="F603" s="33"/>
      <c r="G603" s="33"/>
      <c r="H603" s="6" t="s">
        <v>76</v>
      </c>
    </row>
    <row r="604">
      <c r="A604" s="6" t="s">
        <v>132</v>
      </c>
      <c r="B604" s="6" t="s">
        <v>72</v>
      </c>
      <c r="C604" s="33"/>
      <c r="D604" s="6" t="s">
        <v>576</v>
      </c>
      <c r="E604" s="33"/>
      <c r="F604" s="33"/>
      <c r="G604" s="33"/>
      <c r="H604" s="6" t="s">
        <v>76</v>
      </c>
    </row>
    <row r="605">
      <c r="A605" s="6" t="s">
        <v>132</v>
      </c>
      <c r="B605" s="6" t="s">
        <v>72</v>
      </c>
      <c r="C605" s="33"/>
      <c r="D605" s="6" t="s">
        <v>576</v>
      </c>
      <c r="E605" s="33"/>
      <c r="F605" s="33"/>
      <c r="G605" s="33"/>
      <c r="H605" s="6" t="s">
        <v>76</v>
      </c>
    </row>
    <row r="606">
      <c r="A606" s="6" t="s">
        <v>132</v>
      </c>
      <c r="B606" s="6" t="s">
        <v>72</v>
      </c>
      <c r="C606" s="33"/>
      <c r="D606" s="6" t="s">
        <v>576</v>
      </c>
      <c r="E606" s="33"/>
      <c r="F606" s="33"/>
      <c r="G606" s="33"/>
      <c r="H606" s="6" t="s">
        <v>76</v>
      </c>
    </row>
    <row r="607">
      <c r="A607" s="6" t="s">
        <v>132</v>
      </c>
      <c r="B607" s="5" t="s">
        <v>76</v>
      </c>
      <c r="C607" s="41"/>
      <c r="D607" s="5" t="s">
        <v>102</v>
      </c>
      <c r="E607" s="41"/>
      <c r="F607" s="41"/>
      <c r="G607" s="41"/>
      <c r="H607" s="5" t="s">
        <v>76</v>
      </c>
    </row>
    <row r="608">
      <c r="A608" s="6" t="s">
        <v>132</v>
      </c>
      <c r="B608" s="5" t="s">
        <v>76</v>
      </c>
      <c r="C608" s="41"/>
      <c r="D608" s="5" t="s">
        <v>102</v>
      </c>
      <c r="E608" s="41"/>
      <c r="F608" s="41"/>
      <c r="G608" s="41"/>
      <c r="H608" s="5" t="s">
        <v>76</v>
      </c>
    </row>
    <row r="609">
      <c r="A609" s="6" t="s">
        <v>132</v>
      </c>
      <c r="B609" s="6" t="s">
        <v>72</v>
      </c>
      <c r="C609" s="33"/>
      <c r="D609" s="6" t="s">
        <v>102</v>
      </c>
      <c r="E609" s="33"/>
      <c r="F609" s="33"/>
      <c r="G609" s="33"/>
      <c r="H609" s="6" t="s">
        <v>76</v>
      </c>
    </row>
    <row r="610">
      <c r="A610" s="6" t="s">
        <v>132</v>
      </c>
      <c r="B610" s="6" t="s">
        <v>72</v>
      </c>
      <c r="C610" s="33"/>
      <c r="D610" s="6" t="s">
        <v>102</v>
      </c>
      <c r="E610" s="33"/>
      <c r="F610" s="33"/>
      <c r="G610" s="33"/>
      <c r="H610" s="6" t="s">
        <v>76</v>
      </c>
    </row>
    <row r="611">
      <c r="A611" s="6" t="s">
        <v>132</v>
      </c>
      <c r="B611" s="6" t="s">
        <v>72</v>
      </c>
      <c r="C611" s="33"/>
      <c r="D611" s="6" t="s">
        <v>102</v>
      </c>
      <c r="E611" s="33"/>
      <c r="F611" s="33"/>
      <c r="G611" s="33"/>
      <c r="H611" s="6" t="s">
        <v>76</v>
      </c>
    </row>
    <row r="612">
      <c r="A612" s="6" t="s">
        <v>132</v>
      </c>
      <c r="B612" s="5" t="s">
        <v>72</v>
      </c>
      <c r="C612" s="41"/>
      <c r="D612" s="5" t="s">
        <v>102</v>
      </c>
      <c r="E612" s="41"/>
      <c r="F612" s="41"/>
      <c r="G612" s="41"/>
      <c r="H612" s="5" t="s">
        <v>76</v>
      </c>
    </row>
    <row r="613">
      <c r="A613" s="6" t="s">
        <v>132</v>
      </c>
      <c r="B613" s="6" t="s">
        <v>72</v>
      </c>
      <c r="C613" s="33"/>
      <c r="D613" s="6" t="s">
        <v>102</v>
      </c>
      <c r="E613" s="33"/>
      <c r="F613" s="33"/>
      <c r="G613" s="33"/>
      <c r="H613" s="6" t="s">
        <v>76</v>
      </c>
    </row>
    <row r="614">
      <c r="A614" s="6" t="s">
        <v>132</v>
      </c>
      <c r="B614" s="6" t="s">
        <v>72</v>
      </c>
      <c r="C614" s="33"/>
      <c r="D614" s="6" t="s">
        <v>102</v>
      </c>
      <c r="E614" s="33"/>
      <c r="F614" s="33"/>
      <c r="G614" s="33"/>
      <c r="H614" s="6" t="s">
        <v>76</v>
      </c>
    </row>
    <row r="615">
      <c r="A615" s="5" t="s">
        <v>72</v>
      </c>
      <c r="B615" s="6" t="s">
        <v>101</v>
      </c>
      <c r="C615" s="33"/>
      <c r="D615" s="6" t="s">
        <v>75</v>
      </c>
      <c r="E615" s="33"/>
      <c r="F615" s="33"/>
      <c r="G615" s="33"/>
      <c r="H615" s="6" t="s">
        <v>76</v>
      </c>
    </row>
    <row r="616">
      <c r="A616" s="5" t="s">
        <v>72</v>
      </c>
      <c r="B616" s="6" t="s">
        <v>101</v>
      </c>
      <c r="C616" s="33"/>
      <c r="D616" s="6" t="s">
        <v>75</v>
      </c>
      <c r="E616" s="33"/>
      <c r="F616" s="33"/>
      <c r="G616" s="33"/>
      <c r="H616" s="6" t="s">
        <v>76</v>
      </c>
    </row>
    <row r="617">
      <c r="A617" s="6" t="s">
        <v>132</v>
      </c>
      <c r="B617" s="6" t="s">
        <v>72</v>
      </c>
      <c r="C617" s="33"/>
      <c r="D617" s="6" t="s">
        <v>102</v>
      </c>
      <c r="E617" s="33"/>
      <c r="F617" s="33"/>
      <c r="G617" s="33"/>
      <c r="H617" s="6" t="s">
        <v>76</v>
      </c>
    </row>
    <row r="618">
      <c r="A618" s="6" t="s">
        <v>132</v>
      </c>
      <c r="B618" s="6" t="s">
        <v>72</v>
      </c>
      <c r="C618" s="33"/>
      <c r="D618" s="6" t="s">
        <v>102</v>
      </c>
      <c r="E618" s="33"/>
      <c r="F618" s="33"/>
      <c r="G618" s="33"/>
      <c r="H618" s="6" t="s">
        <v>76</v>
      </c>
    </row>
    <row r="619">
      <c r="A619" s="6" t="s">
        <v>132</v>
      </c>
      <c r="B619" s="5" t="s">
        <v>72</v>
      </c>
      <c r="C619" s="41"/>
      <c r="D619" s="5" t="s">
        <v>102</v>
      </c>
      <c r="E619" s="68">
        <v>50.0</v>
      </c>
      <c r="F619" s="68">
        <v>2.0</v>
      </c>
      <c r="G619" s="68">
        <v>25.0</v>
      </c>
      <c r="H619" s="5" t="s">
        <v>60</v>
      </c>
    </row>
    <row r="620">
      <c r="A620" s="6" t="s">
        <v>132</v>
      </c>
      <c r="B620" s="6" t="s">
        <v>72</v>
      </c>
      <c r="C620" s="33"/>
      <c r="D620" s="39" t="s">
        <v>102</v>
      </c>
      <c r="E620" s="34">
        <v>50.0</v>
      </c>
      <c r="F620" s="34">
        <v>2.0</v>
      </c>
      <c r="G620" s="34">
        <v>25.0</v>
      </c>
      <c r="H620" s="6" t="s">
        <v>76</v>
      </c>
    </row>
    <row r="621">
      <c r="A621" s="6" t="s">
        <v>132</v>
      </c>
      <c r="B621" s="6" t="s">
        <v>72</v>
      </c>
      <c r="C621" s="33"/>
      <c r="D621" s="39" t="s">
        <v>102</v>
      </c>
      <c r="E621" s="34">
        <v>50.0</v>
      </c>
      <c r="F621" s="34">
        <v>2.0</v>
      </c>
      <c r="G621" s="34">
        <v>25.0</v>
      </c>
      <c r="H621" s="6" t="s">
        <v>76</v>
      </c>
    </row>
    <row r="622">
      <c r="A622" s="6" t="s">
        <v>132</v>
      </c>
      <c r="B622" s="6" t="s">
        <v>72</v>
      </c>
      <c r="C622" s="33"/>
      <c r="D622" s="39" t="s">
        <v>102</v>
      </c>
      <c r="E622" s="34">
        <v>50.0</v>
      </c>
      <c r="F622" s="34">
        <v>2.0</v>
      </c>
      <c r="G622" s="34">
        <v>25.0</v>
      </c>
      <c r="H622" s="6" t="s">
        <v>76</v>
      </c>
    </row>
    <row r="623">
      <c r="A623" s="6" t="s">
        <v>132</v>
      </c>
      <c r="B623" s="6" t="s">
        <v>72</v>
      </c>
      <c r="C623" s="33"/>
      <c r="D623" s="6" t="s">
        <v>102</v>
      </c>
      <c r="E623" s="33"/>
      <c r="F623" s="33"/>
      <c r="G623" s="33"/>
      <c r="H623" s="6" t="s">
        <v>76</v>
      </c>
    </row>
    <row r="624">
      <c r="A624" s="6" t="s">
        <v>132</v>
      </c>
      <c r="B624" s="5" t="s">
        <v>72</v>
      </c>
      <c r="C624" s="41"/>
      <c r="D624" s="5" t="s">
        <v>102</v>
      </c>
      <c r="E624" s="41"/>
      <c r="F624" s="41"/>
      <c r="G624" s="41"/>
      <c r="H624" s="6" t="s">
        <v>76</v>
      </c>
    </row>
    <row r="625">
      <c r="A625" s="6" t="s">
        <v>132</v>
      </c>
      <c r="B625" s="5" t="s">
        <v>72</v>
      </c>
      <c r="C625" s="41"/>
      <c r="D625" s="5" t="s">
        <v>102</v>
      </c>
      <c r="E625" s="41"/>
      <c r="F625" s="41"/>
      <c r="G625" s="41"/>
      <c r="H625" s="6" t="s">
        <v>76</v>
      </c>
    </row>
    <row r="626">
      <c r="A626" s="6" t="s">
        <v>132</v>
      </c>
      <c r="B626" s="6" t="s">
        <v>72</v>
      </c>
      <c r="C626" s="33"/>
      <c r="D626" s="6" t="s">
        <v>102</v>
      </c>
      <c r="E626" s="33"/>
      <c r="F626" s="33"/>
      <c r="G626" s="33"/>
      <c r="H626" s="6" t="s">
        <v>76</v>
      </c>
    </row>
    <row r="627">
      <c r="A627" s="6" t="s">
        <v>132</v>
      </c>
      <c r="B627" s="5" t="s">
        <v>72</v>
      </c>
      <c r="C627" s="41"/>
      <c r="D627" s="5" t="s">
        <v>102</v>
      </c>
      <c r="E627" s="41"/>
      <c r="F627" s="41"/>
      <c r="G627" s="41"/>
      <c r="H627" s="6" t="s">
        <v>76</v>
      </c>
    </row>
    <row r="628">
      <c r="A628" s="6" t="s">
        <v>132</v>
      </c>
      <c r="B628" s="5" t="s">
        <v>72</v>
      </c>
      <c r="C628" s="41"/>
      <c r="D628" s="5" t="s">
        <v>102</v>
      </c>
      <c r="E628" s="41"/>
      <c r="F628" s="41"/>
      <c r="G628" s="41"/>
      <c r="H628" s="6" t="s">
        <v>76</v>
      </c>
    </row>
    <row r="629">
      <c r="A629" s="6" t="s">
        <v>132</v>
      </c>
      <c r="B629" s="6" t="s">
        <v>72</v>
      </c>
      <c r="C629" s="33"/>
      <c r="D629" s="6" t="s">
        <v>102</v>
      </c>
      <c r="E629" s="33"/>
      <c r="F629" s="33"/>
      <c r="G629" s="33"/>
      <c r="H629" s="6" t="s">
        <v>76</v>
      </c>
    </row>
    <row r="630">
      <c r="A630" s="6" t="s">
        <v>132</v>
      </c>
      <c r="B630" s="6" t="s">
        <v>72</v>
      </c>
      <c r="C630" s="33"/>
      <c r="D630" s="6" t="s">
        <v>102</v>
      </c>
      <c r="E630" s="33"/>
      <c r="F630" s="33"/>
      <c r="G630" s="33"/>
      <c r="H630" s="6" t="s">
        <v>76</v>
      </c>
    </row>
    <row r="631">
      <c r="A631" s="6" t="s">
        <v>132</v>
      </c>
      <c r="B631" s="5" t="s">
        <v>72</v>
      </c>
      <c r="C631" s="41"/>
      <c r="D631" s="5" t="s">
        <v>102</v>
      </c>
      <c r="E631" s="41"/>
      <c r="F631" s="41"/>
      <c r="G631" s="41"/>
      <c r="H631" s="6" t="s">
        <v>76</v>
      </c>
    </row>
    <row r="632">
      <c r="A632" s="6" t="s">
        <v>132</v>
      </c>
      <c r="B632" s="5" t="s">
        <v>72</v>
      </c>
      <c r="C632" s="41"/>
      <c r="D632" s="5" t="s">
        <v>102</v>
      </c>
      <c r="E632" s="41"/>
      <c r="F632" s="41"/>
      <c r="G632" s="41"/>
      <c r="H632" s="6" t="s">
        <v>76</v>
      </c>
    </row>
    <row r="633">
      <c r="A633" s="5" t="s">
        <v>72</v>
      </c>
      <c r="B633" s="6" t="s">
        <v>72</v>
      </c>
      <c r="C633" s="33" t="s">
        <v>484</v>
      </c>
      <c r="D633" s="6" t="s">
        <v>102</v>
      </c>
      <c r="E633" s="33"/>
      <c r="F633" s="33"/>
      <c r="G633" s="33"/>
      <c r="H633" s="6" t="s">
        <v>76</v>
      </c>
    </row>
    <row r="634">
      <c r="A634" s="6" t="s">
        <v>132</v>
      </c>
      <c r="B634" s="6" t="s">
        <v>72</v>
      </c>
      <c r="C634" s="33"/>
      <c r="D634" s="6" t="s">
        <v>102</v>
      </c>
      <c r="E634" s="33"/>
      <c r="F634" s="33"/>
      <c r="G634" s="33"/>
      <c r="H634" s="6" t="s">
        <v>76</v>
      </c>
    </row>
    <row r="635">
      <c r="A635" s="6" t="s">
        <v>132</v>
      </c>
      <c r="B635" s="6" t="s">
        <v>72</v>
      </c>
      <c r="C635" s="33"/>
      <c r="D635" s="6" t="s">
        <v>102</v>
      </c>
      <c r="E635" s="33"/>
      <c r="F635" s="33"/>
      <c r="G635" s="33"/>
      <c r="H635" s="6" t="s">
        <v>76</v>
      </c>
    </row>
    <row r="636">
      <c r="A636" s="6" t="s">
        <v>132</v>
      </c>
      <c r="B636" s="6" t="s">
        <v>72</v>
      </c>
      <c r="C636" s="33"/>
      <c r="D636" s="6" t="s">
        <v>102</v>
      </c>
      <c r="E636" s="33"/>
      <c r="F636" s="33"/>
      <c r="G636" s="33"/>
      <c r="H636" s="6" t="s">
        <v>76</v>
      </c>
    </row>
    <row r="637">
      <c r="A637" s="6" t="s">
        <v>132</v>
      </c>
      <c r="B637" s="6" t="s">
        <v>72</v>
      </c>
      <c r="C637" s="33"/>
      <c r="D637" s="6" t="s">
        <v>102</v>
      </c>
      <c r="E637" s="33"/>
      <c r="F637" s="33"/>
      <c r="G637" s="33"/>
      <c r="H637" s="6" t="s">
        <v>76</v>
      </c>
    </row>
    <row r="638">
      <c r="A638" s="6" t="s">
        <v>132</v>
      </c>
      <c r="B638" s="6" t="s">
        <v>72</v>
      </c>
      <c r="C638" s="33"/>
      <c r="D638" s="6" t="s">
        <v>576</v>
      </c>
      <c r="E638" s="33"/>
      <c r="F638" s="33"/>
      <c r="G638" s="33"/>
      <c r="H638" s="6" t="s">
        <v>76</v>
      </c>
    </row>
    <row r="639">
      <c r="A639" s="6" t="s">
        <v>132</v>
      </c>
      <c r="B639" s="6" t="s">
        <v>72</v>
      </c>
      <c r="C639" s="33"/>
      <c r="D639" s="6" t="s">
        <v>576</v>
      </c>
      <c r="E639" s="33"/>
      <c r="F639" s="33"/>
      <c r="G639" s="33"/>
      <c r="H639" s="6" t="s">
        <v>76</v>
      </c>
    </row>
    <row r="640">
      <c r="A640" s="6" t="s">
        <v>132</v>
      </c>
      <c r="B640" s="5" t="s">
        <v>72</v>
      </c>
      <c r="C640" s="41"/>
      <c r="D640" s="5" t="s">
        <v>576</v>
      </c>
      <c r="E640" s="41"/>
      <c r="F640" s="41"/>
      <c r="G640" s="41"/>
      <c r="H640" s="5" t="s">
        <v>76</v>
      </c>
    </row>
    <row r="641">
      <c r="A641" s="6" t="s">
        <v>132</v>
      </c>
      <c r="B641" s="6" t="s">
        <v>72</v>
      </c>
      <c r="C641" s="33"/>
      <c r="D641" s="6" t="s">
        <v>576</v>
      </c>
      <c r="E641" s="33"/>
      <c r="F641" s="33"/>
      <c r="G641" s="33"/>
      <c r="H641" s="6" t="s">
        <v>76</v>
      </c>
    </row>
    <row r="642">
      <c r="A642" s="6" t="s">
        <v>132</v>
      </c>
      <c r="B642" s="6" t="s">
        <v>72</v>
      </c>
      <c r="C642" s="33"/>
      <c r="D642" s="6" t="s">
        <v>576</v>
      </c>
      <c r="E642" s="33"/>
      <c r="F642" s="33"/>
      <c r="G642" s="33"/>
      <c r="H642" s="6" t="s">
        <v>76</v>
      </c>
    </row>
    <row r="643">
      <c r="A643" s="6" t="s">
        <v>132</v>
      </c>
      <c r="B643" s="6" t="s">
        <v>72</v>
      </c>
      <c r="C643" s="33"/>
      <c r="D643" s="6" t="s">
        <v>576</v>
      </c>
      <c r="E643" s="33"/>
      <c r="F643" s="33"/>
      <c r="G643" s="33"/>
      <c r="H643" s="6" t="s">
        <v>76</v>
      </c>
    </row>
    <row r="644">
      <c r="A644" s="7"/>
      <c r="B644" s="7"/>
      <c r="C644" s="7"/>
      <c r="D644" s="7"/>
      <c r="E644" s="7"/>
      <c r="F644" s="7"/>
      <c r="G644" s="7"/>
      <c r="H644" s="7"/>
    </row>
    <row r="645">
      <c r="A645" s="7"/>
      <c r="B645" s="7"/>
      <c r="C645" s="7"/>
      <c r="D645" s="7"/>
      <c r="E645" s="7"/>
      <c r="F645" s="7"/>
      <c r="G645" s="7"/>
      <c r="H645" s="7"/>
    </row>
    <row r="646">
      <c r="A646" s="7"/>
      <c r="B646" s="7"/>
      <c r="C646" s="7"/>
      <c r="D646" s="7"/>
      <c r="E646" s="7"/>
      <c r="F646" s="7"/>
      <c r="G646" s="7"/>
      <c r="H646" s="7"/>
    </row>
    <row r="647">
      <c r="A647" s="7"/>
      <c r="B647" s="7"/>
      <c r="C647" s="7"/>
      <c r="D647" s="7"/>
      <c r="E647" s="7"/>
      <c r="F647" s="7"/>
      <c r="G647" s="7"/>
      <c r="H647" s="7"/>
    </row>
    <row r="648">
      <c r="A648" s="7"/>
      <c r="B648" s="7"/>
      <c r="C648" s="7"/>
      <c r="D648" s="7"/>
      <c r="E648" s="7"/>
      <c r="F648" s="7"/>
      <c r="G648" s="7"/>
      <c r="H648" s="7"/>
    </row>
    <row r="649">
      <c r="A649" s="7"/>
      <c r="B649" s="7"/>
      <c r="C649" s="7"/>
      <c r="D649" s="7"/>
      <c r="E649" s="7"/>
      <c r="F649" s="7"/>
      <c r="G649" s="7"/>
      <c r="H649" s="7"/>
    </row>
    <row r="650">
      <c r="A650" s="7"/>
      <c r="B650" s="7"/>
      <c r="C650" s="7"/>
      <c r="D650" s="7"/>
      <c r="E650" s="7"/>
      <c r="F650" s="7"/>
      <c r="G650" s="7"/>
      <c r="H650" s="7"/>
    </row>
    <row r="651">
      <c r="A651" s="7"/>
      <c r="B651" s="7"/>
      <c r="C651" s="7"/>
      <c r="D651" s="7"/>
      <c r="E651" s="7"/>
      <c r="F651" s="7"/>
      <c r="G651" s="7"/>
      <c r="H651" s="7"/>
    </row>
    <row r="652">
      <c r="A652" s="7"/>
      <c r="B652" s="7"/>
      <c r="C652" s="7"/>
      <c r="D652" s="7"/>
      <c r="E652" s="7"/>
      <c r="F652" s="7"/>
      <c r="G652" s="7"/>
      <c r="H652" s="7"/>
    </row>
    <row r="653">
      <c r="A653" s="7"/>
      <c r="B653" s="7"/>
      <c r="C653" s="7"/>
      <c r="D653" s="7"/>
      <c r="E653" s="7"/>
      <c r="F653" s="7"/>
      <c r="G653" s="7"/>
      <c r="H653" s="7"/>
    </row>
    <row r="654">
      <c r="A654" s="7"/>
      <c r="B654" s="7"/>
      <c r="C654" s="7"/>
      <c r="D654" s="7"/>
      <c r="E654" s="7"/>
      <c r="F654" s="7"/>
      <c r="G654" s="7"/>
      <c r="H654" s="7"/>
    </row>
    <row r="655">
      <c r="A655" s="7"/>
      <c r="B655" s="7"/>
      <c r="C655" s="7"/>
      <c r="D655" s="7"/>
      <c r="E655" s="7"/>
      <c r="F655" s="7"/>
      <c r="G655" s="7"/>
      <c r="H655" s="7"/>
    </row>
    <row r="656">
      <c r="A656" s="7"/>
      <c r="B656" s="7"/>
      <c r="C656" s="7"/>
      <c r="D656" s="7"/>
      <c r="E656" s="7"/>
      <c r="F656" s="7"/>
      <c r="G656" s="7"/>
      <c r="H656" s="7"/>
    </row>
    <row r="657">
      <c r="A657" s="7"/>
      <c r="B657" s="7"/>
      <c r="C657" s="7"/>
      <c r="D657" s="7"/>
      <c r="E657" s="7"/>
      <c r="F657" s="7"/>
      <c r="G657" s="7"/>
      <c r="H657" s="7"/>
    </row>
    <row r="658">
      <c r="A658" s="7"/>
      <c r="B658" s="7"/>
      <c r="C658" s="7"/>
      <c r="D658" s="7"/>
      <c r="E658" s="7"/>
      <c r="F658" s="7"/>
      <c r="G658" s="7"/>
      <c r="H658" s="7"/>
    </row>
    <row r="659">
      <c r="A659" s="7"/>
      <c r="B659" s="7"/>
      <c r="C659" s="7"/>
      <c r="D659" s="7"/>
      <c r="E659" s="7"/>
      <c r="F659" s="7"/>
      <c r="G659" s="7"/>
      <c r="H659" s="7"/>
    </row>
    <row r="660">
      <c r="A660" s="7"/>
      <c r="B660" s="7"/>
      <c r="C660" s="7"/>
      <c r="D660" s="7"/>
      <c r="E660" s="7"/>
      <c r="F660" s="7"/>
      <c r="G660" s="7"/>
      <c r="H660" s="7"/>
    </row>
    <row r="661">
      <c r="A661" s="7"/>
      <c r="B661" s="7"/>
      <c r="C661" s="7"/>
      <c r="D661" s="7"/>
      <c r="E661" s="7"/>
      <c r="F661" s="7"/>
      <c r="G661" s="7"/>
      <c r="H661" s="7"/>
    </row>
    <row r="662">
      <c r="A662" s="7"/>
      <c r="B662" s="7"/>
      <c r="C662" s="7"/>
      <c r="D662" s="7"/>
      <c r="E662" s="7"/>
      <c r="F662" s="7"/>
      <c r="G662" s="7"/>
      <c r="H662" s="7"/>
    </row>
    <row r="663">
      <c r="A663" s="7"/>
      <c r="B663" s="7"/>
      <c r="C663" s="7"/>
      <c r="D663" s="7"/>
      <c r="E663" s="7"/>
      <c r="F663" s="7"/>
      <c r="G663" s="7"/>
      <c r="H663" s="7"/>
    </row>
    <row r="664">
      <c r="A664" s="7"/>
      <c r="B664" s="7"/>
      <c r="C664" s="7"/>
      <c r="D664" s="7"/>
      <c r="E664" s="7"/>
      <c r="F664" s="7"/>
      <c r="G664" s="7"/>
      <c r="H664" s="7"/>
    </row>
    <row r="665">
      <c r="A665" s="7"/>
      <c r="B665" s="7"/>
      <c r="C665" s="7"/>
      <c r="D665" s="7"/>
      <c r="E665" s="7"/>
      <c r="F665" s="7"/>
      <c r="G665" s="7"/>
      <c r="H665" s="7"/>
    </row>
    <row r="666">
      <c r="A666" s="7"/>
      <c r="B666" s="7"/>
      <c r="C666" s="7"/>
      <c r="D666" s="7"/>
      <c r="E666" s="7"/>
      <c r="F666" s="7"/>
      <c r="G666" s="7"/>
      <c r="H666" s="7"/>
    </row>
    <row r="667">
      <c r="A667" s="7"/>
      <c r="B667" s="7"/>
      <c r="C667" s="7"/>
      <c r="D667" s="7"/>
      <c r="E667" s="7"/>
      <c r="F667" s="7"/>
      <c r="G667" s="7"/>
      <c r="H667" s="7"/>
    </row>
    <row r="668">
      <c r="A668" s="7"/>
      <c r="B668" s="7"/>
      <c r="C668" s="7"/>
      <c r="D668" s="7"/>
      <c r="E668" s="7"/>
      <c r="F668" s="7"/>
      <c r="G668" s="7"/>
      <c r="H668" s="7"/>
    </row>
    <row r="669">
      <c r="A669" s="7"/>
      <c r="B669" s="7"/>
      <c r="C669" s="7"/>
      <c r="D669" s="7"/>
      <c r="E669" s="7"/>
      <c r="F669" s="7"/>
      <c r="G669" s="7"/>
      <c r="H669" s="7"/>
    </row>
    <row r="670">
      <c r="A670" s="7"/>
      <c r="B670" s="7"/>
      <c r="C670" s="7"/>
      <c r="D670" s="7"/>
      <c r="E670" s="7"/>
      <c r="F670" s="7"/>
      <c r="G670" s="7"/>
      <c r="H670" s="7"/>
    </row>
    <row r="671">
      <c r="A671" s="7"/>
      <c r="B671" s="7"/>
      <c r="C671" s="7"/>
      <c r="D671" s="7"/>
      <c r="E671" s="7"/>
      <c r="F671" s="7"/>
      <c r="G671" s="7"/>
      <c r="H671" s="7"/>
    </row>
    <row r="672">
      <c r="A672" s="7"/>
      <c r="B672" s="7"/>
      <c r="C672" s="7"/>
      <c r="D672" s="7"/>
      <c r="E672" s="7"/>
      <c r="F672" s="7"/>
      <c r="G672" s="7"/>
      <c r="H672" s="7"/>
    </row>
    <row r="673">
      <c r="A673" s="7"/>
      <c r="B673" s="7"/>
      <c r="C673" s="7"/>
      <c r="D673" s="7"/>
      <c r="E673" s="7"/>
      <c r="F673" s="7"/>
      <c r="G673" s="7"/>
      <c r="H673" s="7"/>
    </row>
    <row r="674">
      <c r="A674" s="7"/>
      <c r="B674" s="7"/>
      <c r="C674" s="7"/>
      <c r="D674" s="7"/>
      <c r="E674" s="7"/>
      <c r="F674" s="7"/>
      <c r="G674" s="7"/>
      <c r="H674" s="7"/>
    </row>
    <row r="675">
      <c r="A675" s="7"/>
      <c r="B675" s="7"/>
      <c r="C675" s="7"/>
      <c r="D675" s="7"/>
      <c r="E675" s="7"/>
      <c r="F675" s="7"/>
      <c r="G675" s="7"/>
      <c r="H675" s="7"/>
    </row>
    <row r="676">
      <c r="A676" s="7"/>
      <c r="B676" s="7"/>
      <c r="C676" s="7"/>
      <c r="D676" s="7"/>
      <c r="E676" s="7"/>
      <c r="F676" s="7"/>
      <c r="G676" s="7"/>
      <c r="H676" s="7"/>
    </row>
    <row r="677">
      <c r="A677" s="7"/>
      <c r="B677" s="7"/>
      <c r="C677" s="7"/>
      <c r="D677" s="7"/>
      <c r="E677" s="7"/>
      <c r="F677" s="7"/>
      <c r="G677" s="7"/>
      <c r="H677" s="7"/>
    </row>
    <row r="678">
      <c r="A678" s="7"/>
      <c r="B678" s="7"/>
      <c r="C678" s="7"/>
      <c r="D678" s="7"/>
      <c r="E678" s="7"/>
      <c r="F678" s="7"/>
      <c r="G678" s="7"/>
      <c r="H678" s="7"/>
    </row>
    <row r="679">
      <c r="A679" s="7"/>
      <c r="B679" s="7"/>
      <c r="C679" s="7"/>
      <c r="D679" s="7"/>
      <c r="E679" s="7"/>
      <c r="F679" s="7"/>
      <c r="G679" s="7"/>
      <c r="H679" s="7"/>
    </row>
    <row r="680">
      <c r="A680" s="7"/>
      <c r="B680" s="7"/>
      <c r="C680" s="7"/>
      <c r="D680" s="7"/>
      <c r="E680" s="7"/>
      <c r="F680" s="7"/>
      <c r="G680" s="7"/>
      <c r="H680" s="7"/>
    </row>
    <row r="681">
      <c r="A681" s="7"/>
      <c r="B681" s="7"/>
      <c r="C681" s="7"/>
      <c r="D681" s="7"/>
      <c r="E681" s="7"/>
      <c r="F681" s="7"/>
      <c r="G681" s="7"/>
      <c r="H681" s="7"/>
    </row>
    <row r="682">
      <c r="A682" s="7"/>
      <c r="B682" s="7"/>
      <c r="C682" s="7"/>
      <c r="D682" s="7"/>
      <c r="E682" s="7"/>
      <c r="F682" s="7"/>
      <c r="G682" s="7"/>
      <c r="H682" s="7"/>
    </row>
    <row r="683">
      <c r="A683" s="7"/>
      <c r="B683" s="7"/>
      <c r="C683" s="7"/>
      <c r="D683" s="7"/>
      <c r="E683" s="7"/>
      <c r="F683" s="7"/>
      <c r="G683" s="7"/>
      <c r="H683" s="7"/>
    </row>
    <row r="684">
      <c r="A684" s="7"/>
      <c r="B684" s="7"/>
      <c r="C684" s="7"/>
      <c r="D684" s="7"/>
      <c r="E684" s="7"/>
      <c r="F684" s="7"/>
      <c r="G684" s="7"/>
      <c r="H684" s="7"/>
    </row>
    <row r="685">
      <c r="A685" s="7"/>
      <c r="B685" s="7"/>
      <c r="C685" s="7"/>
      <c r="D685" s="7"/>
      <c r="E685" s="7"/>
      <c r="F685" s="7"/>
      <c r="G685" s="7"/>
      <c r="H685" s="7"/>
    </row>
    <row r="686">
      <c r="A686" s="7"/>
      <c r="B686" s="7"/>
      <c r="C686" s="7"/>
      <c r="D686" s="7"/>
      <c r="E686" s="7"/>
      <c r="F686" s="7"/>
      <c r="G686" s="7"/>
      <c r="H686" s="7"/>
    </row>
    <row r="687">
      <c r="A687" s="7"/>
      <c r="B687" s="7"/>
      <c r="C687" s="7"/>
      <c r="D687" s="7"/>
      <c r="E687" s="7"/>
      <c r="F687" s="7"/>
      <c r="G687" s="7"/>
      <c r="H687" s="7"/>
    </row>
    <row r="688">
      <c r="A688" s="7"/>
      <c r="B688" s="7"/>
      <c r="C688" s="7"/>
      <c r="D688" s="7"/>
      <c r="E688" s="7"/>
      <c r="F688" s="7"/>
      <c r="G688" s="7"/>
      <c r="H688" s="7"/>
    </row>
    <row r="689">
      <c r="A689" s="7"/>
      <c r="B689" s="7"/>
      <c r="C689" s="7"/>
      <c r="D689" s="7"/>
      <c r="E689" s="7"/>
      <c r="F689" s="7"/>
      <c r="G689" s="7"/>
      <c r="H689" s="7"/>
    </row>
    <row r="690">
      <c r="A690" s="7"/>
      <c r="B690" s="7"/>
      <c r="C690" s="7"/>
      <c r="D690" s="7"/>
      <c r="E690" s="7"/>
      <c r="F690" s="7"/>
      <c r="G690" s="7"/>
      <c r="H690" s="7"/>
    </row>
    <row r="691">
      <c r="A691" s="7"/>
      <c r="B691" s="7"/>
      <c r="C691" s="7"/>
      <c r="D691" s="7"/>
      <c r="E691" s="7"/>
      <c r="F691" s="7"/>
      <c r="G691" s="7"/>
      <c r="H691" s="7"/>
    </row>
    <row r="692">
      <c r="A692" s="7"/>
      <c r="B692" s="7"/>
      <c r="C692" s="7"/>
      <c r="D692" s="7"/>
      <c r="E692" s="7"/>
      <c r="F692" s="7"/>
      <c r="G692" s="7"/>
      <c r="H692" s="7"/>
    </row>
    <row r="693">
      <c r="A693" s="7"/>
      <c r="B693" s="7"/>
      <c r="C693" s="7"/>
      <c r="D693" s="7"/>
      <c r="E693" s="7"/>
      <c r="F693" s="7"/>
      <c r="G693" s="7"/>
      <c r="H693" s="7"/>
    </row>
    <row r="694">
      <c r="A694" s="7"/>
      <c r="B694" s="7"/>
      <c r="C694" s="7"/>
      <c r="D694" s="7"/>
      <c r="E694" s="7"/>
      <c r="F694" s="7"/>
      <c r="G694" s="7"/>
      <c r="H694" s="7"/>
    </row>
    <row r="695">
      <c r="A695" s="7"/>
      <c r="B695" s="7"/>
      <c r="C695" s="7"/>
      <c r="D695" s="7"/>
      <c r="E695" s="7"/>
      <c r="F695" s="7"/>
      <c r="G695" s="7"/>
      <c r="H695" s="7"/>
    </row>
    <row r="696">
      <c r="A696" s="7"/>
      <c r="B696" s="7"/>
      <c r="C696" s="7"/>
      <c r="D696" s="7"/>
      <c r="E696" s="7"/>
      <c r="F696" s="7"/>
      <c r="G696" s="7"/>
      <c r="H696" s="7"/>
    </row>
    <row r="697">
      <c r="A697" s="7"/>
      <c r="B697" s="7"/>
      <c r="C697" s="7"/>
      <c r="D697" s="7"/>
      <c r="E697" s="7"/>
      <c r="F697" s="7"/>
      <c r="G697" s="7"/>
      <c r="H697" s="7"/>
    </row>
    <row r="698">
      <c r="A698" s="7"/>
      <c r="B698" s="7"/>
      <c r="C698" s="7"/>
      <c r="D698" s="7"/>
      <c r="E698" s="7"/>
      <c r="F698" s="7"/>
      <c r="G698" s="7"/>
      <c r="H698" s="7"/>
    </row>
    <row r="699">
      <c r="A699" s="7"/>
      <c r="B699" s="7"/>
      <c r="C699" s="7"/>
      <c r="D699" s="7"/>
      <c r="E699" s="7"/>
      <c r="F699" s="7"/>
      <c r="G699" s="7"/>
      <c r="H699" s="7"/>
    </row>
    <row r="700">
      <c r="A700" s="7"/>
      <c r="B700" s="7"/>
      <c r="C700" s="7"/>
      <c r="D700" s="7"/>
      <c r="E700" s="7"/>
      <c r="F700" s="7"/>
      <c r="G700" s="7"/>
      <c r="H700" s="7"/>
    </row>
    <row r="701">
      <c r="A701" s="7"/>
      <c r="B701" s="7"/>
      <c r="C701" s="7"/>
      <c r="D701" s="7"/>
      <c r="E701" s="7"/>
      <c r="F701" s="7"/>
      <c r="G701" s="7"/>
      <c r="H701" s="7"/>
    </row>
    <row r="702">
      <c r="A702" s="7"/>
      <c r="B702" s="7"/>
      <c r="C702" s="7"/>
      <c r="D702" s="7"/>
      <c r="E702" s="7"/>
      <c r="F702" s="7"/>
      <c r="G702" s="7"/>
      <c r="H702" s="7"/>
    </row>
    <row r="703">
      <c r="A703" s="7"/>
      <c r="B703" s="7"/>
      <c r="C703" s="7"/>
      <c r="D703" s="7"/>
      <c r="E703" s="7"/>
      <c r="F703" s="7"/>
      <c r="G703" s="7"/>
      <c r="H703" s="7"/>
    </row>
    <row r="704">
      <c r="A704" s="7"/>
      <c r="B704" s="7"/>
      <c r="C704" s="7"/>
      <c r="D704" s="7"/>
      <c r="E704" s="7"/>
      <c r="F704" s="7"/>
      <c r="G704" s="7"/>
      <c r="H704" s="7"/>
    </row>
    <row r="705">
      <c r="A705" s="7"/>
      <c r="B705" s="7"/>
      <c r="C705" s="7"/>
      <c r="D705" s="7"/>
      <c r="E705" s="7"/>
      <c r="F705" s="7"/>
      <c r="G705" s="7"/>
      <c r="H705" s="7"/>
    </row>
    <row r="706">
      <c r="A706" s="7"/>
      <c r="B706" s="7"/>
      <c r="C706" s="7"/>
      <c r="D706" s="7"/>
      <c r="E706" s="7"/>
      <c r="F706" s="7"/>
      <c r="G706" s="7"/>
      <c r="H706" s="7"/>
    </row>
    <row r="707">
      <c r="A707" s="7"/>
      <c r="B707" s="7"/>
      <c r="C707" s="7"/>
      <c r="D707" s="7"/>
      <c r="E707" s="7"/>
      <c r="F707" s="7"/>
      <c r="G707" s="7"/>
      <c r="H707" s="7"/>
    </row>
    <row r="708">
      <c r="A708" s="7"/>
      <c r="B708" s="7"/>
      <c r="C708" s="7"/>
      <c r="D708" s="7"/>
      <c r="E708" s="7"/>
      <c r="F708" s="7"/>
      <c r="G708" s="7"/>
      <c r="H708" s="7"/>
    </row>
    <row r="709">
      <c r="A709" s="7"/>
      <c r="B709" s="7"/>
      <c r="C709" s="7"/>
      <c r="D709" s="7"/>
      <c r="E709" s="7"/>
      <c r="F709" s="7"/>
      <c r="G709" s="7"/>
      <c r="H709" s="7"/>
    </row>
    <row r="710">
      <c r="A710" s="7"/>
      <c r="B710" s="7"/>
      <c r="C710" s="7"/>
      <c r="D710" s="7"/>
      <c r="E710" s="7"/>
      <c r="F710" s="7"/>
      <c r="G710" s="7"/>
      <c r="H710" s="7"/>
    </row>
    <row r="711">
      <c r="A711" s="7"/>
      <c r="B711" s="7"/>
      <c r="C711" s="7"/>
      <c r="D711" s="7"/>
      <c r="E711" s="7"/>
      <c r="F711" s="7"/>
      <c r="G711" s="7"/>
      <c r="H711" s="7"/>
    </row>
    <row r="712">
      <c r="A712" s="7"/>
      <c r="B712" s="7"/>
      <c r="C712" s="7"/>
      <c r="D712" s="7"/>
      <c r="E712" s="7"/>
      <c r="F712" s="7"/>
      <c r="G712" s="7"/>
      <c r="H712" s="7"/>
    </row>
    <row r="713">
      <c r="A713" s="7"/>
      <c r="B713" s="7"/>
      <c r="C713" s="7"/>
      <c r="D713" s="7"/>
      <c r="E713" s="7"/>
      <c r="F713" s="7"/>
      <c r="G713" s="7"/>
      <c r="H713" s="7"/>
    </row>
    <row r="714">
      <c r="A714" s="7"/>
      <c r="B714" s="7"/>
      <c r="C714" s="7"/>
      <c r="D714" s="7"/>
      <c r="E714" s="7"/>
      <c r="F714" s="7"/>
      <c r="G714" s="7"/>
      <c r="H714" s="7"/>
    </row>
    <row r="715">
      <c r="A715" s="7"/>
      <c r="B715" s="7"/>
      <c r="C715" s="7"/>
      <c r="D715" s="7"/>
      <c r="E715" s="7"/>
      <c r="F715" s="7"/>
      <c r="G715" s="7"/>
      <c r="H715" s="7"/>
    </row>
    <row r="716">
      <c r="A716" s="7"/>
      <c r="B716" s="7"/>
      <c r="C716" s="7"/>
      <c r="D716" s="7"/>
      <c r="E716" s="7"/>
      <c r="F716" s="7"/>
      <c r="G716" s="7"/>
      <c r="H716" s="7"/>
    </row>
    <row r="717">
      <c r="A717" s="7"/>
      <c r="B717" s="7"/>
      <c r="C717" s="7"/>
      <c r="D717" s="7"/>
      <c r="E717" s="7"/>
      <c r="F717" s="7"/>
      <c r="G717" s="7"/>
      <c r="H717" s="7"/>
    </row>
    <row r="718">
      <c r="A718" s="7"/>
      <c r="B718" s="7"/>
      <c r="C718" s="7"/>
      <c r="D718" s="7"/>
      <c r="E718" s="7"/>
      <c r="F718" s="7"/>
      <c r="G718" s="7"/>
      <c r="H718" s="7"/>
    </row>
    <row r="719">
      <c r="A719" s="7"/>
      <c r="B719" s="7"/>
      <c r="C719" s="7"/>
      <c r="D719" s="7"/>
      <c r="E719" s="7"/>
      <c r="F719" s="7"/>
      <c r="G719" s="7"/>
      <c r="H719" s="7"/>
    </row>
    <row r="720">
      <c r="A720" s="7"/>
      <c r="B720" s="7"/>
      <c r="C720" s="7"/>
      <c r="D720" s="7"/>
      <c r="E720" s="7"/>
      <c r="F720" s="7"/>
      <c r="G720" s="7"/>
      <c r="H720" s="7"/>
    </row>
    <row r="721">
      <c r="A721" s="7"/>
      <c r="B721" s="7"/>
      <c r="C721" s="7"/>
      <c r="D721" s="7"/>
      <c r="E721" s="7"/>
      <c r="F721" s="7"/>
      <c r="G721" s="7"/>
      <c r="H721" s="7"/>
    </row>
    <row r="722">
      <c r="A722" s="7"/>
      <c r="B722" s="7"/>
      <c r="C722" s="7"/>
      <c r="D722" s="7"/>
      <c r="E722" s="7"/>
      <c r="F722" s="7"/>
      <c r="G722" s="7"/>
      <c r="H722" s="7"/>
    </row>
    <row r="723">
      <c r="A723" s="7"/>
      <c r="B723" s="7"/>
      <c r="C723" s="7"/>
      <c r="D723" s="7"/>
      <c r="E723" s="7"/>
      <c r="F723" s="7"/>
      <c r="G723" s="7"/>
      <c r="H723" s="7"/>
    </row>
    <row r="724">
      <c r="A724" s="7"/>
      <c r="B724" s="7"/>
      <c r="C724" s="7"/>
      <c r="D724" s="7"/>
      <c r="E724" s="7"/>
      <c r="F724" s="7"/>
      <c r="G724" s="7"/>
      <c r="H724" s="7"/>
    </row>
    <row r="725">
      <c r="A725" s="7"/>
      <c r="B725" s="7"/>
      <c r="C725" s="7"/>
      <c r="D725" s="7"/>
      <c r="E725" s="7"/>
      <c r="F725" s="7"/>
      <c r="G725" s="7"/>
      <c r="H725" s="7"/>
    </row>
    <row r="726">
      <c r="A726" s="7"/>
      <c r="B726" s="7"/>
      <c r="C726" s="7"/>
      <c r="D726" s="7"/>
      <c r="E726" s="7"/>
      <c r="F726" s="7"/>
      <c r="G726" s="7"/>
      <c r="H726" s="7"/>
    </row>
    <row r="727">
      <c r="A727" s="7"/>
      <c r="B727" s="7"/>
      <c r="C727" s="7"/>
      <c r="D727" s="7"/>
      <c r="E727" s="7"/>
      <c r="F727" s="7"/>
      <c r="G727" s="7"/>
      <c r="H727" s="7"/>
    </row>
    <row r="728">
      <c r="A728" s="7"/>
      <c r="B728" s="7"/>
      <c r="C728" s="7"/>
      <c r="D728" s="7"/>
      <c r="E728" s="7"/>
      <c r="F728" s="7"/>
      <c r="G728" s="7"/>
      <c r="H728" s="7"/>
    </row>
    <row r="729">
      <c r="A729" s="7"/>
      <c r="B729" s="7"/>
      <c r="C729" s="7"/>
      <c r="D729" s="7"/>
      <c r="E729" s="7"/>
      <c r="F729" s="7"/>
      <c r="G729" s="7"/>
      <c r="H729" s="7"/>
    </row>
    <row r="730">
      <c r="A730" s="7"/>
      <c r="B730" s="7"/>
      <c r="C730" s="7"/>
      <c r="D730" s="7"/>
      <c r="E730" s="7"/>
      <c r="F730" s="7"/>
      <c r="G730" s="7"/>
      <c r="H730" s="7"/>
    </row>
    <row r="731">
      <c r="A731" s="7"/>
      <c r="B731" s="7"/>
      <c r="C731" s="7"/>
      <c r="D731" s="7"/>
      <c r="E731" s="7"/>
      <c r="F731" s="7"/>
      <c r="G731" s="7"/>
      <c r="H731" s="7"/>
    </row>
    <row r="732">
      <c r="A732" s="7"/>
      <c r="B732" s="7"/>
      <c r="C732" s="7"/>
      <c r="D732" s="7"/>
      <c r="E732" s="7"/>
      <c r="F732" s="7"/>
      <c r="G732" s="7"/>
      <c r="H732" s="7"/>
    </row>
    <row r="733">
      <c r="A733" s="7"/>
      <c r="B733" s="7"/>
      <c r="C733" s="7"/>
      <c r="D733" s="7"/>
      <c r="E733" s="7"/>
      <c r="F733" s="7"/>
      <c r="G733" s="7"/>
      <c r="H733" s="7"/>
    </row>
    <row r="734">
      <c r="A734" s="7"/>
      <c r="B734" s="7"/>
      <c r="C734" s="7"/>
      <c r="D734" s="7"/>
      <c r="E734" s="7"/>
      <c r="F734" s="7"/>
      <c r="G734" s="7"/>
      <c r="H734" s="7"/>
    </row>
    <row r="735">
      <c r="A735" s="7"/>
      <c r="B735" s="7"/>
      <c r="C735" s="7"/>
      <c r="D735" s="7"/>
      <c r="E735" s="7"/>
      <c r="F735" s="7"/>
      <c r="G735" s="7"/>
      <c r="H735" s="7"/>
    </row>
    <row r="736">
      <c r="A736" s="7"/>
      <c r="B736" s="7"/>
      <c r="C736" s="7"/>
      <c r="D736" s="7"/>
      <c r="E736" s="7"/>
      <c r="F736" s="7"/>
      <c r="G736" s="7"/>
      <c r="H736" s="7"/>
    </row>
    <row r="737">
      <c r="A737" s="7"/>
      <c r="B737" s="7"/>
      <c r="C737" s="7"/>
      <c r="D737" s="7"/>
      <c r="E737" s="7"/>
      <c r="F737" s="7"/>
      <c r="G737" s="7"/>
      <c r="H737" s="7"/>
    </row>
    <row r="738">
      <c r="A738" s="7"/>
      <c r="B738" s="7"/>
      <c r="C738" s="7"/>
      <c r="D738" s="7"/>
      <c r="E738" s="7"/>
      <c r="F738" s="7"/>
      <c r="G738" s="7"/>
      <c r="H738" s="7"/>
    </row>
    <row r="739">
      <c r="A739" s="7"/>
      <c r="B739" s="7"/>
      <c r="C739" s="7"/>
      <c r="D739" s="7"/>
      <c r="E739" s="7"/>
      <c r="F739" s="7"/>
      <c r="G739" s="7"/>
      <c r="H739" s="7"/>
    </row>
    <row r="740">
      <c r="A740" s="7"/>
      <c r="B740" s="7"/>
      <c r="C740" s="7"/>
      <c r="D740" s="7"/>
      <c r="E740" s="7"/>
      <c r="F740" s="7"/>
      <c r="G740" s="7"/>
      <c r="H740" s="7"/>
    </row>
    <row r="741">
      <c r="A741" s="7"/>
      <c r="B741" s="7"/>
      <c r="C741" s="7"/>
      <c r="D741" s="7"/>
      <c r="E741" s="7"/>
      <c r="F741" s="7"/>
      <c r="G741" s="7"/>
      <c r="H741" s="7"/>
    </row>
    <row r="742">
      <c r="A742" s="7"/>
      <c r="B742" s="7"/>
      <c r="C742" s="7"/>
      <c r="D742" s="7"/>
      <c r="E742" s="7"/>
      <c r="F742" s="7"/>
      <c r="G742" s="7"/>
      <c r="H742" s="7"/>
    </row>
    <row r="743">
      <c r="A743" s="7"/>
      <c r="B743" s="7"/>
      <c r="C743" s="7"/>
      <c r="D743" s="7"/>
      <c r="E743" s="7"/>
      <c r="F743" s="7"/>
      <c r="G743" s="7"/>
      <c r="H743" s="7"/>
    </row>
    <row r="744">
      <c r="A744" s="7"/>
      <c r="B744" s="7"/>
      <c r="C744" s="7"/>
      <c r="D744" s="7"/>
      <c r="E744" s="7"/>
      <c r="F744" s="7"/>
      <c r="G744" s="7"/>
      <c r="H744" s="7"/>
    </row>
    <row r="745">
      <c r="A745" s="7"/>
      <c r="B745" s="7"/>
      <c r="C745" s="7"/>
      <c r="D745" s="7"/>
      <c r="E745" s="7"/>
      <c r="F745" s="7"/>
      <c r="G745" s="7"/>
      <c r="H745" s="7"/>
    </row>
    <row r="746">
      <c r="A746" s="7"/>
      <c r="B746" s="7"/>
      <c r="C746" s="7"/>
      <c r="D746" s="7"/>
      <c r="E746" s="7"/>
      <c r="F746" s="7"/>
      <c r="G746" s="7"/>
      <c r="H746" s="7"/>
    </row>
    <row r="747">
      <c r="A747" s="7"/>
      <c r="B747" s="7"/>
      <c r="C747" s="7"/>
      <c r="D747" s="7"/>
      <c r="E747" s="7"/>
      <c r="F747" s="7"/>
      <c r="G747" s="7"/>
      <c r="H747" s="7"/>
    </row>
    <row r="748">
      <c r="A748" s="7"/>
      <c r="B748" s="7"/>
      <c r="C748" s="7"/>
      <c r="D748" s="7"/>
      <c r="E748" s="7"/>
      <c r="F748" s="7"/>
      <c r="G748" s="7"/>
      <c r="H748" s="7"/>
    </row>
    <row r="749">
      <c r="A749" s="7"/>
      <c r="B749" s="7"/>
      <c r="C749" s="7"/>
      <c r="D749" s="7"/>
      <c r="E749" s="7"/>
      <c r="F749" s="7"/>
      <c r="G749" s="7"/>
      <c r="H749" s="7"/>
    </row>
    <row r="750">
      <c r="A750" s="7"/>
      <c r="B750" s="7"/>
      <c r="C750" s="7"/>
      <c r="D750" s="7"/>
      <c r="E750" s="7"/>
      <c r="F750" s="7"/>
      <c r="G750" s="7"/>
      <c r="H750" s="7"/>
    </row>
    <row r="751">
      <c r="A751" s="7"/>
      <c r="B751" s="7"/>
      <c r="C751" s="7"/>
      <c r="D751" s="7"/>
      <c r="E751" s="7"/>
      <c r="F751" s="7"/>
      <c r="G751" s="7"/>
      <c r="H751" s="7"/>
    </row>
    <row r="752">
      <c r="A752" s="7"/>
      <c r="B752" s="7"/>
      <c r="C752" s="7"/>
      <c r="D752" s="7"/>
      <c r="E752" s="7"/>
      <c r="F752" s="7"/>
      <c r="G752" s="7"/>
      <c r="H752" s="7"/>
    </row>
    <row r="753">
      <c r="A753" s="7"/>
      <c r="B753" s="7"/>
      <c r="C753" s="7"/>
      <c r="D753" s="7"/>
      <c r="E753" s="7"/>
      <c r="F753" s="7"/>
      <c r="G753" s="7"/>
      <c r="H753" s="7"/>
    </row>
    <row r="754">
      <c r="A754" s="7"/>
      <c r="B754" s="7"/>
      <c r="C754" s="7"/>
      <c r="D754" s="7"/>
      <c r="E754" s="7"/>
      <c r="F754" s="7"/>
      <c r="G754" s="7"/>
      <c r="H754" s="7"/>
    </row>
    <row r="755">
      <c r="A755" s="7"/>
      <c r="B755" s="7"/>
      <c r="C755" s="7"/>
      <c r="D755" s="7"/>
      <c r="E755" s="7"/>
      <c r="F755" s="7"/>
      <c r="G755" s="7"/>
      <c r="H755" s="7"/>
    </row>
    <row r="756">
      <c r="A756" s="7"/>
      <c r="B756" s="7"/>
      <c r="C756" s="7"/>
      <c r="D756" s="7"/>
      <c r="E756" s="7"/>
      <c r="F756" s="7"/>
      <c r="G756" s="7"/>
      <c r="H756" s="7"/>
    </row>
    <row r="757">
      <c r="A757" s="7"/>
      <c r="B757" s="7"/>
      <c r="C757" s="7"/>
      <c r="D757" s="7"/>
      <c r="E757" s="7"/>
      <c r="F757" s="7"/>
      <c r="G757" s="7"/>
      <c r="H757" s="7"/>
    </row>
    <row r="758">
      <c r="A758" s="7"/>
      <c r="B758" s="7"/>
      <c r="C758" s="7"/>
      <c r="D758" s="7"/>
      <c r="E758" s="7"/>
      <c r="F758" s="7"/>
      <c r="G758" s="7"/>
      <c r="H758" s="7"/>
    </row>
    <row r="759">
      <c r="A759" s="7"/>
      <c r="B759" s="7"/>
      <c r="C759" s="7"/>
      <c r="D759" s="7"/>
      <c r="E759" s="7"/>
      <c r="F759" s="7"/>
      <c r="G759" s="7"/>
      <c r="H759" s="7"/>
    </row>
    <row r="760">
      <c r="A760" s="7"/>
      <c r="B760" s="7"/>
      <c r="C760" s="7"/>
      <c r="D760" s="7"/>
      <c r="E760" s="7"/>
      <c r="F760" s="7"/>
      <c r="G760" s="7"/>
      <c r="H760" s="7"/>
    </row>
    <row r="761">
      <c r="A761" s="7"/>
      <c r="B761" s="7"/>
      <c r="C761" s="7"/>
      <c r="D761" s="7"/>
      <c r="E761" s="7"/>
      <c r="F761" s="7"/>
      <c r="G761" s="7"/>
      <c r="H761" s="7"/>
    </row>
    <row r="762">
      <c r="A762" s="7"/>
      <c r="B762" s="7"/>
      <c r="C762" s="7"/>
      <c r="D762" s="7"/>
      <c r="E762" s="7"/>
      <c r="F762" s="7"/>
      <c r="G762" s="7"/>
      <c r="H762" s="7"/>
    </row>
    <row r="763">
      <c r="A763" s="7"/>
      <c r="B763" s="7"/>
      <c r="C763" s="7"/>
      <c r="D763" s="7"/>
      <c r="E763" s="7"/>
      <c r="F763" s="7"/>
      <c r="G763" s="7"/>
      <c r="H763" s="7"/>
    </row>
    <row r="764">
      <c r="A764" s="7"/>
      <c r="B764" s="7"/>
      <c r="C764" s="7"/>
      <c r="D764" s="7"/>
      <c r="E764" s="7"/>
      <c r="F764" s="7"/>
      <c r="G764" s="7"/>
      <c r="H764" s="7"/>
    </row>
    <row r="765">
      <c r="A765" s="7"/>
      <c r="B765" s="7"/>
      <c r="C765" s="7"/>
      <c r="D765" s="7"/>
      <c r="E765" s="7"/>
      <c r="F765" s="7"/>
      <c r="G765" s="7"/>
      <c r="H765" s="7"/>
    </row>
    <row r="766">
      <c r="A766" s="7"/>
      <c r="B766" s="7"/>
      <c r="C766" s="7"/>
      <c r="D766" s="7"/>
      <c r="E766" s="7"/>
      <c r="F766" s="7"/>
      <c r="G766" s="7"/>
      <c r="H766" s="7"/>
    </row>
    <row r="767">
      <c r="A767" s="7"/>
      <c r="B767" s="7"/>
      <c r="C767" s="7"/>
      <c r="D767" s="7"/>
      <c r="E767" s="7"/>
      <c r="F767" s="7"/>
      <c r="G767" s="7"/>
      <c r="H767" s="7"/>
    </row>
    <row r="768">
      <c r="A768" s="7"/>
      <c r="B768" s="7"/>
      <c r="C768" s="7"/>
      <c r="D768" s="7"/>
      <c r="E768" s="7"/>
      <c r="F768" s="7"/>
      <c r="G768" s="7"/>
      <c r="H768" s="7"/>
    </row>
    <row r="769">
      <c r="A769" s="7"/>
      <c r="B769" s="7"/>
      <c r="C769" s="7"/>
      <c r="D769" s="7"/>
      <c r="E769" s="7"/>
      <c r="F769" s="7"/>
      <c r="G769" s="7"/>
      <c r="H769" s="7"/>
    </row>
    <row r="770">
      <c r="A770" s="7"/>
      <c r="B770" s="7"/>
      <c r="C770" s="7"/>
      <c r="D770" s="7"/>
      <c r="E770" s="7"/>
      <c r="F770" s="7"/>
      <c r="G770" s="7"/>
      <c r="H770" s="7"/>
    </row>
    <row r="771">
      <c r="A771" s="7"/>
      <c r="B771" s="7"/>
      <c r="C771" s="7"/>
      <c r="D771" s="7"/>
      <c r="E771" s="7"/>
      <c r="F771" s="7"/>
      <c r="G771" s="7"/>
      <c r="H771" s="7"/>
    </row>
    <row r="772">
      <c r="A772" s="7"/>
      <c r="B772" s="7"/>
      <c r="C772" s="7"/>
      <c r="D772" s="7"/>
      <c r="E772" s="7"/>
      <c r="F772" s="7"/>
      <c r="G772" s="7"/>
      <c r="H772" s="7"/>
    </row>
    <row r="773">
      <c r="A773" s="7"/>
      <c r="B773" s="7"/>
      <c r="C773" s="7"/>
      <c r="D773" s="7"/>
      <c r="E773" s="7"/>
      <c r="F773" s="7"/>
      <c r="G773" s="7"/>
      <c r="H773" s="7"/>
    </row>
    <row r="774">
      <c r="A774" s="7"/>
      <c r="B774" s="7"/>
      <c r="C774" s="7"/>
      <c r="D774" s="7"/>
      <c r="E774" s="7"/>
      <c r="F774" s="7"/>
      <c r="G774" s="7"/>
      <c r="H774" s="7"/>
    </row>
    <row r="775">
      <c r="A775" s="7"/>
      <c r="B775" s="7"/>
      <c r="C775" s="7"/>
      <c r="D775" s="7"/>
      <c r="E775" s="7"/>
      <c r="F775" s="7"/>
      <c r="G775" s="7"/>
      <c r="H775" s="7"/>
    </row>
    <row r="776">
      <c r="A776" s="7"/>
      <c r="B776" s="7"/>
      <c r="C776" s="7"/>
      <c r="D776" s="7"/>
      <c r="E776" s="7"/>
      <c r="F776" s="7"/>
      <c r="G776" s="7"/>
      <c r="H776" s="7"/>
    </row>
    <row r="777">
      <c r="A777" s="7"/>
      <c r="B777" s="7"/>
      <c r="C777" s="7"/>
      <c r="D777" s="7"/>
      <c r="E777" s="7"/>
      <c r="F777" s="7"/>
      <c r="G777" s="7"/>
      <c r="H777" s="7"/>
    </row>
    <row r="778">
      <c r="A778" s="7"/>
      <c r="B778" s="7"/>
      <c r="C778" s="7"/>
      <c r="D778" s="7"/>
      <c r="E778" s="7"/>
      <c r="F778" s="7"/>
      <c r="G778" s="7"/>
      <c r="H778" s="7"/>
    </row>
    <row r="779">
      <c r="A779" s="7"/>
      <c r="B779" s="7"/>
      <c r="C779" s="7"/>
      <c r="D779" s="7"/>
      <c r="E779" s="7"/>
      <c r="F779" s="7"/>
      <c r="G779" s="7"/>
      <c r="H779" s="7"/>
    </row>
    <row r="780">
      <c r="A780" s="7"/>
      <c r="B780" s="7"/>
      <c r="C780" s="7"/>
      <c r="D780" s="7"/>
      <c r="E780" s="7"/>
      <c r="F780" s="7"/>
      <c r="G780" s="7"/>
      <c r="H780" s="7"/>
    </row>
    <row r="781">
      <c r="A781" s="7"/>
      <c r="B781" s="7"/>
      <c r="C781" s="7"/>
      <c r="D781" s="7"/>
      <c r="E781" s="7"/>
      <c r="F781" s="7"/>
      <c r="G781" s="7"/>
      <c r="H781" s="7"/>
    </row>
    <row r="782">
      <c r="A782" s="7"/>
      <c r="B782" s="7"/>
      <c r="C782" s="7"/>
      <c r="D782" s="7"/>
      <c r="E782" s="7"/>
      <c r="F782" s="7"/>
      <c r="G782" s="7"/>
      <c r="H782" s="7"/>
    </row>
    <row r="783">
      <c r="A783" s="7"/>
      <c r="B783" s="7"/>
      <c r="C783" s="7"/>
      <c r="D783" s="7"/>
      <c r="E783" s="7"/>
      <c r="F783" s="7"/>
      <c r="G783" s="7"/>
      <c r="H783" s="7"/>
    </row>
    <row r="784">
      <c r="A784" s="7"/>
      <c r="B784" s="7"/>
      <c r="C784" s="7"/>
      <c r="D784" s="7"/>
      <c r="E784" s="7"/>
      <c r="F784" s="7"/>
      <c r="G784" s="7"/>
      <c r="H784" s="7"/>
    </row>
    <row r="785">
      <c r="A785" s="7"/>
      <c r="B785" s="7"/>
      <c r="C785" s="7"/>
      <c r="D785" s="7"/>
      <c r="E785" s="7"/>
      <c r="F785" s="7"/>
      <c r="G785" s="7"/>
      <c r="H785" s="7"/>
    </row>
    <row r="786">
      <c r="A786" s="7"/>
      <c r="B786" s="7"/>
      <c r="C786" s="7"/>
      <c r="D786" s="7"/>
      <c r="E786" s="7"/>
      <c r="F786" s="7"/>
      <c r="G786" s="7"/>
      <c r="H786" s="7"/>
    </row>
    <row r="787">
      <c r="A787" s="7"/>
      <c r="B787" s="7"/>
      <c r="C787" s="7"/>
      <c r="D787" s="7"/>
      <c r="E787" s="7"/>
      <c r="F787" s="7"/>
      <c r="G787" s="7"/>
      <c r="H787" s="7"/>
    </row>
    <row r="788">
      <c r="A788" s="7"/>
      <c r="B788" s="7"/>
      <c r="C788" s="7"/>
      <c r="D788" s="7"/>
      <c r="E788" s="7"/>
      <c r="F788" s="7"/>
      <c r="G788" s="7"/>
      <c r="H788" s="7"/>
    </row>
    <row r="789">
      <c r="A789" s="7"/>
      <c r="B789" s="7"/>
      <c r="C789" s="7"/>
      <c r="D789" s="7"/>
      <c r="E789" s="7"/>
      <c r="F789" s="7"/>
      <c r="G789" s="7"/>
      <c r="H789" s="7"/>
    </row>
    <row r="790">
      <c r="A790" s="7"/>
      <c r="B790" s="7"/>
      <c r="C790" s="7"/>
      <c r="D790" s="7"/>
      <c r="E790" s="7"/>
      <c r="F790" s="7"/>
      <c r="G790" s="7"/>
      <c r="H790" s="7"/>
    </row>
    <row r="791">
      <c r="A791" s="7"/>
      <c r="B791" s="7"/>
      <c r="C791" s="7"/>
      <c r="D791" s="7"/>
      <c r="E791" s="7"/>
      <c r="F791" s="7"/>
      <c r="G791" s="7"/>
      <c r="H791" s="7"/>
    </row>
    <row r="792">
      <c r="A792" s="7"/>
      <c r="B792" s="7"/>
      <c r="C792" s="7"/>
      <c r="D792" s="7"/>
      <c r="E792" s="7"/>
      <c r="F792" s="7"/>
      <c r="G792" s="7"/>
      <c r="H792" s="7"/>
    </row>
    <row r="793">
      <c r="A793" s="7"/>
      <c r="B793" s="7"/>
      <c r="C793" s="7"/>
      <c r="D793" s="7"/>
      <c r="E793" s="7"/>
      <c r="F793" s="7"/>
      <c r="G793" s="7"/>
      <c r="H793" s="7"/>
    </row>
    <row r="794">
      <c r="A794" s="7"/>
      <c r="B794" s="7"/>
      <c r="C794" s="7"/>
      <c r="D794" s="7"/>
      <c r="E794" s="7"/>
      <c r="F794" s="7"/>
      <c r="G794" s="7"/>
      <c r="H794" s="7"/>
    </row>
    <row r="795">
      <c r="A795" s="7"/>
      <c r="B795" s="7"/>
      <c r="C795" s="7"/>
      <c r="D795" s="7"/>
      <c r="E795" s="7"/>
      <c r="F795" s="7"/>
      <c r="G795" s="7"/>
      <c r="H795" s="7"/>
    </row>
    <row r="796">
      <c r="A796" s="7"/>
      <c r="B796" s="7"/>
      <c r="C796" s="7"/>
      <c r="D796" s="7"/>
      <c r="E796" s="7"/>
      <c r="F796" s="7"/>
      <c r="G796" s="7"/>
      <c r="H796" s="7"/>
    </row>
    <row r="797">
      <c r="A797" s="7"/>
      <c r="B797" s="7"/>
      <c r="C797" s="7"/>
      <c r="D797" s="7"/>
      <c r="E797" s="7"/>
      <c r="F797" s="7"/>
      <c r="G797" s="7"/>
      <c r="H797" s="7"/>
    </row>
    <row r="798">
      <c r="A798" s="7"/>
      <c r="B798" s="7"/>
      <c r="C798" s="7"/>
      <c r="D798" s="7"/>
      <c r="E798" s="7"/>
      <c r="F798" s="7"/>
      <c r="G798" s="7"/>
      <c r="H798" s="7"/>
    </row>
    <row r="799">
      <c r="A799" s="7"/>
      <c r="B799" s="7"/>
      <c r="C799" s="7"/>
      <c r="D799" s="7"/>
      <c r="E799" s="7"/>
      <c r="F799" s="7"/>
      <c r="G799" s="7"/>
      <c r="H799" s="7"/>
    </row>
    <row r="800">
      <c r="A800" s="7"/>
      <c r="B800" s="7"/>
      <c r="C800" s="7"/>
      <c r="D800" s="7"/>
      <c r="E800" s="7"/>
      <c r="F800" s="7"/>
      <c r="G800" s="7"/>
      <c r="H800" s="7"/>
    </row>
    <row r="801">
      <c r="A801" s="7"/>
      <c r="B801" s="7"/>
      <c r="C801" s="7"/>
      <c r="D801" s="7"/>
      <c r="E801" s="7"/>
      <c r="F801" s="7"/>
      <c r="G801" s="7"/>
      <c r="H801" s="7"/>
    </row>
    <row r="802">
      <c r="A802" s="7"/>
      <c r="B802" s="7"/>
      <c r="C802" s="7"/>
      <c r="D802" s="7"/>
      <c r="E802" s="7"/>
      <c r="F802" s="7"/>
      <c r="G802" s="7"/>
      <c r="H802" s="7"/>
    </row>
    <row r="803">
      <c r="A803" s="7"/>
      <c r="B803" s="7"/>
      <c r="C803" s="7"/>
      <c r="D803" s="7"/>
      <c r="E803" s="7"/>
      <c r="F803" s="7"/>
      <c r="G803" s="7"/>
      <c r="H803" s="7"/>
    </row>
    <row r="804">
      <c r="A804" s="7"/>
      <c r="B804" s="7"/>
      <c r="C804" s="7"/>
      <c r="D804" s="7"/>
      <c r="E804" s="7"/>
      <c r="F804" s="7"/>
      <c r="G804" s="7"/>
      <c r="H804" s="7"/>
    </row>
    <row r="805">
      <c r="A805" s="7"/>
      <c r="B805" s="7"/>
      <c r="C805" s="7"/>
      <c r="D805" s="7"/>
      <c r="E805" s="7"/>
      <c r="F805" s="7"/>
      <c r="G805" s="7"/>
      <c r="H805" s="7"/>
    </row>
    <row r="806">
      <c r="A806" s="7"/>
      <c r="B806" s="7"/>
      <c r="C806" s="7"/>
      <c r="D806" s="7"/>
      <c r="E806" s="7"/>
      <c r="F806" s="7"/>
      <c r="G806" s="7"/>
      <c r="H806" s="7"/>
    </row>
    <row r="807">
      <c r="A807" s="7"/>
      <c r="B807" s="7"/>
      <c r="C807" s="7"/>
      <c r="D807" s="7"/>
      <c r="E807" s="7"/>
      <c r="F807" s="7"/>
      <c r="G807" s="7"/>
      <c r="H807" s="7"/>
    </row>
    <row r="808">
      <c r="A808" s="7"/>
      <c r="B808" s="7"/>
      <c r="C808" s="7"/>
      <c r="D808" s="7"/>
      <c r="E808" s="7"/>
      <c r="F808" s="7"/>
      <c r="G808" s="7"/>
      <c r="H808" s="7"/>
    </row>
    <row r="809">
      <c r="A809" s="7"/>
      <c r="B809" s="7"/>
      <c r="C809" s="7"/>
      <c r="D809" s="7"/>
      <c r="E809" s="7"/>
      <c r="F809" s="7"/>
      <c r="G809" s="7"/>
      <c r="H809" s="7"/>
    </row>
    <row r="810">
      <c r="A810" s="7"/>
      <c r="B810" s="7"/>
      <c r="C810" s="7"/>
      <c r="D810" s="7"/>
      <c r="E810" s="7"/>
      <c r="F810" s="7"/>
      <c r="G810" s="7"/>
      <c r="H810" s="7"/>
    </row>
    <row r="811">
      <c r="A811" s="7"/>
      <c r="B811" s="7"/>
      <c r="C811" s="7"/>
      <c r="D811" s="7"/>
      <c r="E811" s="7"/>
      <c r="F811" s="7"/>
      <c r="G811" s="7"/>
      <c r="H811" s="7"/>
    </row>
    <row r="812">
      <c r="A812" s="7"/>
      <c r="B812" s="7"/>
      <c r="C812" s="7"/>
      <c r="D812" s="7"/>
      <c r="E812" s="7"/>
      <c r="F812" s="7"/>
      <c r="G812" s="7"/>
      <c r="H812" s="7"/>
    </row>
    <row r="813">
      <c r="A813" s="7"/>
      <c r="B813" s="7"/>
      <c r="C813" s="7"/>
      <c r="D813" s="7"/>
      <c r="E813" s="7"/>
      <c r="F813" s="7"/>
      <c r="G813" s="7"/>
      <c r="H813" s="7"/>
    </row>
    <row r="814">
      <c r="A814" s="7"/>
      <c r="B814" s="7"/>
      <c r="C814" s="7"/>
      <c r="D814" s="7"/>
      <c r="E814" s="7"/>
      <c r="F814" s="7"/>
      <c r="G814" s="7"/>
      <c r="H814" s="7"/>
    </row>
    <row r="815">
      <c r="A815" s="7"/>
      <c r="B815" s="7"/>
      <c r="C815" s="7"/>
      <c r="D815" s="7"/>
      <c r="E815" s="7"/>
      <c r="F815" s="7"/>
      <c r="G815" s="7"/>
      <c r="H815" s="7"/>
    </row>
    <row r="816">
      <c r="A816" s="7"/>
      <c r="B816" s="7"/>
      <c r="C816" s="7"/>
      <c r="D816" s="7"/>
      <c r="E816" s="7"/>
      <c r="F816" s="7"/>
      <c r="G816" s="7"/>
      <c r="H816" s="7"/>
    </row>
    <row r="817">
      <c r="A817" s="7"/>
      <c r="B817" s="7"/>
      <c r="C817" s="7"/>
      <c r="D817" s="7"/>
      <c r="E817" s="7"/>
      <c r="F817" s="7"/>
      <c r="G817" s="7"/>
      <c r="H817" s="7"/>
    </row>
    <row r="818">
      <c r="A818" s="7"/>
      <c r="B818" s="7"/>
      <c r="C818" s="7"/>
      <c r="D818" s="7"/>
      <c r="E818" s="7"/>
      <c r="F818" s="7"/>
      <c r="G818" s="7"/>
      <c r="H818" s="7"/>
    </row>
    <row r="819">
      <c r="A819" s="7"/>
      <c r="B819" s="7"/>
      <c r="C819" s="7"/>
      <c r="D819" s="7"/>
      <c r="E819" s="7"/>
      <c r="F819" s="7"/>
      <c r="G819" s="7"/>
      <c r="H819" s="7"/>
    </row>
    <row r="820">
      <c r="A820" s="7"/>
      <c r="B820" s="7"/>
      <c r="C820" s="7"/>
      <c r="D820" s="7"/>
      <c r="E820" s="7"/>
      <c r="F820" s="7"/>
      <c r="G820" s="7"/>
      <c r="H820" s="7"/>
    </row>
    <row r="821">
      <c r="A821" s="7"/>
      <c r="B821" s="7"/>
      <c r="C821" s="7"/>
      <c r="D821" s="7"/>
      <c r="E821" s="7"/>
      <c r="F821" s="7"/>
      <c r="G821" s="7"/>
      <c r="H821" s="7"/>
    </row>
    <row r="822">
      <c r="A822" s="7"/>
      <c r="B822" s="7"/>
      <c r="C822" s="7"/>
      <c r="D822" s="7"/>
      <c r="E822" s="7"/>
      <c r="F822" s="7"/>
      <c r="G822" s="7"/>
      <c r="H822" s="7"/>
    </row>
    <row r="823">
      <c r="A823" s="7"/>
      <c r="B823" s="7"/>
      <c r="C823" s="7"/>
      <c r="D823" s="7"/>
      <c r="E823" s="7"/>
      <c r="F823" s="7"/>
      <c r="G823" s="7"/>
      <c r="H823" s="7"/>
    </row>
    <row r="824">
      <c r="A824" s="7"/>
      <c r="B824" s="7"/>
      <c r="C824" s="7"/>
      <c r="D824" s="7"/>
      <c r="E824" s="7"/>
      <c r="F824" s="7"/>
      <c r="G824" s="7"/>
      <c r="H824" s="7"/>
    </row>
    <row r="825">
      <c r="A825" s="7"/>
      <c r="B825" s="7"/>
      <c r="C825" s="7"/>
      <c r="D825" s="7"/>
      <c r="E825" s="7"/>
      <c r="F825" s="7"/>
      <c r="G825" s="7"/>
      <c r="H825" s="7"/>
    </row>
    <row r="826">
      <c r="A826" s="7"/>
      <c r="B826" s="7"/>
      <c r="C826" s="7"/>
      <c r="D826" s="7"/>
      <c r="E826" s="7"/>
      <c r="F826" s="7"/>
      <c r="G826" s="7"/>
      <c r="H826" s="7"/>
    </row>
    <row r="827">
      <c r="A827" s="7"/>
      <c r="B827" s="7"/>
      <c r="C827" s="7"/>
      <c r="D827" s="7"/>
      <c r="E827" s="7"/>
      <c r="F827" s="7"/>
      <c r="G827" s="7"/>
      <c r="H827" s="7"/>
    </row>
    <row r="828">
      <c r="A828" s="7"/>
      <c r="B828" s="7"/>
      <c r="C828" s="7"/>
      <c r="D828" s="7"/>
      <c r="E828" s="7"/>
      <c r="F828" s="7"/>
      <c r="G828" s="7"/>
      <c r="H828" s="7"/>
    </row>
    <row r="829">
      <c r="A829" s="7"/>
      <c r="B829" s="7"/>
      <c r="C829" s="7"/>
      <c r="D829" s="7"/>
      <c r="E829" s="7"/>
      <c r="F829" s="7"/>
      <c r="G829" s="7"/>
      <c r="H829" s="7"/>
    </row>
    <row r="830">
      <c r="A830" s="7"/>
      <c r="B830" s="7"/>
      <c r="C830" s="7"/>
      <c r="D830" s="7"/>
      <c r="E830" s="7"/>
      <c r="F830" s="7"/>
      <c r="G830" s="7"/>
      <c r="H830" s="7"/>
    </row>
    <row r="831">
      <c r="A831" s="7"/>
      <c r="B831" s="7"/>
      <c r="C831" s="7"/>
      <c r="D831" s="7"/>
      <c r="E831" s="7"/>
      <c r="F831" s="7"/>
      <c r="G831" s="7"/>
      <c r="H831" s="7"/>
    </row>
    <row r="832">
      <c r="A832" s="7"/>
      <c r="B832" s="7"/>
      <c r="C832" s="7"/>
      <c r="D832" s="7"/>
      <c r="E832" s="7"/>
      <c r="F832" s="7"/>
      <c r="G832" s="7"/>
      <c r="H832" s="7"/>
    </row>
    <row r="833">
      <c r="A833" s="7"/>
      <c r="B833" s="7"/>
      <c r="C833" s="7"/>
      <c r="D833" s="7"/>
      <c r="E833" s="7"/>
      <c r="F833" s="7"/>
      <c r="G833" s="7"/>
      <c r="H833" s="7"/>
    </row>
    <row r="834">
      <c r="A834" s="7"/>
      <c r="B834" s="7"/>
      <c r="C834" s="7"/>
      <c r="D834" s="7"/>
      <c r="E834" s="7"/>
      <c r="F834" s="7"/>
      <c r="G834" s="7"/>
      <c r="H834" s="7"/>
    </row>
    <row r="835">
      <c r="A835" s="7"/>
      <c r="B835" s="7"/>
      <c r="C835" s="7"/>
      <c r="D835" s="7"/>
      <c r="E835" s="7"/>
      <c r="F835" s="7"/>
      <c r="G835" s="7"/>
      <c r="H835" s="7"/>
    </row>
    <row r="836">
      <c r="A836" s="7"/>
      <c r="B836" s="7"/>
      <c r="C836" s="7"/>
      <c r="D836" s="7"/>
      <c r="E836" s="7"/>
      <c r="F836" s="7"/>
      <c r="G836" s="7"/>
      <c r="H836" s="7"/>
    </row>
    <row r="837">
      <c r="A837" s="7"/>
      <c r="B837" s="7"/>
      <c r="C837" s="7"/>
      <c r="D837" s="7"/>
      <c r="E837" s="7"/>
      <c r="F837" s="7"/>
      <c r="G837" s="7"/>
      <c r="H837" s="7"/>
    </row>
    <row r="838">
      <c r="A838" s="7"/>
      <c r="B838" s="7"/>
      <c r="C838" s="7"/>
      <c r="D838" s="7"/>
      <c r="E838" s="7"/>
      <c r="F838" s="7"/>
      <c r="G838" s="7"/>
      <c r="H838" s="7"/>
    </row>
    <row r="839">
      <c r="A839" s="7"/>
      <c r="B839" s="7"/>
      <c r="C839" s="7"/>
      <c r="D839" s="7"/>
      <c r="E839" s="7"/>
      <c r="F839" s="7"/>
      <c r="G839" s="7"/>
      <c r="H839" s="7"/>
    </row>
    <row r="840">
      <c r="A840" s="7"/>
      <c r="B840" s="7"/>
      <c r="C840" s="7"/>
      <c r="D840" s="7"/>
      <c r="E840" s="7"/>
      <c r="F840" s="7"/>
      <c r="G840" s="7"/>
      <c r="H840" s="7"/>
    </row>
    <row r="841">
      <c r="A841" s="7"/>
      <c r="B841" s="7"/>
      <c r="C841" s="7"/>
      <c r="D841" s="7"/>
      <c r="E841" s="7"/>
      <c r="F841" s="7"/>
      <c r="G841" s="7"/>
      <c r="H841" s="7"/>
    </row>
    <row r="842">
      <c r="A842" s="7"/>
      <c r="B842" s="7"/>
      <c r="C842" s="7"/>
      <c r="D842" s="7"/>
      <c r="E842" s="7"/>
      <c r="F842" s="7"/>
      <c r="G842" s="7"/>
      <c r="H842" s="7"/>
    </row>
    <row r="843">
      <c r="A843" s="7"/>
      <c r="B843" s="7"/>
      <c r="C843" s="7"/>
      <c r="D843" s="7"/>
      <c r="E843" s="7"/>
      <c r="F843" s="7"/>
      <c r="G843" s="7"/>
      <c r="H843" s="7"/>
    </row>
    <row r="844">
      <c r="A844" s="7"/>
      <c r="B844" s="7"/>
      <c r="C844" s="7"/>
      <c r="D844" s="7"/>
      <c r="E844" s="7"/>
      <c r="F844" s="7"/>
      <c r="G844" s="7"/>
      <c r="H844" s="7"/>
    </row>
    <row r="845">
      <c r="A845" s="7"/>
      <c r="B845" s="7"/>
      <c r="C845" s="7"/>
      <c r="D845" s="7"/>
      <c r="E845" s="7"/>
      <c r="F845" s="7"/>
      <c r="G845" s="7"/>
      <c r="H845" s="7"/>
    </row>
    <row r="846">
      <c r="A846" s="7"/>
      <c r="B846" s="7"/>
      <c r="C846" s="7"/>
      <c r="D846" s="7"/>
      <c r="E846" s="7"/>
      <c r="F846" s="7"/>
      <c r="G846" s="7"/>
      <c r="H846" s="7"/>
    </row>
    <row r="847">
      <c r="A847" s="7"/>
      <c r="B847" s="7"/>
      <c r="C847" s="7"/>
      <c r="D847" s="7"/>
      <c r="E847" s="7"/>
      <c r="F847" s="7"/>
      <c r="G847" s="7"/>
      <c r="H847" s="7"/>
    </row>
    <row r="848">
      <c r="A848" s="7"/>
      <c r="B848" s="7"/>
      <c r="C848" s="7"/>
      <c r="D848" s="7"/>
      <c r="E848" s="7"/>
      <c r="F848" s="7"/>
      <c r="G848" s="7"/>
      <c r="H848" s="7"/>
    </row>
    <row r="849">
      <c r="A849" s="7"/>
      <c r="B849" s="7"/>
      <c r="C849" s="7"/>
      <c r="D849" s="7"/>
      <c r="E849" s="7"/>
      <c r="F849" s="7"/>
      <c r="G849" s="7"/>
      <c r="H849" s="7"/>
    </row>
    <row r="850">
      <c r="A850" s="7"/>
      <c r="B850" s="7"/>
      <c r="C850" s="7"/>
      <c r="D850" s="7"/>
      <c r="E850" s="7"/>
      <c r="F850" s="7"/>
      <c r="G850" s="7"/>
      <c r="H850" s="7"/>
    </row>
    <row r="851">
      <c r="A851" s="7"/>
      <c r="B851" s="7"/>
      <c r="C851" s="7"/>
      <c r="D851" s="7"/>
      <c r="E851" s="7"/>
      <c r="F851" s="7"/>
      <c r="G851" s="7"/>
      <c r="H851" s="7"/>
    </row>
    <row r="852">
      <c r="A852" s="7"/>
      <c r="B852" s="7"/>
      <c r="C852" s="7"/>
      <c r="D852" s="7"/>
      <c r="E852" s="7"/>
      <c r="F852" s="7"/>
      <c r="G852" s="7"/>
      <c r="H852" s="7"/>
    </row>
    <row r="853">
      <c r="A853" s="7"/>
      <c r="B853" s="7"/>
      <c r="C853" s="7"/>
      <c r="D853" s="7"/>
      <c r="E853" s="7"/>
      <c r="F853" s="7"/>
      <c r="G853" s="7"/>
      <c r="H853" s="7"/>
    </row>
    <row r="854">
      <c r="A854" s="7"/>
      <c r="B854" s="7"/>
      <c r="C854" s="7"/>
      <c r="D854" s="7"/>
      <c r="E854" s="7"/>
      <c r="F854" s="7"/>
      <c r="G854" s="7"/>
      <c r="H854" s="7"/>
    </row>
    <row r="855">
      <c r="A855" s="7"/>
      <c r="B855" s="7"/>
      <c r="C855" s="7"/>
      <c r="D855" s="7"/>
      <c r="E855" s="7"/>
      <c r="F855" s="7"/>
      <c r="G855" s="7"/>
      <c r="H855" s="7"/>
    </row>
    <row r="856">
      <c r="A856" s="7"/>
      <c r="B856" s="7"/>
      <c r="C856" s="7"/>
      <c r="D856" s="7"/>
      <c r="E856" s="7"/>
      <c r="F856" s="7"/>
      <c r="G856" s="7"/>
      <c r="H856" s="7"/>
    </row>
    <row r="857">
      <c r="A857" s="7"/>
      <c r="B857" s="7"/>
      <c r="C857" s="7"/>
      <c r="D857" s="7"/>
      <c r="E857" s="7"/>
      <c r="F857" s="7"/>
      <c r="G857" s="7"/>
      <c r="H857" s="7"/>
    </row>
    <row r="858">
      <c r="A858" s="7"/>
      <c r="B858" s="7"/>
      <c r="C858" s="7"/>
      <c r="D858" s="7"/>
      <c r="E858" s="7"/>
      <c r="F858" s="7"/>
      <c r="G858" s="7"/>
      <c r="H858" s="7"/>
    </row>
    <row r="859">
      <c r="A859" s="7"/>
      <c r="B859" s="7"/>
      <c r="C859" s="7"/>
      <c r="D859" s="7"/>
      <c r="E859" s="7"/>
      <c r="F859" s="7"/>
      <c r="G859" s="7"/>
      <c r="H859" s="7"/>
    </row>
    <row r="860">
      <c r="A860" s="7"/>
      <c r="B860" s="7"/>
      <c r="C860" s="7"/>
      <c r="D860" s="7"/>
      <c r="E860" s="7"/>
      <c r="F860" s="7"/>
      <c r="G860" s="7"/>
      <c r="H860" s="7"/>
    </row>
    <row r="861">
      <c r="A861" s="7"/>
      <c r="B861" s="7"/>
      <c r="C861" s="7"/>
      <c r="D861" s="7"/>
      <c r="E861" s="7"/>
      <c r="F861" s="7"/>
      <c r="G861" s="7"/>
      <c r="H861" s="7"/>
    </row>
    <row r="862">
      <c r="A862" s="7"/>
      <c r="B862" s="7"/>
      <c r="C862" s="7"/>
      <c r="D862" s="7"/>
      <c r="E862" s="7"/>
      <c r="F862" s="7"/>
      <c r="G862" s="7"/>
      <c r="H862" s="7"/>
    </row>
    <row r="863">
      <c r="A863" s="7"/>
      <c r="B863" s="7"/>
      <c r="C863" s="7"/>
      <c r="D863" s="7"/>
      <c r="E863" s="7"/>
      <c r="F863" s="7"/>
      <c r="G863" s="7"/>
      <c r="H863" s="7"/>
    </row>
    <row r="864">
      <c r="A864" s="7"/>
      <c r="B864" s="7"/>
      <c r="C864" s="7"/>
      <c r="D864" s="7"/>
      <c r="E864" s="7"/>
      <c r="F864" s="7"/>
      <c r="G864" s="7"/>
      <c r="H864" s="7"/>
    </row>
    <row r="865">
      <c r="A865" s="7"/>
      <c r="B865" s="7"/>
      <c r="C865" s="7"/>
      <c r="D865" s="7"/>
      <c r="E865" s="7"/>
      <c r="F865" s="7"/>
      <c r="G865" s="7"/>
      <c r="H865" s="7"/>
    </row>
    <row r="866">
      <c r="A866" s="7"/>
      <c r="B866" s="7"/>
      <c r="C866" s="7"/>
      <c r="D866" s="7"/>
      <c r="E866" s="7"/>
      <c r="F866" s="7"/>
      <c r="G866" s="7"/>
      <c r="H866" s="7"/>
    </row>
    <row r="867">
      <c r="A867" s="7"/>
      <c r="B867" s="7"/>
      <c r="C867" s="7"/>
      <c r="D867" s="7"/>
      <c r="E867" s="7"/>
      <c r="F867" s="7"/>
      <c r="G867" s="7"/>
      <c r="H867" s="7"/>
    </row>
    <row r="868">
      <c r="A868" s="7"/>
      <c r="B868" s="7"/>
      <c r="C868" s="7"/>
      <c r="D868" s="7"/>
      <c r="E868" s="7"/>
      <c r="F868" s="7"/>
      <c r="G868" s="7"/>
      <c r="H868" s="7"/>
    </row>
    <row r="869">
      <c r="A869" s="7"/>
      <c r="B869" s="7"/>
      <c r="C869" s="7"/>
      <c r="D869" s="7"/>
      <c r="E869" s="7"/>
      <c r="F869" s="7"/>
      <c r="G869" s="7"/>
      <c r="H869" s="7"/>
    </row>
    <row r="870">
      <c r="A870" s="7"/>
      <c r="B870" s="7"/>
      <c r="C870" s="7"/>
      <c r="D870" s="7"/>
      <c r="E870" s="7"/>
      <c r="F870" s="7"/>
      <c r="G870" s="7"/>
      <c r="H870" s="7"/>
    </row>
    <row r="871">
      <c r="A871" s="7"/>
      <c r="B871" s="7"/>
      <c r="C871" s="7"/>
      <c r="D871" s="7"/>
      <c r="E871" s="7"/>
      <c r="F871" s="7"/>
      <c r="G871" s="7"/>
      <c r="H871" s="7"/>
    </row>
    <row r="872">
      <c r="A872" s="7"/>
      <c r="B872" s="7"/>
      <c r="C872" s="7"/>
      <c r="D872" s="7"/>
      <c r="E872" s="7"/>
      <c r="F872" s="7"/>
      <c r="G872" s="7"/>
      <c r="H872" s="7"/>
    </row>
    <row r="873">
      <c r="A873" s="7"/>
      <c r="B873" s="7"/>
      <c r="C873" s="7"/>
      <c r="D873" s="7"/>
      <c r="E873" s="7"/>
      <c r="F873" s="7"/>
      <c r="G873" s="7"/>
      <c r="H873" s="7"/>
    </row>
    <row r="874">
      <c r="A874" s="7"/>
      <c r="B874" s="7"/>
      <c r="C874" s="7"/>
      <c r="D874" s="7"/>
      <c r="E874" s="7"/>
      <c r="F874" s="7"/>
      <c r="G874" s="7"/>
      <c r="H874" s="7"/>
    </row>
    <row r="875">
      <c r="A875" s="7"/>
      <c r="B875" s="7"/>
      <c r="C875" s="7"/>
      <c r="D875" s="7"/>
      <c r="E875" s="7"/>
      <c r="F875" s="7"/>
      <c r="G875" s="7"/>
      <c r="H875" s="7"/>
    </row>
    <row r="876">
      <c r="A876" s="7"/>
      <c r="B876" s="7"/>
      <c r="C876" s="7"/>
      <c r="D876" s="7"/>
      <c r="E876" s="7"/>
      <c r="F876" s="7"/>
      <c r="G876" s="7"/>
      <c r="H876" s="7"/>
    </row>
    <row r="877">
      <c r="A877" s="7"/>
      <c r="B877" s="7"/>
      <c r="C877" s="7"/>
      <c r="D877" s="7"/>
      <c r="E877" s="7"/>
      <c r="F877" s="7"/>
      <c r="G877" s="7"/>
      <c r="H877" s="7"/>
    </row>
    <row r="878">
      <c r="A878" s="7"/>
      <c r="B878" s="7"/>
      <c r="C878" s="7"/>
      <c r="D878" s="7"/>
      <c r="E878" s="7"/>
      <c r="F878" s="7"/>
      <c r="G878" s="7"/>
      <c r="H878" s="7"/>
    </row>
    <row r="879">
      <c r="A879" s="7"/>
      <c r="B879" s="7"/>
      <c r="C879" s="7"/>
      <c r="D879" s="7"/>
      <c r="E879" s="7"/>
      <c r="F879" s="7"/>
      <c r="G879" s="7"/>
      <c r="H879" s="7"/>
    </row>
    <row r="880">
      <c r="A880" s="7"/>
      <c r="B880" s="7"/>
      <c r="C880" s="7"/>
      <c r="D880" s="7"/>
      <c r="E880" s="7"/>
      <c r="F880" s="7"/>
      <c r="G880" s="7"/>
      <c r="H880" s="7"/>
    </row>
    <row r="881">
      <c r="A881" s="7"/>
      <c r="B881" s="7"/>
      <c r="C881" s="7"/>
      <c r="D881" s="7"/>
      <c r="E881" s="7"/>
      <c r="F881" s="7"/>
      <c r="G881" s="7"/>
      <c r="H881" s="7"/>
    </row>
    <row r="882">
      <c r="A882" s="7"/>
      <c r="B882" s="7"/>
      <c r="C882" s="7"/>
      <c r="D882" s="7"/>
      <c r="E882" s="7"/>
      <c r="F882" s="7"/>
      <c r="G882" s="7"/>
      <c r="H882" s="7"/>
    </row>
    <row r="883">
      <c r="A883" s="7"/>
      <c r="B883" s="7"/>
      <c r="C883" s="7"/>
      <c r="D883" s="7"/>
      <c r="E883" s="7"/>
      <c r="F883" s="7"/>
      <c r="G883" s="7"/>
      <c r="H883" s="7"/>
    </row>
    <row r="884">
      <c r="A884" s="7"/>
      <c r="B884" s="7"/>
      <c r="C884" s="7"/>
      <c r="D884" s="7"/>
      <c r="E884" s="7"/>
      <c r="F884" s="7"/>
      <c r="G884" s="7"/>
      <c r="H884" s="7"/>
    </row>
    <row r="885">
      <c r="A885" s="7"/>
      <c r="B885" s="7"/>
      <c r="C885" s="7"/>
      <c r="D885" s="7"/>
      <c r="E885" s="7"/>
      <c r="F885" s="7"/>
      <c r="G885" s="7"/>
      <c r="H885" s="7"/>
    </row>
    <row r="886">
      <c r="A886" s="7"/>
      <c r="B886" s="7"/>
      <c r="C886" s="7"/>
      <c r="D886" s="7"/>
      <c r="E886" s="7"/>
      <c r="F886" s="7"/>
      <c r="G886" s="7"/>
      <c r="H886" s="7"/>
    </row>
    <row r="887">
      <c r="A887" s="7"/>
      <c r="B887" s="7"/>
      <c r="C887" s="7"/>
      <c r="D887" s="7"/>
      <c r="E887" s="7"/>
      <c r="F887" s="7"/>
      <c r="G887" s="7"/>
      <c r="H887" s="7"/>
    </row>
    <row r="888">
      <c r="A888" s="7"/>
      <c r="B888" s="7"/>
      <c r="C888" s="7"/>
      <c r="D888" s="7"/>
      <c r="E888" s="7"/>
      <c r="F888" s="7"/>
      <c r="G888" s="7"/>
      <c r="H888" s="7"/>
    </row>
    <row r="889">
      <c r="A889" s="7"/>
      <c r="B889" s="7"/>
      <c r="C889" s="7"/>
      <c r="D889" s="7"/>
      <c r="E889" s="7"/>
      <c r="F889" s="7"/>
      <c r="G889" s="7"/>
      <c r="H889" s="7"/>
    </row>
    <row r="890">
      <c r="A890" s="7"/>
      <c r="B890" s="7"/>
      <c r="C890" s="7"/>
      <c r="D890" s="7"/>
      <c r="E890" s="7"/>
      <c r="F890" s="7"/>
      <c r="G890" s="7"/>
      <c r="H890" s="7"/>
    </row>
    <row r="891">
      <c r="A891" s="7"/>
      <c r="B891" s="7"/>
      <c r="C891" s="7"/>
      <c r="D891" s="7"/>
      <c r="E891" s="7"/>
      <c r="F891" s="7"/>
      <c r="G891" s="7"/>
      <c r="H891" s="7"/>
    </row>
    <row r="892">
      <c r="A892" s="7"/>
      <c r="B892" s="7"/>
      <c r="C892" s="7"/>
      <c r="D892" s="7"/>
      <c r="E892" s="7"/>
      <c r="F892" s="7"/>
      <c r="G892" s="7"/>
      <c r="H892" s="7"/>
    </row>
    <row r="893">
      <c r="A893" s="7"/>
      <c r="B893" s="7"/>
      <c r="C893" s="7"/>
      <c r="D893" s="7"/>
      <c r="E893" s="7"/>
      <c r="F893" s="7"/>
      <c r="G893" s="7"/>
      <c r="H893" s="7"/>
    </row>
    <row r="894">
      <c r="A894" s="7"/>
      <c r="B894" s="7"/>
      <c r="C894" s="7"/>
      <c r="D894" s="7"/>
      <c r="E894" s="7"/>
      <c r="F894" s="7"/>
      <c r="G894" s="7"/>
      <c r="H894" s="7"/>
    </row>
    <row r="895">
      <c r="A895" s="7"/>
      <c r="B895" s="7"/>
      <c r="C895" s="7"/>
      <c r="D895" s="7"/>
      <c r="E895" s="7"/>
      <c r="F895" s="7"/>
      <c r="G895" s="7"/>
      <c r="H895" s="7"/>
    </row>
    <row r="896">
      <c r="A896" s="7"/>
      <c r="B896" s="7"/>
      <c r="C896" s="7"/>
      <c r="D896" s="7"/>
      <c r="E896" s="7"/>
      <c r="F896" s="7"/>
      <c r="G896" s="7"/>
      <c r="H896" s="7"/>
    </row>
    <row r="897">
      <c r="A897" s="7"/>
      <c r="B897" s="7"/>
      <c r="C897" s="7"/>
      <c r="D897" s="7"/>
      <c r="E897" s="7"/>
      <c r="F897" s="7"/>
      <c r="G897" s="7"/>
      <c r="H897" s="7"/>
    </row>
    <row r="898">
      <c r="A898" s="7"/>
      <c r="B898" s="7"/>
      <c r="C898" s="7"/>
      <c r="D898" s="7"/>
      <c r="E898" s="7"/>
      <c r="F898" s="7"/>
      <c r="G898" s="7"/>
      <c r="H898" s="7"/>
    </row>
    <row r="899">
      <c r="A899" s="7"/>
      <c r="B899" s="7"/>
      <c r="C899" s="7"/>
      <c r="D899" s="7"/>
      <c r="E899" s="7"/>
      <c r="F899" s="7"/>
      <c r="G899" s="7"/>
      <c r="H899" s="7"/>
    </row>
    <row r="900">
      <c r="A900" s="7"/>
      <c r="B900" s="7"/>
      <c r="C900" s="7"/>
      <c r="D900" s="7"/>
      <c r="E900" s="7"/>
      <c r="F900" s="7"/>
      <c r="G900" s="7"/>
      <c r="H900" s="7"/>
    </row>
    <row r="901">
      <c r="A901" s="7"/>
      <c r="B901" s="7"/>
      <c r="C901" s="7"/>
      <c r="D901" s="7"/>
      <c r="E901" s="7"/>
      <c r="F901" s="7"/>
      <c r="G901" s="7"/>
      <c r="H901" s="7"/>
    </row>
    <row r="902">
      <c r="A902" s="7"/>
      <c r="B902" s="7"/>
      <c r="C902" s="7"/>
      <c r="D902" s="7"/>
      <c r="E902" s="7"/>
      <c r="F902" s="7"/>
      <c r="G902" s="7"/>
      <c r="H902" s="7"/>
    </row>
    <row r="903">
      <c r="A903" s="7"/>
      <c r="B903" s="7"/>
      <c r="C903" s="7"/>
      <c r="D903" s="7"/>
      <c r="E903" s="7"/>
      <c r="F903" s="7"/>
      <c r="G903" s="7"/>
      <c r="H903" s="7"/>
    </row>
    <row r="904">
      <c r="A904" s="7"/>
      <c r="B904" s="7"/>
      <c r="C904" s="7"/>
      <c r="D904" s="7"/>
      <c r="E904" s="7"/>
      <c r="F904" s="7"/>
      <c r="G904" s="7"/>
      <c r="H904" s="7"/>
    </row>
    <row r="905">
      <c r="A905" s="7"/>
      <c r="B905" s="7"/>
      <c r="C905" s="7"/>
      <c r="D905" s="7"/>
      <c r="E905" s="7"/>
      <c r="F905" s="7"/>
      <c r="G905" s="7"/>
      <c r="H905" s="7"/>
    </row>
    <row r="906">
      <c r="A906" s="7"/>
      <c r="B906" s="7"/>
      <c r="C906" s="7"/>
      <c r="D906" s="7"/>
      <c r="E906" s="7"/>
      <c r="F906" s="7"/>
      <c r="G906" s="7"/>
      <c r="H906" s="7"/>
    </row>
    <row r="907">
      <c r="A907" s="7"/>
      <c r="B907" s="7"/>
      <c r="C907" s="7"/>
      <c r="D907" s="7"/>
      <c r="E907" s="7"/>
      <c r="F907" s="7"/>
      <c r="G907" s="7"/>
      <c r="H907" s="7"/>
    </row>
    <row r="908">
      <c r="A908" s="7"/>
      <c r="B908" s="7"/>
      <c r="C908" s="7"/>
      <c r="D908" s="7"/>
      <c r="E908" s="7"/>
      <c r="F908" s="7"/>
      <c r="G908" s="7"/>
      <c r="H908" s="7"/>
    </row>
    <row r="909">
      <c r="A909" s="7"/>
      <c r="B909" s="7"/>
      <c r="C909" s="7"/>
      <c r="D909" s="7"/>
      <c r="E909" s="7"/>
      <c r="F909" s="7"/>
      <c r="G909" s="7"/>
      <c r="H909" s="7"/>
    </row>
    <row r="910">
      <c r="A910" s="7"/>
      <c r="B910" s="7"/>
      <c r="C910" s="7"/>
      <c r="D910" s="7"/>
      <c r="E910" s="7"/>
      <c r="F910" s="7"/>
      <c r="G910" s="7"/>
      <c r="H910" s="7"/>
    </row>
    <row r="911">
      <c r="A911" s="7"/>
      <c r="B911" s="7"/>
      <c r="C911" s="7"/>
      <c r="D911" s="7"/>
      <c r="E911" s="7"/>
      <c r="F911" s="7"/>
      <c r="G911" s="7"/>
      <c r="H911" s="7"/>
    </row>
    <row r="912">
      <c r="A912" s="7"/>
      <c r="B912" s="7"/>
      <c r="C912" s="7"/>
      <c r="D912" s="7"/>
      <c r="E912" s="7"/>
      <c r="F912" s="7"/>
      <c r="G912" s="7"/>
      <c r="H912" s="7"/>
    </row>
    <row r="913">
      <c r="A913" s="7"/>
      <c r="B913" s="7"/>
      <c r="C913" s="7"/>
      <c r="D913" s="7"/>
      <c r="E913" s="7"/>
      <c r="F913" s="7"/>
      <c r="G913" s="7"/>
      <c r="H913" s="7"/>
    </row>
    <row r="914">
      <c r="A914" s="7"/>
      <c r="B914" s="7"/>
      <c r="C914" s="7"/>
      <c r="D914" s="7"/>
      <c r="E914" s="7"/>
      <c r="F914" s="7"/>
      <c r="G914" s="7"/>
      <c r="H914" s="7"/>
    </row>
    <row r="915">
      <c r="A915" s="7"/>
      <c r="B915" s="7"/>
      <c r="C915" s="7"/>
      <c r="D915" s="7"/>
      <c r="E915" s="7"/>
      <c r="F915" s="7"/>
      <c r="G915" s="7"/>
      <c r="H915" s="7"/>
    </row>
    <row r="916">
      <c r="A916" s="7"/>
      <c r="B916" s="7"/>
      <c r="C916" s="7"/>
      <c r="D916" s="7"/>
      <c r="E916" s="7"/>
      <c r="F916" s="7"/>
      <c r="G916" s="7"/>
      <c r="H916" s="7"/>
    </row>
    <row r="917">
      <c r="A917" s="7"/>
      <c r="B917" s="7"/>
      <c r="C917" s="7"/>
      <c r="D917" s="7"/>
      <c r="E917" s="7"/>
      <c r="F917" s="7"/>
      <c r="G917" s="7"/>
      <c r="H917" s="7"/>
    </row>
    <row r="918">
      <c r="A918" s="7"/>
      <c r="B918" s="7"/>
      <c r="C918" s="7"/>
      <c r="D918" s="7"/>
      <c r="E918" s="7"/>
      <c r="F918" s="7"/>
      <c r="G918" s="7"/>
      <c r="H918" s="7"/>
    </row>
    <row r="919">
      <c r="A919" s="7"/>
      <c r="B919" s="7"/>
      <c r="C919" s="7"/>
      <c r="D919" s="7"/>
      <c r="E919" s="7"/>
      <c r="F919" s="7"/>
      <c r="G919" s="7"/>
      <c r="H919" s="7"/>
    </row>
    <row r="920">
      <c r="A920" s="7"/>
      <c r="B920" s="7"/>
      <c r="C920" s="7"/>
      <c r="D920" s="7"/>
      <c r="E920" s="7"/>
      <c r="F920" s="7"/>
      <c r="G920" s="7"/>
      <c r="H920" s="7"/>
    </row>
    <row r="921">
      <c r="A921" s="7"/>
      <c r="B921" s="7"/>
      <c r="C921" s="7"/>
      <c r="D921" s="7"/>
      <c r="E921" s="7"/>
      <c r="F921" s="7"/>
      <c r="G921" s="7"/>
      <c r="H921" s="7"/>
    </row>
    <row r="922">
      <c r="A922" s="7"/>
      <c r="B922" s="7"/>
      <c r="C922" s="7"/>
      <c r="D922" s="7"/>
      <c r="E922" s="7"/>
      <c r="F922" s="7"/>
      <c r="G922" s="7"/>
      <c r="H922" s="7"/>
    </row>
    <row r="923">
      <c r="A923" s="7"/>
      <c r="B923" s="7"/>
      <c r="C923" s="7"/>
      <c r="D923" s="7"/>
      <c r="E923" s="7"/>
      <c r="F923" s="7"/>
      <c r="G923" s="7"/>
      <c r="H923" s="7"/>
    </row>
    <row r="924">
      <c r="A924" s="7"/>
      <c r="B924" s="7"/>
      <c r="C924" s="7"/>
      <c r="D924" s="7"/>
      <c r="E924" s="7"/>
      <c r="F924" s="7"/>
      <c r="G924" s="7"/>
      <c r="H924" s="7"/>
    </row>
    <row r="925">
      <c r="A925" s="7"/>
      <c r="B925" s="7"/>
      <c r="C925" s="7"/>
      <c r="D925" s="7"/>
      <c r="E925" s="7"/>
      <c r="F925" s="7"/>
      <c r="G925" s="7"/>
      <c r="H925" s="7"/>
    </row>
    <row r="926">
      <c r="A926" s="7"/>
      <c r="B926" s="7"/>
      <c r="C926" s="7"/>
      <c r="D926" s="7"/>
      <c r="E926" s="7"/>
      <c r="F926" s="7"/>
      <c r="G926" s="7"/>
      <c r="H926" s="7"/>
    </row>
    <row r="927">
      <c r="A927" s="7"/>
      <c r="B927" s="7"/>
      <c r="C927" s="7"/>
      <c r="D927" s="7"/>
      <c r="E927" s="7"/>
      <c r="F927" s="7"/>
      <c r="G927" s="7"/>
      <c r="H927" s="7"/>
    </row>
    <row r="928">
      <c r="A928" s="7"/>
      <c r="B928" s="7"/>
      <c r="C928" s="7"/>
      <c r="D928" s="7"/>
      <c r="E928" s="7"/>
      <c r="F928" s="7"/>
      <c r="G928" s="7"/>
      <c r="H928" s="7"/>
    </row>
    <row r="929">
      <c r="A929" s="7"/>
      <c r="B929" s="7"/>
      <c r="C929" s="7"/>
      <c r="D929" s="7"/>
      <c r="E929" s="7"/>
      <c r="F929" s="7"/>
      <c r="G929" s="7"/>
      <c r="H929" s="7"/>
    </row>
    <row r="930">
      <c r="A930" s="7"/>
      <c r="B930" s="7"/>
      <c r="C930" s="7"/>
      <c r="D930" s="7"/>
      <c r="E930" s="7"/>
      <c r="F930" s="7"/>
      <c r="G930" s="7"/>
      <c r="H930" s="7"/>
    </row>
    <row r="931">
      <c r="A931" s="7"/>
      <c r="B931" s="7"/>
      <c r="C931" s="7"/>
      <c r="D931" s="7"/>
      <c r="E931" s="7"/>
      <c r="F931" s="7"/>
      <c r="G931" s="7"/>
      <c r="H931" s="7"/>
    </row>
    <row r="932">
      <c r="A932" s="7"/>
      <c r="B932" s="7"/>
      <c r="C932" s="7"/>
      <c r="D932" s="7"/>
      <c r="E932" s="7"/>
      <c r="F932" s="7"/>
      <c r="G932" s="7"/>
      <c r="H932" s="7"/>
    </row>
    <row r="933">
      <c r="A933" s="7"/>
      <c r="B933" s="7"/>
      <c r="C933" s="7"/>
      <c r="D933" s="7"/>
      <c r="E933" s="7"/>
      <c r="F933" s="7"/>
      <c r="G933" s="7"/>
      <c r="H933" s="7"/>
    </row>
    <row r="934">
      <c r="A934" s="7"/>
      <c r="B934" s="7"/>
      <c r="C934" s="7"/>
      <c r="D934" s="7"/>
      <c r="E934" s="7"/>
      <c r="F934" s="7"/>
      <c r="G934" s="7"/>
      <c r="H934" s="7"/>
    </row>
    <row r="935">
      <c r="A935" s="7"/>
      <c r="B935" s="7"/>
      <c r="C935" s="7"/>
      <c r="D935" s="7"/>
      <c r="E935" s="7"/>
      <c r="F935" s="7"/>
      <c r="G935" s="7"/>
      <c r="H935" s="7"/>
    </row>
    <row r="936">
      <c r="A936" s="7"/>
      <c r="B936" s="7"/>
      <c r="C936" s="7"/>
      <c r="D936" s="7"/>
      <c r="E936" s="7"/>
      <c r="F936" s="7"/>
      <c r="G936" s="7"/>
      <c r="H936" s="7"/>
    </row>
    <row r="937">
      <c r="A937" s="7"/>
      <c r="B937" s="7"/>
      <c r="C937" s="7"/>
      <c r="D937" s="7"/>
      <c r="E937" s="7"/>
      <c r="F937" s="7"/>
      <c r="G937" s="7"/>
      <c r="H937" s="7"/>
    </row>
    <row r="938">
      <c r="A938" s="7"/>
      <c r="B938" s="7"/>
      <c r="C938" s="7"/>
      <c r="D938" s="7"/>
      <c r="E938" s="7"/>
      <c r="F938" s="7"/>
      <c r="G938" s="7"/>
      <c r="H938" s="7"/>
    </row>
    <row r="939">
      <c r="A939" s="7"/>
      <c r="B939" s="7"/>
      <c r="C939" s="7"/>
      <c r="D939" s="7"/>
      <c r="E939" s="7"/>
      <c r="F939" s="7"/>
      <c r="G939" s="7"/>
      <c r="H939" s="7"/>
    </row>
    <row r="940">
      <c r="A940" s="7"/>
      <c r="B940" s="7"/>
      <c r="C940" s="7"/>
      <c r="D940" s="7"/>
      <c r="E940" s="7"/>
      <c r="F940" s="7"/>
      <c r="G940" s="7"/>
      <c r="H940" s="7"/>
    </row>
    <row r="941">
      <c r="A941" s="7"/>
      <c r="B941" s="7"/>
      <c r="C941" s="7"/>
      <c r="D941" s="7"/>
      <c r="E941" s="7"/>
      <c r="F941" s="7"/>
      <c r="G941" s="7"/>
      <c r="H941" s="7"/>
    </row>
    <row r="942">
      <c r="A942" s="7"/>
      <c r="B942" s="7"/>
      <c r="C942" s="7"/>
      <c r="D942" s="7"/>
      <c r="E942" s="7"/>
      <c r="F942" s="7"/>
      <c r="G942" s="7"/>
      <c r="H942" s="7"/>
    </row>
    <row r="943">
      <c r="A943" s="7"/>
      <c r="B943" s="7"/>
      <c r="C943" s="7"/>
      <c r="D943" s="7"/>
      <c r="E943" s="7"/>
      <c r="F943" s="7"/>
      <c r="G943" s="7"/>
      <c r="H943" s="7"/>
    </row>
    <row r="944">
      <c r="A944" s="7"/>
      <c r="B944" s="7"/>
      <c r="C944" s="7"/>
      <c r="D944" s="7"/>
      <c r="E944" s="7"/>
      <c r="F944" s="7"/>
      <c r="G944" s="7"/>
      <c r="H944" s="7"/>
    </row>
    <row r="945">
      <c r="A945" s="7"/>
      <c r="B945" s="7"/>
      <c r="C945" s="7"/>
      <c r="D945" s="7"/>
      <c r="E945" s="7"/>
      <c r="F945" s="7"/>
      <c r="G945" s="7"/>
      <c r="H945" s="7"/>
    </row>
    <row r="946">
      <c r="A946" s="7"/>
      <c r="B946" s="7"/>
      <c r="C946" s="7"/>
      <c r="D946" s="7"/>
      <c r="E946" s="7"/>
      <c r="F946" s="7"/>
      <c r="G946" s="7"/>
      <c r="H946" s="7"/>
    </row>
    <row r="947">
      <c r="A947" s="7"/>
      <c r="B947" s="7"/>
      <c r="C947" s="7"/>
      <c r="D947" s="7"/>
      <c r="E947" s="7"/>
      <c r="F947" s="7"/>
      <c r="G947" s="7"/>
      <c r="H947" s="7"/>
    </row>
    <row r="948">
      <c r="A948" s="7"/>
      <c r="B948" s="7"/>
      <c r="C948" s="7"/>
      <c r="D948" s="7"/>
      <c r="E948" s="7"/>
      <c r="F948" s="7"/>
      <c r="G948" s="7"/>
      <c r="H948" s="7"/>
    </row>
    <row r="949">
      <c r="A949" s="7"/>
      <c r="B949" s="7"/>
      <c r="C949" s="7"/>
      <c r="D949" s="7"/>
      <c r="E949" s="7"/>
      <c r="F949" s="7"/>
      <c r="G949" s="7"/>
      <c r="H949" s="7"/>
    </row>
    <row r="950">
      <c r="A950" s="7"/>
      <c r="B950" s="7"/>
      <c r="C950" s="7"/>
      <c r="D950" s="7"/>
      <c r="E950" s="7"/>
      <c r="F950" s="7"/>
      <c r="G950" s="7"/>
      <c r="H950" s="7"/>
    </row>
    <row r="951">
      <c r="A951" s="7"/>
      <c r="B951" s="7"/>
      <c r="C951" s="7"/>
      <c r="D951" s="7"/>
      <c r="E951" s="7"/>
      <c r="F951" s="7"/>
      <c r="G951" s="7"/>
      <c r="H951" s="7"/>
    </row>
    <row r="952">
      <c r="A952" s="7"/>
      <c r="B952" s="7"/>
      <c r="C952" s="7"/>
      <c r="D952" s="7"/>
      <c r="E952" s="7"/>
      <c r="F952" s="7"/>
      <c r="G952" s="7"/>
      <c r="H952" s="7"/>
    </row>
    <row r="953">
      <c r="A953" s="7"/>
      <c r="B953" s="7"/>
      <c r="C953" s="7"/>
      <c r="D953" s="7"/>
      <c r="E953" s="7"/>
      <c r="F953" s="7"/>
      <c r="G953" s="7"/>
      <c r="H953" s="7"/>
    </row>
    <row r="954">
      <c r="A954" s="7"/>
      <c r="B954" s="7"/>
      <c r="C954" s="7"/>
      <c r="D954" s="7"/>
      <c r="E954" s="7"/>
      <c r="F954" s="7"/>
      <c r="G954" s="7"/>
      <c r="H954" s="7"/>
    </row>
    <row r="955">
      <c r="A955" s="7"/>
      <c r="B955" s="7"/>
      <c r="C955" s="7"/>
      <c r="D955" s="7"/>
      <c r="E955" s="7"/>
      <c r="F955" s="7"/>
      <c r="G955" s="7"/>
      <c r="H955" s="7"/>
    </row>
    <row r="956">
      <c r="A956" s="7"/>
      <c r="B956" s="7"/>
      <c r="C956" s="7"/>
      <c r="D956" s="7"/>
      <c r="E956" s="7"/>
      <c r="F956" s="7"/>
      <c r="G956" s="7"/>
      <c r="H956" s="7"/>
    </row>
    <row r="957">
      <c r="A957" s="7"/>
      <c r="B957" s="7"/>
      <c r="C957" s="7"/>
      <c r="D957" s="7"/>
      <c r="E957" s="7"/>
      <c r="F957" s="7"/>
      <c r="G957" s="7"/>
      <c r="H957" s="7"/>
    </row>
    <row r="958">
      <c r="A958" s="7"/>
      <c r="B958" s="7"/>
      <c r="C958" s="7"/>
      <c r="D958" s="7"/>
      <c r="E958" s="7"/>
      <c r="F958" s="7"/>
      <c r="G958" s="7"/>
      <c r="H958" s="7"/>
    </row>
    <row r="959">
      <c r="A959" s="7"/>
      <c r="B959" s="7"/>
      <c r="C959" s="7"/>
      <c r="D959" s="7"/>
      <c r="E959" s="7"/>
      <c r="F959" s="7"/>
      <c r="G959" s="7"/>
      <c r="H959" s="7"/>
    </row>
    <row r="960">
      <c r="A960" s="7"/>
      <c r="B960" s="7"/>
      <c r="C960" s="7"/>
      <c r="D960" s="7"/>
      <c r="E960" s="7"/>
      <c r="F960" s="7"/>
      <c r="G960" s="7"/>
      <c r="H960" s="7"/>
    </row>
    <row r="961">
      <c r="A961" s="7"/>
      <c r="B961" s="7"/>
      <c r="C961" s="7"/>
      <c r="D961" s="7"/>
      <c r="E961" s="7"/>
      <c r="F961" s="7"/>
      <c r="G961" s="7"/>
      <c r="H961" s="7"/>
    </row>
    <row r="962">
      <c r="A962" s="7"/>
      <c r="B962" s="7"/>
      <c r="C962" s="7"/>
      <c r="D962" s="7"/>
      <c r="E962" s="7"/>
      <c r="F962" s="7"/>
      <c r="G962" s="7"/>
      <c r="H962" s="7"/>
    </row>
    <row r="963">
      <c r="A963" s="7"/>
      <c r="B963" s="7"/>
      <c r="C963" s="7"/>
      <c r="D963" s="7"/>
      <c r="E963" s="7"/>
      <c r="F963" s="7"/>
      <c r="G963" s="7"/>
      <c r="H963" s="7"/>
    </row>
    <row r="964">
      <c r="A964" s="7"/>
      <c r="B964" s="7"/>
      <c r="C964" s="7"/>
      <c r="D964" s="7"/>
      <c r="E964" s="7"/>
      <c r="F964" s="7"/>
      <c r="G964" s="7"/>
      <c r="H964" s="7"/>
    </row>
    <row r="965">
      <c r="A965" s="7"/>
      <c r="B965" s="7"/>
      <c r="C965" s="7"/>
      <c r="D965" s="7"/>
      <c r="E965" s="7"/>
      <c r="F965" s="7"/>
      <c r="G965" s="7"/>
      <c r="H965" s="7"/>
    </row>
    <row r="966">
      <c r="A966" s="7"/>
      <c r="B966" s="7"/>
      <c r="C966" s="7"/>
      <c r="D966" s="7"/>
      <c r="E966" s="7"/>
      <c r="F966" s="7"/>
      <c r="G966" s="7"/>
      <c r="H966" s="7"/>
    </row>
    <row r="967">
      <c r="A967" s="7"/>
      <c r="B967" s="7"/>
      <c r="C967" s="7"/>
      <c r="D967" s="7"/>
      <c r="E967" s="7"/>
      <c r="F967" s="7"/>
      <c r="G967" s="7"/>
      <c r="H967" s="7"/>
    </row>
    <row r="968">
      <c r="A968" s="7"/>
      <c r="B968" s="7"/>
      <c r="C968" s="7"/>
      <c r="D968" s="7"/>
      <c r="E968" s="7"/>
      <c r="F968" s="7"/>
      <c r="G968" s="7"/>
      <c r="H968" s="7"/>
    </row>
    <row r="969">
      <c r="A969" s="7"/>
      <c r="B969" s="7"/>
      <c r="C969" s="7"/>
      <c r="D969" s="7"/>
      <c r="E969" s="7"/>
      <c r="F969" s="7"/>
      <c r="G969" s="7"/>
      <c r="H969" s="7"/>
    </row>
    <row r="970">
      <c r="A970" s="7"/>
      <c r="B970" s="7"/>
      <c r="C970" s="7"/>
      <c r="D970" s="7"/>
      <c r="E970" s="7"/>
      <c r="F970" s="7"/>
      <c r="G970" s="7"/>
      <c r="H970" s="7"/>
    </row>
    <row r="971">
      <c r="A971" s="7"/>
      <c r="B971" s="7"/>
      <c r="C971" s="7"/>
      <c r="D971" s="7"/>
      <c r="E971" s="7"/>
      <c r="F971" s="7"/>
      <c r="G971" s="7"/>
      <c r="H971" s="7"/>
    </row>
    <row r="972">
      <c r="A972" s="7"/>
      <c r="B972" s="7"/>
      <c r="C972" s="7"/>
      <c r="D972" s="7"/>
      <c r="E972" s="7"/>
      <c r="F972" s="7"/>
      <c r="G972" s="7"/>
      <c r="H972" s="7"/>
    </row>
    <row r="973">
      <c r="A973" s="7"/>
      <c r="B973" s="7"/>
      <c r="C973" s="7"/>
      <c r="D973" s="7"/>
      <c r="E973" s="7"/>
      <c r="F973" s="7"/>
      <c r="G973" s="7"/>
      <c r="H973" s="7"/>
    </row>
    <row r="974">
      <c r="A974" s="7"/>
      <c r="B974" s="7"/>
      <c r="C974" s="7"/>
      <c r="D974" s="7"/>
      <c r="E974" s="7"/>
      <c r="F974" s="7"/>
      <c r="G974" s="7"/>
      <c r="H974" s="7"/>
    </row>
    <row r="975">
      <c r="A975" s="7"/>
      <c r="B975" s="7"/>
      <c r="C975" s="7"/>
      <c r="D975" s="7"/>
      <c r="E975" s="7"/>
      <c r="F975" s="7"/>
      <c r="G975" s="7"/>
      <c r="H975" s="7"/>
    </row>
    <row r="976">
      <c r="A976" s="7"/>
      <c r="B976" s="7"/>
      <c r="C976" s="7"/>
      <c r="D976" s="7"/>
      <c r="E976" s="7"/>
      <c r="F976" s="7"/>
      <c r="G976" s="7"/>
      <c r="H976" s="7"/>
    </row>
    <row r="977">
      <c r="A977" s="7"/>
      <c r="B977" s="7"/>
      <c r="C977" s="7"/>
      <c r="D977" s="7"/>
      <c r="E977" s="7"/>
      <c r="F977" s="7"/>
      <c r="G977" s="7"/>
      <c r="H977" s="7"/>
    </row>
    <row r="978">
      <c r="A978" s="7"/>
      <c r="B978" s="7"/>
      <c r="C978" s="7"/>
      <c r="D978" s="7"/>
      <c r="E978" s="7"/>
      <c r="F978" s="7"/>
      <c r="G978" s="7"/>
      <c r="H978" s="7"/>
    </row>
    <row r="979">
      <c r="A979" s="7"/>
      <c r="B979" s="7"/>
      <c r="C979" s="7"/>
      <c r="D979" s="7"/>
      <c r="E979" s="7"/>
      <c r="F979" s="7"/>
      <c r="G979" s="7"/>
      <c r="H979" s="7"/>
    </row>
    <row r="980">
      <c r="A980" s="7"/>
      <c r="B980" s="7"/>
      <c r="C980" s="7"/>
      <c r="D980" s="7"/>
      <c r="E980" s="7"/>
      <c r="F980" s="7"/>
      <c r="G980" s="7"/>
      <c r="H980" s="7"/>
    </row>
    <row r="981">
      <c r="A981" s="7"/>
      <c r="B981" s="7"/>
      <c r="C981" s="7"/>
      <c r="D981" s="7"/>
      <c r="E981" s="7"/>
      <c r="F981" s="7"/>
      <c r="G981" s="7"/>
      <c r="H981" s="7"/>
    </row>
    <row r="982">
      <c r="A982" s="7"/>
      <c r="B982" s="7"/>
      <c r="C982" s="7"/>
      <c r="D982" s="7"/>
      <c r="E982" s="7"/>
      <c r="F982" s="7"/>
      <c r="G982" s="7"/>
      <c r="H982" s="7"/>
    </row>
    <row r="983">
      <c r="A983" s="7"/>
      <c r="B983" s="7"/>
      <c r="C983" s="7"/>
      <c r="D983" s="7"/>
      <c r="E983" s="7"/>
      <c r="F983" s="7"/>
      <c r="G983" s="7"/>
      <c r="H983" s="7"/>
    </row>
    <row r="984">
      <c r="A984" s="7"/>
      <c r="B984" s="7"/>
      <c r="C984" s="7"/>
      <c r="D984" s="7"/>
      <c r="E984" s="7"/>
      <c r="F984" s="7"/>
      <c r="G984" s="7"/>
      <c r="H984" s="7"/>
    </row>
    <row r="985">
      <c r="A985" s="7"/>
      <c r="B985" s="7"/>
      <c r="C985" s="7"/>
      <c r="D985" s="7"/>
      <c r="E985" s="7"/>
      <c r="F985" s="7"/>
      <c r="G985" s="7"/>
      <c r="H985" s="7"/>
    </row>
    <row r="986">
      <c r="A986" s="7"/>
      <c r="B986" s="7"/>
      <c r="C986" s="7"/>
      <c r="D986" s="7"/>
      <c r="E986" s="7"/>
      <c r="F986" s="7"/>
      <c r="G986" s="7"/>
      <c r="H986" s="7"/>
    </row>
    <row r="987">
      <c r="A987" s="7"/>
      <c r="B987" s="7"/>
      <c r="C987" s="7"/>
      <c r="D987" s="7"/>
      <c r="E987" s="7"/>
      <c r="F987" s="7"/>
      <c r="G987" s="7"/>
      <c r="H987" s="7"/>
    </row>
    <row r="988">
      <c r="A988" s="7"/>
      <c r="B988" s="7"/>
      <c r="C988" s="7"/>
      <c r="D988" s="7"/>
      <c r="E988" s="7"/>
      <c r="F988" s="7"/>
      <c r="G988" s="7"/>
      <c r="H988" s="7"/>
    </row>
    <row r="989">
      <c r="A989" s="7"/>
      <c r="B989" s="7"/>
      <c r="C989" s="7"/>
      <c r="D989" s="7"/>
      <c r="E989" s="7"/>
      <c r="F989" s="7"/>
      <c r="G989" s="7"/>
      <c r="H989" s="7"/>
    </row>
    <row r="990">
      <c r="A990" s="7"/>
      <c r="B990" s="7"/>
      <c r="C990" s="7"/>
      <c r="D990" s="7"/>
      <c r="E990" s="7"/>
      <c r="F990" s="7"/>
      <c r="G990" s="7"/>
      <c r="H990" s="7"/>
    </row>
    <row r="991">
      <c r="A991" s="7"/>
      <c r="B991" s="7"/>
      <c r="C991" s="7"/>
      <c r="D991" s="7"/>
      <c r="E991" s="7"/>
      <c r="F991" s="7"/>
      <c r="G991" s="7"/>
      <c r="H991" s="7"/>
    </row>
    <row r="992">
      <c r="A992" s="7"/>
      <c r="B992" s="7"/>
      <c r="C992" s="7"/>
      <c r="D992" s="7"/>
      <c r="E992" s="7"/>
      <c r="F992" s="7"/>
      <c r="G992" s="7"/>
      <c r="H992" s="7"/>
    </row>
    <row r="993">
      <c r="A993" s="7"/>
      <c r="B993" s="7"/>
      <c r="C993" s="7"/>
      <c r="D993" s="7"/>
      <c r="E993" s="7"/>
      <c r="F993" s="7"/>
      <c r="G993" s="7"/>
      <c r="H993" s="7"/>
    </row>
    <row r="994">
      <c r="A994" s="7"/>
      <c r="B994" s="7"/>
      <c r="C994" s="7"/>
      <c r="D994" s="7"/>
      <c r="E994" s="7"/>
      <c r="F994" s="7"/>
      <c r="G994" s="7"/>
      <c r="H994" s="7"/>
    </row>
    <row r="995">
      <c r="A995" s="7"/>
      <c r="B995" s="7"/>
      <c r="C995" s="7"/>
      <c r="D995" s="7"/>
      <c r="E995" s="7"/>
      <c r="F995" s="7"/>
      <c r="G995" s="7"/>
      <c r="H995" s="7"/>
    </row>
    <row r="996">
      <c r="A996" s="7"/>
      <c r="B996" s="7"/>
      <c r="C996" s="7"/>
      <c r="D996" s="7"/>
      <c r="E996" s="7"/>
      <c r="F996" s="7"/>
      <c r="G996" s="7"/>
      <c r="H996" s="7"/>
    </row>
    <row r="997">
      <c r="A997" s="7"/>
      <c r="B997" s="7"/>
      <c r="C997" s="7"/>
      <c r="D997" s="7"/>
      <c r="E997" s="7"/>
      <c r="F997" s="7"/>
      <c r="G997" s="7"/>
      <c r="H997" s="7"/>
    </row>
    <row r="998">
      <c r="A998" s="7"/>
      <c r="B998" s="7"/>
      <c r="C998" s="7"/>
      <c r="D998" s="7"/>
      <c r="E998" s="7"/>
      <c r="F998" s="7"/>
      <c r="G998" s="7"/>
      <c r="H998" s="7"/>
    </row>
    <row r="999">
      <c r="A999" s="7"/>
      <c r="B999" s="7"/>
      <c r="C999" s="7"/>
      <c r="D999" s="7"/>
      <c r="E999" s="7"/>
      <c r="F999" s="7"/>
      <c r="G999" s="7"/>
      <c r="H999" s="7"/>
    </row>
    <row r="1000">
      <c r="A1000" s="7"/>
      <c r="B1000" s="7"/>
      <c r="C1000" s="7"/>
      <c r="D1000" s="7"/>
      <c r="E1000" s="7"/>
      <c r="F1000" s="7"/>
      <c r="G1000" s="7"/>
      <c r="H1000" s="7"/>
    </row>
    <row r="1001">
      <c r="A1001" s="7"/>
      <c r="B1001" s="7"/>
      <c r="C1001" s="7"/>
      <c r="D1001" s="7"/>
      <c r="E1001" s="7"/>
      <c r="F1001" s="7"/>
      <c r="G1001" s="7"/>
      <c r="H1001" s="7"/>
    </row>
    <row r="1002">
      <c r="A1002" s="7"/>
      <c r="B1002" s="7"/>
      <c r="C1002" s="7"/>
      <c r="D1002" s="7"/>
      <c r="E1002" s="7"/>
      <c r="F1002" s="7"/>
      <c r="G1002" s="7"/>
      <c r="H1002" s="7"/>
    </row>
    <row r="1003">
      <c r="A1003" s="7"/>
      <c r="B1003" s="7"/>
      <c r="C1003" s="7"/>
      <c r="D1003" s="7"/>
      <c r="E1003" s="7"/>
      <c r="F1003" s="7"/>
      <c r="G1003" s="7"/>
      <c r="H1003" s="7"/>
    </row>
    <row r="1004">
      <c r="A1004" s="7"/>
      <c r="B1004" s="7"/>
      <c r="C1004" s="7"/>
      <c r="D1004" s="7"/>
      <c r="E1004" s="7"/>
      <c r="F1004" s="7"/>
      <c r="G1004" s="7"/>
      <c r="H1004" s="7"/>
    </row>
    <row r="1005">
      <c r="A1005" s="7"/>
      <c r="B1005" s="7"/>
      <c r="C1005" s="7"/>
      <c r="D1005" s="7"/>
      <c r="E1005" s="7"/>
      <c r="F1005" s="7"/>
      <c r="G1005" s="7"/>
      <c r="H1005" s="7"/>
    </row>
    <row r="1006">
      <c r="A1006" s="7"/>
      <c r="B1006" s="7"/>
      <c r="C1006" s="7"/>
      <c r="D1006" s="7"/>
      <c r="E1006" s="7"/>
      <c r="F1006" s="7"/>
      <c r="G1006" s="7"/>
      <c r="H1006" s="7"/>
    </row>
    <row r="1007">
      <c r="A1007" s="7"/>
      <c r="B1007" s="7"/>
      <c r="C1007" s="7"/>
      <c r="D1007" s="7"/>
      <c r="E1007" s="7"/>
      <c r="F1007" s="7"/>
      <c r="G1007" s="7"/>
      <c r="H1007" s="7"/>
    </row>
    <row r="1008">
      <c r="A1008" s="7"/>
      <c r="B1008" s="7"/>
      <c r="C1008" s="7"/>
      <c r="D1008" s="7"/>
      <c r="E1008" s="7"/>
      <c r="F1008" s="7"/>
      <c r="G1008" s="7"/>
      <c r="H1008" s="7"/>
    </row>
    <row r="1009">
      <c r="A1009" s="7"/>
      <c r="B1009" s="7"/>
      <c r="C1009" s="7"/>
      <c r="D1009" s="7"/>
      <c r="E1009" s="7"/>
      <c r="F1009" s="7"/>
      <c r="G1009" s="7"/>
      <c r="H1009" s="7"/>
    </row>
    <row r="1010">
      <c r="A1010" s="7"/>
      <c r="B1010" s="7"/>
      <c r="C1010" s="7"/>
      <c r="D1010" s="7"/>
      <c r="E1010" s="7"/>
      <c r="F1010" s="7"/>
      <c r="G1010" s="7"/>
      <c r="H1010" s="7"/>
    </row>
    <row r="1011">
      <c r="A1011" s="7"/>
      <c r="B1011" s="7"/>
      <c r="C1011" s="7"/>
      <c r="D1011" s="7"/>
      <c r="E1011" s="7"/>
      <c r="F1011" s="7"/>
      <c r="G1011" s="7"/>
      <c r="H1011" s="7"/>
    </row>
    <row r="1012">
      <c r="A1012" s="7"/>
      <c r="B1012" s="7"/>
      <c r="C1012" s="7"/>
      <c r="D1012" s="7"/>
      <c r="E1012" s="7"/>
      <c r="F1012" s="7"/>
      <c r="G1012" s="7"/>
      <c r="H1012" s="7"/>
    </row>
    <row r="1013">
      <c r="A1013" s="7"/>
      <c r="B1013" s="7"/>
      <c r="C1013" s="7"/>
      <c r="D1013" s="7"/>
      <c r="E1013" s="7"/>
      <c r="F1013" s="7"/>
      <c r="G1013" s="7"/>
      <c r="H1013" s="7"/>
    </row>
    <row r="1014">
      <c r="A1014" s="7"/>
      <c r="B1014" s="7"/>
      <c r="C1014" s="7"/>
      <c r="D1014" s="7"/>
      <c r="E1014" s="7"/>
      <c r="F1014" s="7"/>
      <c r="G1014" s="7"/>
      <c r="H1014" s="7"/>
    </row>
    <row r="1015">
      <c r="A1015" s="7"/>
      <c r="B1015" s="7"/>
      <c r="C1015" s="7"/>
      <c r="D1015" s="7"/>
      <c r="E1015" s="7"/>
      <c r="F1015" s="7"/>
      <c r="G1015" s="7"/>
      <c r="H1015" s="7"/>
    </row>
    <row r="1016">
      <c r="A1016" s="7"/>
      <c r="B1016" s="7"/>
      <c r="C1016" s="7"/>
      <c r="D1016" s="7"/>
      <c r="E1016" s="7"/>
      <c r="F1016" s="7"/>
      <c r="G1016" s="7"/>
      <c r="H1016" s="7"/>
    </row>
    <row r="1017">
      <c r="A1017" s="7"/>
      <c r="B1017" s="7"/>
      <c r="C1017" s="7"/>
      <c r="D1017" s="7"/>
      <c r="E1017" s="7"/>
      <c r="F1017" s="7"/>
      <c r="G1017" s="7"/>
      <c r="H1017" s="7"/>
    </row>
    <row r="1018">
      <c r="A1018" s="7"/>
      <c r="B1018" s="7"/>
      <c r="C1018" s="7"/>
      <c r="D1018" s="7"/>
      <c r="E1018" s="7"/>
      <c r="F1018" s="7"/>
      <c r="G1018" s="7"/>
      <c r="H1018" s="7"/>
    </row>
    <row r="1019">
      <c r="A1019" s="7"/>
      <c r="B1019" s="7"/>
      <c r="C1019" s="7"/>
      <c r="D1019" s="7"/>
      <c r="E1019" s="7"/>
      <c r="F1019" s="7"/>
      <c r="G1019" s="7"/>
      <c r="H1019" s="7"/>
    </row>
    <row r="1020">
      <c r="A1020" s="7"/>
      <c r="B1020" s="7"/>
      <c r="C1020" s="7"/>
      <c r="D1020" s="7"/>
      <c r="E1020" s="7"/>
      <c r="F1020" s="7"/>
      <c r="G1020" s="7"/>
      <c r="H1020" s="7"/>
    </row>
    <row r="1021">
      <c r="A1021" s="7"/>
      <c r="B1021" s="7"/>
      <c r="C1021" s="7"/>
      <c r="D1021" s="7"/>
      <c r="E1021" s="7"/>
      <c r="F1021" s="7"/>
      <c r="G1021" s="7"/>
      <c r="H1021" s="7"/>
    </row>
    <row r="1022">
      <c r="A1022" s="7"/>
      <c r="B1022" s="7"/>
      <c r="C1022" s="7"/>
      <c r="D1022" s="7"/>
      <c r="E1022" s="7"/>
      <c r="F1022" s="7"/>
      <c r="G1022" s="7"/>
      <c r="H1022" s="7"/>
    </row>
    <row r="1023">
      <c r="A1023" s="7"/>
      <c r="B1023" s="7"/>
      <c r="C1023" s="7"/>
      <c r="D1023" s="7"/>
      <c r="E1023" s="7"/>
      <c r="F1023" s="7"/>
      <c r="G1023" s="7"/>
      <c r="H1023" s="7"/>
    </row>
    <row r="1024">
      <c r="A1024" s="7"/>
      <c r="B1024" s="7"/>
      <c r="C1024" s="7"/>
      <c r="D1024" s="7"/>
      <c r="E1024" s="7"/>
      <c r="F1024" s="7"/>
      <c r="G1024" s="7"/>
      <c r="H1024" s="7"/>
    </row>
    <row r="1025">
      <c r="A1025" s="7"/>
      <c r="B1025" s="7"/>
      <c r="C1025" s="7"/>
      <c r="D1025" s="7"/>
      <c r="E1025" s="7"/>
      <c r="F1025" s="7"/>
      <c r="G1025" s="7"/>
      <c r="H1025" s="7"/>
    </row>
    <row r="1026">
      <c r="A1026" s="7"/>
      <c r="B1026" s="7"/>
      <c r="C1026" s="7"/>
      <c r="D1026" s="7"/>
      <c r="E1026" s="7"/>
      <c r="F1026" s="7"/>
      <c r="G1026" s="7"/>
      <c r="H1026" s="7"/>
    </row>
    <row r="1027">
      <c r="A1027" s="7"/>
      <c r="B1027" s="7"/>
      <c r="C1027" s="7"/>
      <c r="D1027" s="7"/>
      <c r="E1027" s="7"/>
      <c r="F1027" s="7"/>
      <c r="G1027" s="7"/>
      <c r="H1027" s="7"/>
    </row>
    <row r="1028">
      <c r="A1028" s="7"/>
      <c r="B1028" s="7"/>
      <c r="C1028" s="7"/>
      <c r="D1028" s="7"/>
      <c r="E1028" s="7"/>
      <c r="F1028" s="7"/>
      <c r="G1028" s="7"/>
      <c r="H1028" s="7"/>
    </row>
    <row r="1029">
      <c r="A1029" s="7"/>
      <c r="B1029" s="7"/>
      <c r="C1029" s="7"/>
      <c r="D1029" s="7"/>
      <c r="E1029" s="7"/>
      <c r="F1029" s="7"/>
      <c r="G1029" s="7"/>
      <c r="H1029" s="7"/>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1.14"/>
  </cols>
  <sheetData>
    <row r="1">
      <c r="A1" s="74" t="s">
        <v>20</v>
      </c>
      <c r="B1" s="3" t="s">
        <v>2299</v>
      </c>
      <c r="D1" s="75"/>
      <c r="F1" s="76"/>
    </row>
    <row r="2">
      <c r="A2" s="6" t="s">
        <v>173</v>
      </c>
      <c r="B2" s="1" t="str">
        <f>IFERROR(__xludf.DUMMYFUNCTION("JOIN(""|"",SORT(TRANSPOSE(SPLIT(A2,""|""))))
"),"Catchment Erosion")</f>
        <v>Catchment Erosion</v>
      </c>
    </row>
    <row r="3">
      <c r="A3" s="6" t="s">
        <v>173</v>
      </c>
      <c r="B3" s="1" t="str">
        <f>IFERROR(__xludf.DUMMYFUNCTION("JOIN(""|"",SORT(TRANSPOSE(SPLIT(A3,""|""))))
"),"Catchment Erosion")</f>
        <v>Catchment Erosion</v>
      </c>
    </row>
    <row r="4">
      <c r="A4" s="6" t="s">
        <v>1825</v>
      </c>
      <c r="B4" s="1" t="str">
        <f>IFERROR(__xludf.DUMMYFUNCTION("JOIN(""|"",SORT(TRANSPOSE(SPLIT(A4,""|""))))
"),"Trophic Status")</f>
        <v>Trophic Status</v>
      </c>
    </row>
    <row r="5">
      <c r="A5" s="6" t="s">
        <v>1825</v>
      </c>
      <c r="B5" s="1" t="str">
        <f>IFERROR(__xludf.DUMMYFUNCTION("JOIN(""|"",SORT(TRANSPOSE(SPLIT(A5,""|""))))
"),"Trophic Status")</f>
        <v>Trophic Status</v>
      </c>
    </row>
    <row r="6">
      <c r="A6" s="33" t="s">
        <v>823</v>
      </c>
      <c r="B6" s="1" t="str">
        <f>IFERROR(__xludf.DUMMYFUNCTION("JOIN(""|"",SORT(TRANSPOSE(SPLIT(A6,""|""))))
"),"Vegetation")</f>
        <v>Vegetation</v>
      </c>
    </row>
    <row r="7">
      <c r="A7" s="33" t="s">
        <v>823</v>
      </c>
      <c r="B7" s="1" t="str">
        <f>IFERROR(__xludf.DUMMYFUNCTION("JOIN(""|"",SORT(TRANSPOSE(SPLIT(A7,""|""))))
"),"Vegetation")</f>
        <v>Vegetation</v>
      </c>
    </row>
    <row r="8">
      <c r="A8" s="33" t="s">
        <v>823</v>
      </c>
      <c r="B8" s="1" t="str">
        <f>IFERROR(__xludf.DUMMYFUNCTION("JOIN(""|"",SORT(TRANSPOSE(SPLIT(A8,""|""))))
"),"Vegetation")</f>
        <v>Vegetation</v>
      </c>
    </row>
    <row r="9">
      <c r="A9" s="33" t="s">
        <v>823</v>
      </c>
      <c r="B9" s="1" t="str">
        <f>IFERROR(__xludf.DUMMYFUNCTION("JOIN(""|"",SORT(TRANSPOSE(SPLIT(A9,""|""))))
"),"Vegetation")</f>
        <v>Vegetation</v>
      </c>
    </row>
    <row r="10">
      <c r="A10" s="33" t="s">
        <v>823</v>
      </c>
      <c r="B10" s="1" t="str">
        <f>IFERROR(__xludf.DUMMYFUNCTION("JOIN(""|"",SORT(TRANSPOSE(SPLIT(A10,""|""))))
"),"Vegetation")</f>
        <v>Vegetation</v>
      </c>
      <c r="F10" s="11"/>
    </row>
    <row r="11">
      <c r="A11" s="6" t="s">
        <v>2300</v>
      </c>
      <c r="B11" s="1" t="str">
        <f>IFERROR(__xludf.DUMMYFUNCTION("JOIN(""|"",SORT(TRANSPOSE(SPLIT(A11,""|""))))
"),"Sedimentation|Water Level")</f>
        <v>Sedimentation|Water Level</v>
      </c>
      <c r="F11" s="11"/>
    </row>
    <row r="12">
      <c r="A12" s="6" t="s">
        <v>2300</v>
      </c>
      <c r="B12" s="1" t="str">
        <f>IFERROR(__xludf.DUMMYFUNCTION("JOIN(""|"",SORT(TRANSPOSE(SPLIT(A12,""|""))))
"),"Sedimentation|Water Level")</f>
        <v>Sedimentation|Water Level</v>
      </c>
    </row>
    <row r="13">
      <c r="A13" s="6" t="s">
        <v>276</v>
      </c>
      <c r="B13" s="1" t="str">
        <f>IFERROR(__xludf.DUMMYFUNCTION("JOIN(""|"",SORT(TRANSPOSE(SPLIT(A13,""|""))))
"),"Sedimentation")</f>
        <v>Sedimentation</v>
      </c>
    </row>
    <row r="14">
      <c r="A14" s="6" t="s">
        <v>276</v>
      </c>
      <c r="B14" s="1" t="str">
        <f>IFERROR(__xludf.DUMMYFUNCTION("JOIN(""|"",SORT(TRANSPOSE(SPLIT(A14,""|""))))
"),"Sedimentation")</f>
        <v>Sedimentation</v>
      </c>
      <c r="F14" s="11"/>
    </row>
    <row r="15">
      <c r="A15" s="33" t="s">
        <v>823</v>
      </c>
      <c r="B15" s="1" t="str">
        <f>IFERROR(__xludf.DUMMYFUNCTION("JOIN(""|"",SORT(TRANSPOSE(SPLIT(A15,""|""))))
"),"Vegetation")</f>
        <v>Vegetation</v>
      </c>
    </row>
    <row r="16">
      <c r="A16" s="33" t="s">
        <v>823</v>
      </c>
      <c r="B16" s="1" t="str">
        <f>IFERROR(__xludf.DUMMYFUNCTION("JOIN(""|"",SORT(TRANSPOSE(SPLIT(A16,""|""))))
"),"Vegetation")</f>
        <v>Vegetation</v>
      </c>
    </row>
    <row r="17">
      <c r="A17" s="33" t="s">
        <v>823</v>
      </c>
      <c r="B17" s="1" t="str">
        <f>IFERROR(__xludf.DUMMYFUNCTION("JOIN(""|"",SORT(TRANSPOSE(SPLIT(A17,""|""))))
"),"Vegetation")</f>
        <v>Vegetation</v>
      </c>
    </row>
    <row r="18">
      <c r="A18" s="6" t="s">
        <v>2300</v>
      </c>
      <c r="B18" s="1" t="str">
        <f>IFERROR(__xludf.DUMMYFUNCTION("JOIN(""|"",SORT(TRANSPOSE(SPLIT(A18,""|""))))
"),"Sedimentation|Water Level")</f>
        <v>Sedimentation|Water Level</v>
      </c>
    </row>
    <row r="19">
      <c r="A19" s="6" t="s">
        <v>2300</v>
      </c>
      <c r="B19" s="1" t="str">
        <f>IFERROR(__xludf.DUMMYFUNCTION("JOIN(""|"",SORT(TRANSPOSE(SPLIT(A19,""|""))))
"),"Sedimentation|Water Level")</f>
        <v>Sedimentation|Water Level</v>
      </c>
    </row>
    <row r="20">
      <c r="A20" s="33" t="s">
        <v>156</v>
      </c>
      <c r="B20" s="1" t="str">
        <f>IFERROR(__xludf.DUMMYFUNCTION("JOIN(""|"",SORT(TRANSPOSE(SPLIT(A20,""|""))))
"),"Fire")</f>
        <v>Fire</v>
      </c>
    </row>
    <row r="21">
      <c r="A21" s="33" t="s">
        <v>156</v>
      </c>
      <c r="B21" s="1" t="str">
        <f>IFERROR(__xludf.DUMMYFUNCTION("JOIN(""|"",SORT(TRANSPOSE(SPLIT(A21,""|""))))
"),"Fire")</f>
        <v>Fire</v>
      </c>
      <c r="F21" s="11"/>
    </row>
    <row r="22">
      <c r="A22" s="33" t="s">
        <v>156</v>
      </c>
      <c r="B22" s="1" t="str">
        <f>IFERROR(__xludf.DUMMYFUNCTION("JOIN(""|"",SORT(TRANSPOSE(SPLIT(A22,""|""))))
"),"Fire")</f>
        <v>Fire</v>
      </c>
    </row>
    <row r="23">
      <c r="A23" s="33" t="s">
        <v>2301</v>
      </c>
      <c r="B23" s="1" t="str">
        <f>IFERROR(__xludf.DUMMYFUNCTION("JOIN(""|"",SORT(TRANSPOSE(SPLIT(A23,""|""))))
"),"Climate|Vegetation")</f>
        <v>Climate|Vegetation</v>
      </c>
    </row>
    <row r="24">
      <c r="A24" s="33" t="s">
        <v>2301</v>
      </c>
      <c r="B24" s="1" t="str">
        <f>IFERROR(__xludf.DUMMYFUNCTION("JOIN(""|"",SORT(TRANSPOSE(SPLIT(A24,""|""))))
"),"Climate|Vegetation")</f>
        <v>Climate|Vegetation</v>
      </c>
    </row>
    <row r="25">
      <c r="A25" s="33" t="s">
        <v>2301</v>
      </c>
      <c r="B25" s="1" t="str">
        <f>IFERROR(__xludf.DUMMYFUNCTION("JOIN(""|"",SORT(TRANSPOSE(SPLIT(A25,""|""))))
"),"Climate|Vegetation")</f>
        <v>Climate|Vegetation</v>
      </c>
    </row>
    <row r="26">
      <c r="A26" s="33" t="s">
        <v>2301</v>
      </c>
      <c r="B26" s="1" t="str">
        <f>IFERROR(__xludf.DUMMYFUNCTION("JOIN(""|"",SORT(TRANSPOSE(SPLIT(A26,""|""))))
"),"Climate|Vegetation")</f>
        <v>Climate|Vegetation</v>
      </c>
    </row>
    <row r="27">
      <c r="A27" s="33" t="s">
        <v>2301</v>
      </c>
      <c r="B27" s="1" t="str">
        <f>IFERROR(__xludf.DUMMYFUNCTION("JOIN(""|"",SORT(TRANSPOSE(SPLIT(A27,""|""))))
"),"Climate|Vegetation")</f>
        <v>Climate|Vegetation</v>
      </c>
    </row>
    <row r="28">
      <c r="A28" s="33" t="s">
        <v>156</v>
      </c>
      <c r="B28" s="1" t="str">
        <f>IFERROR(__xludf.DUMMYFUNCTION("JOIN(""|"",SORT(TRANSPOSE(SPLIT(A28,""|""))))
"),"Fire")</f>
        <v>Fire</v>
      </c>
    </row>
    <row r="29">
      <c r="A29" s="33" t="s">
        <v>156</v>
      </c>
      <c r="B29" s="1" t="str">
        <f>IFERROR(__xludf.DUMMYFUNCTION("JOIN(""|"",SORT(TRANSPOSE(SPLIT(A29,""|""))))
"),"Fire")</f>
        <v>Fire</v>
      </c>
    </row>
    <row r="30">
      <c r="A30" s="6" t="s">
        <v>150</v>
      </c>
      <c r="B30" s="1" t="str">
        <f>IFERROR(__xludf.DUMMYFUNCTION("JOIN(""|"",SORT(TRANSPOSE(SPLIT(A30,""|""))))
"),"Water Level")</f>
        <v>Water Level</v>
      </c>
    </row>
    <row r="31">
      <c r="A31" s="6" t="s">
        <v>2302</v>
      </c>
      <c r="B31" s="1" t="str">
        <f>IFERROR(__xludf.DUMMYFUNCTION("JOIN(""|"",SORT(TRANSPOSE(SPLIT(A31,""|""))))
"),"Vegetation|Water Level")</f>
        <v>Vegetation|Water Level</v>
      </c>
    </row>
    <row r="32">
      <c r="A32" s="6" t="s">
        <v>276</v>
      </c>
      <c r="B32" s="1" t="str">
        <f>IFERROR(__xludf.DUMMYFUNCTION("JOIN(""|"",SORT(TRANSPOSE(SPLIT(A32,""|""))))
"),"Sedimentation")</f>
        <v>Sedimentation</v>
      </c>
    </row>
    <row r="33">
      <c r="A33" s="6" t="s">
        <v>276</v>
      </c>
      <c r="B33" s="1" t="str">
        <f>IFERROR(__xludf.DUMMYFUNCTION("JOIN(""|"",SORT(TRANSPOSE(SPLIT(A33,""|""))))
"),"Sedimentation")</f>
        <v>Sedimentation</v>
      </c>
    </row>
    <row r="34">
      <c r="A34" s="33" t="s">
        <v>2301</v>
      </c>
      <c r="B34" s="1" t="str">
        <f>IFERROR(__xludf.DUMMYFUNCTION("JOIN(""|"",SORT(TRANSPOSE(SPLIT(A34,""|""))))
"),"Climate|Vegetation")</f>
        <v>Climate|Vegetation</v>
      </c>
    </row>
    <row r="35">
      <c r="A35" s="33" t="s">
        <v>156</v>
      </c>
      <c r="B35" s="1" t="str">
        <f>IFERROR(__xludf.DUMMYFUNCTION("JOIN(""|"",SORT(TRANSPOSE(SPLIT(A35,""|""))))
"),"Fire")</f>
        <v>Fire</v>
      </c>
    </row>
    <row r="36">
      <c r="A36" s="33" t="s">
        <v>2301</v>
      </c>
      <c r="B36" s="1" t="str">
        <f>IFERROR(__xludf.DUMMYFUNCTION("JOIN(""|"",SORT(TRANSPOSE(SPLIT(A36,""|""))))
"),"Climate|Vegetation")</f>
        <v>Climate|Vegetation</v>
      </c>
      <c r="F36" s="11"/>
    </row>
    <row r="37">
      <c r="A37" s="33" t="s">
        <v>156</v>
      </c>
      <c r="B37" s="1" t="str">
        <f>IFERROR(__xludf.DUMMYFUNCTION("JOIN(""|"",SORT(TRANSPOSE(SPLIT(A37,""|""))))
"),"Fire")</f>
        <v>Fire</v>
      </c>
      <c r="F37" s="11"/>
    </row>
    <row r="38">
      <c r="A38" s="6" t="s">
        <v>72</v>
      </c>
      <c r="B38" s="1" t="str">
        <f>IFERROR(__xludf.DUMMYFUNCTION("JOIN(""|"",SORT(TRANSPOSE(SPLIT(A38,""|""))))
"),"Not Reported")</f>
        <v>Not Reported</v>
      </c>
    </row>
    <row r="39">
      <c r="A39" s="33" t="s">
        <v>310</v>
      </c>
      <c r="B39" s="1" t="str">
        <f>IFERROR(__xludf.DUMMYFUNCTION("JOIN(""|"",SORT(TRANSPOSE(SPLIT(A39,""|""))))
"),"Deglaciation")</f>
        <v>Deglaciation</v>
      </c>
    </row>
    <row r="40">
      <c r="A40" s="6" t="s">
        <v>72</v>
      </c>
      <c r="B40" s="1" t="str">
        <f>IFERROR(__xludf.DUMMYFUNCTION("JOIN(""|"",SORT(TRANSPOSE(SPLIT(A40,""|""))))
"),"Not Reported")</f>
        <v>Not Reported</v>
      </c>
    </row>
    <row r="41">
      <c r="A41" s="6" t="s">
        <v>2303</v>
      </c>
      <c r="B41" s="1" t="str">
        <f>IFERROR(__xludf.DUMMYFUNCTION("JOIN(""|"",SORT(TRANSPOSE(SPLIT(A41,""|""))))
"),"Climate|Vegetation|Water Level")</f>
        <v>Climate|Vegetation|Water Level</v>
      </c>
    </row>
    <row r="42">
      <c r="A42" s="33" t="s">
        <v>1533</v>
      </c>
      <c r="B42" s="1" t="str">
        <f>IFERROR(__xludf.DUMMYFUNCTION("JOIN(""|"",SORT(TRANSPOSE(SPLIT(A42,""|""))))
"),"Salinity")</f>
        <v>Salinity</v>
      </c>
    </row>
    <row r="43">
      <c r="A43" s="33" t="s">
        <v>1533</v>
      </c>
      <c r="B43" s="1" t="str">
        <f>IFERROR(__xludf.DUMMYFUNCTION("JOIN(""|"",SORT(TRANSPOSE(SPLIT(A43,""|""))))
"),"Salinity")</f>
        <v>Salinity</v>
      </c>
    </row>
    <row r="44">
      <c r="A44" s="6" t="s">
        <v>276</v>
      </c>
      <c r="B44" s="1" t="str">
        <f>IFERROR(__xludf.DUMMYFUNCTION("JOIN(""|"",SORT(TRANSPOSE(SPLIT(A44,""|""))))
"),"Sedimentation")</f>
        <v>Sedimentation</v>
      </c>
    </row>
    <row r="45">
      <c r="A45" s="33" t="s">
        <v>1533</v>
      </c>
      <c r="B45" s="1" t="str">
        <f>IFERROR(__xludf.DUMMYFUNCTION("JOIN(""|"",SORT(TRANSPOSE(SPLIT(A45,""|""))))
"),"Salinity")</f>
        <v>Salinity</v>
      </c>
    </row>
    <row r="46">
      <c r="A46" s="6" t="s">
        <v>2304</v>
      </c>
      <c r="B46" s="1" t="str">
        <f>IFERROR(__xludf.DUMMYFUNCTION("JOIN(""|"",SORT(TRANSPOSE(SPLIT(A46,""|""))))
"),"Climate|Water Level")</f>
        <v>Climate|Water Level</v>
      </c>
    </row>
    <row r="47">
      <c r="A47" s="33" t="s">
        <v>823</v>
      </c>
      <c r="B47" s="1" t="str">
        <f>IFERROR(__xludf.DUMMYFUNCTION("JOIN(""|"",SORT(TRANSPOSE(SPLIT(A47,""|""))))
"),"Vegetation")</f>
        <v>Vegetation</v>
      </c>
    </row>
    <row r="48">
      <c r="A48" s="33" t="s">
        <v>823</v>
      </c>
      <c r="B48" s="1" t="str">
        <f>IFERROR(__xludf.DUMMYFUNCTION("JOIN(""|"",SORT(TRANSPOSE(SPLIT(A48,""|""))))
"),"Vegetation")</f>
        <v>Vegetation</v>
      </c>
    </row>
    <row r="49">
      <c r="A49" s="6" t="s">
        <v>1287</v>
      </c>
      <c r="B49" s="1" t="str">
        <f>IFERROR(__xludf.DUMMYFUNCTION("JOIN(""|"",SORT(TRANSPOSE(SPLIT(A49,""|""))))
"),"Vegetation ")</f>
        <v>Vegetation </v>
      </c>
    </row>
    <row r="50">
      <c r="A50" s="33" t="s">
        <v>2305</v>
      </c>
      <c r="B50" s="1" t="str">
        <f>IFERROR(__xludf.DUMMYFUNCTION("JOIN(""|"",SORT(TRANSPOSE(SPLIT(A50,""|""))))
"),"Climate|Precipitation")</f>
        <v>Climate|Precipitation</v>
      </c>
    </row>
    <row r="51">
      <c r="A51" s="33" t="s">
        <v>2305</v>
      </c>
      <c r="B51" s="1" t="str">
        <f>IFERROR(__xludf.DUMMYFUNCTION("JOIN(""|"",SORT(TRANSPOSE(SPLIT(A51,""|""))))
"),"Climate|Precipitation")</f>
        <v>Climate|Precipitation</v>
      </c>
    </row>
    <row r="52">
      <c r="A52" s="33" t="s">
        <v>2305</v>
      </c>
      <c r="B52" s="1" t="str">
        <f>IFERROR(__xludf.DUMMYFUNCTION("JOIN(""|"",SORT(TRANSPOSE(SPLIT(A52,""|""))))
"),"Climate|Precipitation")</f>
        <v>Climate|Precipitation</v>
      </c>
    </row>
    <row r="53">
      <c r="A53" s="33" t="s">
        <v>2306</v>
      </c>
      <c r="B53" s="1" t="str">
        <f>IFERROR(__xludf.DUMMYFUNCTION("JOIN(""|"",SORT(TRANSPOSE(SPLIT(A53,""|""))))
"),"Temperature|Vegetation")</f>
        <v>Temperature|Vegetation</v>
      </c>
    </row>
    <row r="54">
      <c r="A54" s="33" t="s">
        <v>116</v>
      </c>
      <c r="B54" s="1" t="str">
        <f>IFERROR(__xludf.DUMMYFUNCTION("JOIN(""|"",SORT(TRANSPOSE(SPLIT(A54,""|""))))
"),"Land Use Change")</f>
        <v>Land Use Change</v>
      </c>
    </row>
    <row r="55">
      <c r="A55" s="33" t="s">
        <v>2307</v>
      </c>
      <c r="B55" s="1" t="str">
        <f>IFERROR(__xludf.DUMMYFUNCTION("JOIN(""|"",SORT(TRANSPOSE(SPLIT(A55,""|""))))
"),"Climate|Precipitation")</f>
        <v>Climate|Precipitation</v>
      </c>
    </row>
    <row r="56">
      <c r="A56" s="33" t="s">
        <v>2307</v>
      </c>
      <c r="B56" s="1" t="str">
        <f>IFERROR(__xludf.DUMMYFUNCTION("JOIN(""|"",SORT(TRANSPOSE(SPLIT(A56,""|""))))
"),"Climate|Precipitation")</f>
        <v>Climate|Precipitation</v>
      </c>
    </row>
    <row r="57">
      <c r="A57" s="33" t="s">
        <v>2307</v>
      </c>
      <c r="B57" s="1" t="str">
        <f>IFERROR(__xludf.DUMMYFUNCTION("JOIN(""|"",SORT(TRANSPOSE(SPLIT(A57,""|""))))
"),"Climate|Precipitation")</f>
        <v>Climate|Precipitation</v>
      </c>
    </row>
    <row r="58">
      <c r="A58" s="6" t="s">
        <v>116</v>
      </c>
      <c r="B58" s="1" t="str">
        <f>IFERROR(__xludf.DUMMYFUNCTION("JOIN(""|"",SORT(TRANSPOSE(SPLIT(A58,""|""))))
"),"Land Use Change")</f>
        <v>Land Use Change</v>
      </c>
    </row>
    <row r="59">
      <c r="A59" s="33" t="s">
        <v>823</v>
      </c>
      <c r="B59" s="1" t="str">
        <f>IFERROR(__xludf.DUMMYFUNCTION("JOIN(""|"",SORT(TRANSPOSE(SPLIT(A59,""|""))))
"),"Vegetation")</f>
        <v>Vegetation</v>
      </c>
    </row>
    <row r="60">
      <c r="A60" s="33" t="s">
        <v>2308</v>
      </c>
      <c r="B60" s="1" t="str">
        <f>IFERROR(__xludf.DUMMYFUNCTION("JOIN(""|"",SORT(TRANSPOSE(SPLIT(A60,""|""))))
"),"Climate|Land Use Change")</f>
        <v>Climate|Land Use Change</v>
      </c>
    </row>
    <row r="61">
      <c r="A61" s="6" t="s">
        <v>1287</v>
      </c>
      <c r="B61" s="1" t="str">
        <f>IFERROR(__xludf.DUMMYFUNCTION("JOIN(""|"",SORT(TRANSPOSE(SPLIT(A61,""|""))))
"),"Vegetation ")</f>
        <v>Vegetation </v>
      </c>
    </row>
    <row r="62">
      <c r="A62" s="6" t="s">
        <v>1287</v>
      </c>
      <c r="B62" s="1" t="str">
        <f>IFERROR(__xludf.DUMMYFUNCTION("JOIN(""|"",SORT(TRANSPOSE(SPLIT(A62,""|""))))
"),"Vegetation ")</f>
        <v>Vegetation </v>
      </c>
    </row>
    <row r="63">
      <c r="A63" s="33" t="s">
        <v>2308</v>
      </c>
      <c r="B63" s="1" t="str">
        <f>IFERROR(__xludf.DUMMYFUNCTION("JOIN(""|"",SORT(TRANSPOSE(SPLIT(A63,""|""))))
"),"Climate|Land Use Change")</f>
        <v>Climate|Land Use Change</v>
      </c>
    </row>
    <row r="64">
      <c r="A64" s="33" t="s">
        <v>2308</v>
      </c>
      <c r="B64" s="1" t="str">
        <f>IFERROR(__xludf.DUMMYFUNCTION("JOIN(""|"",SORT(TRANSPOSE(SPLIT(A64,""|""))))
"),"Climate|Land Use Change")</f>
        <v>Climate|Land Use Change</v>
      </c>
    </row>
    <row r="65">
      <c r="A65" s="33" t="s">
        <v>156</v>
      </c>
      <c r="B65" s="1" t="str">
        <f>IFERROR(__xludf.DUMMYFUNCTION("JOIN(""|"",SORT(TRANSPOSE(SPLIT(A65,""|""))))
"),"Fire")</f>
        <v>Fire</v>
      </c>
    </row>
    <row r="66">
      <c r="A66" s="33" t="s">
        <v>823</v>
      </c>
      <c r="B66" s="1" t="str">
        <f>IFERROR(__xludf.DUMMYFUNCTION("JOIN(""|"",SORT(TRANSPOSE(SPLIT(A66,""|""))))
"),"Vegetation")</f>
        <v>Vegetation</v>
      </c>
    </row>
    <row r="67">
      <c r="A67" s="33" t="s">
        <v>823</v>
      </c>
      <c r="B67" s="1" t="str">
        <f>IFERROR(__xludf.DUMMYFUNCTION("JOIN(""|"",SORT(TRANSPOSE(SPLIT(A67,""|""))))
"),"Vegetation")</f>
        <v>Vegetation</v>
      </c>
    </row>
    <row r="68">
      <c r="A68" s="6" t="s">
        <v>72</v>
      </c>
      <c r="B68" s="1" t="str">
        <f>IFERROR(__xludf.DUMMYFUNCTION("JOIN(""|"",SORT(TRANSPOSE(SPLIT(A68,""|""))))
"),"Not Reported")</f>
        <v>Not Reported</v>
      </c>
    </row>
    <row r="69">
      <c r="A69" s="6" t="s">
        <v>72</v>
      </c>
      <c r="B69" s="1" t="str">
        <f>IFERROR(__xludf.DUMMYFUNCTION("JOIN(""|"",SORT(TRANSPOSE(SPLIT(A69,""|""))))
"),"Not Reported")</f>
        <v>Not Reported</v>
      </c>
    </row>
    <row r="70">
      <c r="A70" s="6" t="s">
        <v>115</v>
      </c>
      <c r="B70" s="1" t="str">
        <f>IFERROR(__xludf.DUMMYFUNCTION("JOIN(""|"",SORT(TRANSPOSE(SPLIT(A70,""|""))))
"),"Agriculture")</f>
        <v>Agriculture</v>
      </c>
    </row>
    <row r="71">
      <c r="A71" s="6" t="s">
        <v>115</v>
      </c>
      <c r="B71" s="1" t="str">
        <f>IFERROR(__xludf.DUMMYFUNCTION("JOIN(""|"",SORT(TRANSPOSE(SPLIT(A71,""|""))))
"),"Agriculture")</f>
        <v>Agriculture</v>
      </c>
    </row>
    <row r="72">
      <c r="A72" s="6" t="s">
        <v>115</v>
      </c>
      <c r="B72" s="1" t="str">
        <f>IFERROR(__xludf.DUMMYFUNCTION("JOIN(""|"",SORT(TRANSPOSE(SPLIT(A72,""|""))))
"),"Agriculture")</f>
        <v>Agriculture</v>
      </c>
    </row>
    <row r="73">
      <c r="A73" s="6" t="s">
        <v>115</v>
      </c>
      <c r="B73" s="1" t="str">
        <f>IFERROR(__xludf.DUMMYFUNCTION("JOIN(""|"",SORT(TRANSPOSE(SPLIT(A73,""|""))))
"),"Agriculture")</f>
        <v>Agriculture</v>
      </c>
    </row>
    <row r="74">
      <c r="A74" s="33" t="s">
        <v>156</v>
      </c>
      <c r="B74" s="1" t="str">
        <f>IFERROR(__xludf.DUMMYFUNCTION("JOIN(""|"",SORT(TRANSPOSE(SPLIT(A74,""|""))))
"),"Fire")</f>
        <v>Fire</v>
      </c>
    </row>
    <row r="75">
      <c r="A75" s="6" t="s">
        <v>1287</v>
      </c>
      <c r="B75" s="1" t="str">
        <f>IFERROR(__xludf.DUMMYFUNCTION("JOIN(""|"",SORT(TRANSPOSE(SPLIT(A75,""|""))))
"),"Vegetation ")</f>
        <v>Vegetation </v>
      </c>
    </row>
    <row r="76">
      <c r="A76" s="6" t="s">
        <v>173</v>
      </c>
      <c r="B76" s="1" t="str">
        <f>IFERROR(__xludf.DUMMYFUNCTION("JOIN(""|"",SORT(TRANSPOSE(SPLIT(A76,""|""))))
"),"Catchment Erosion")</f>
        <v>Catchment Erosion</v>
      </c>
    </row>
    <row r="77">
      <c r="A77" s="6" t="s">
        <v>454</v>
      </c>
      <c r="B77" s="1" t="str">
        <f>IFERROR(__xludf.DUMMYFUNCTION("JOIN(""|"",SORT(TRANSPOSE(SPLIT(A77,""|""))))
"),"Productivity")</f>
        <v>Productivity</v>
      </c>
    </row>
    <row r="78">
      <c r="A78" s="33" t="s">
        <v>1557</v>
      </c>
      <c r="B78" s="1" t="str">
        <f>IFERROR(__xludf.DUMMYFUNCTION("JOIN(""|"",SORT(TRANSPOSE(SPLIT(A78,""|""))))
"),"Precipitation")</f>
        <v>Precipitation</v>
      </c>
    </row>
    <row r="79">
      <c r="A79" s="6" t="s">
        <v>150</v>
      </c>
      <c r="B79" s="1" t="str">
        <f>IFERROR(__xludf.DUMMYFUNCTION("JOIN(""|"",SORT(TRANSPOSE(SPLIT(A79,""|""))))
"),"Water Level")</f>
        <v>Water Level</v>
      </c>
    </row>
    <row r="80">
      <c r="A80" s="6" t="s">
        <v>173</v>
      </c>
      <c r="B80" s="1" t="str">
        <f>IFERROR(__xludf.DUMMYFUNCTION("JOIN(""|"",SORT(TRANSPOSE(SPLIT(A80,""|""))))
"),"Catchment Erosion")</f>
        <v>Catchment Erosion</v>
      </c>
    </row>
    <row r="81">
      <c r="A81" s="33" t="s">
        <v>823</v>
      </c>
      <c r="B81" s="1" t="str">
        <f>IFERROR(__xludf.DUMMYFUNCTION("JOIN(""|"",SORT(TRANSPOSE(SPLIT(A81,""|""))))
"),"Vegetation")</f>
        <v>Vegetation</v>
      </c>
    </row>
    <row r="82">
      <c r="A82" s="33" t="s">
        <v>823</v>
      </c>
      <c r="B82" s="1" t="str">
        <f>IFERROR(__xludf.DUMMYFUNCTION("JOIN(""|"",SORT(TRANSPOSE(SPLIT(A82,""|""))))
"),"Vegetation")</f>
        <v>Vegetation</v>
      </c>
    </row>
    <row r="83">
      <c r="A83" s="33" t="s">
        <v>823</v>
      </c>
      <c r="B83" s="1" t="str">
        <f>IFERROR(__xludf.DUMMYFUNCTION("JOIN(""|"",SORT(TRANSPOSE(SPLIT(A83,""|""))))
"),"Vegetation")</f>
        <v>Vegetation</v>
      </c>
    </row>
    <row r="84">
      <c r="A84" s="6" t="s">
        <v>1287</v>
      </c>
      <c r="B84" s="1" t="str">
        <f>IFERROR(__xludf.DUMMYFUNCTION("JOIN(""|"",SORT(TRANSPOSE(SPLIT(A84,""|""))))
"),"Vegetation ")</f>
        <v>Vegetation </v>
      </c>
    </row>
    <row r="85">
      <c r="A85" s="6" t="s">
        <v>150</v>
      </c>
      <c r="B85" s="1" t="str">
        <f>IFERROR(__xludf.DUMMYFUNCTION("JOIN(""|"",SORT(TRANSPOSE(SPLIT(A85,""|""))))
"),"Water Level")</f>
        <v>Water Level</v>
      </c>
    </row>
    <row r="86">
      <c r="A86" s="6" t="s">
        <v>173</v>
      </c>
      <c r="B86" s="1" t="str">
        <f>IFERROR(__xludf.DUMMYFUNCTION("JOIN(""|"",SORT(TRANSPOSE(SPLIT(A86,""|""))))
"),"Catchment Erosion")</f>
        <v>Catchment Erosion</v>
      </c>
    </row>
    <row r="87">
      <c r="A87" s="6" t="s">
        <v>173</v>
      </c>
      <c r="B87" s="1" t="str">
        <f>IFERROR(__xludf.DUMMYFUNCTION("JOIN(""|"",SORT(TRANSPOSE(SPLIT(A87,""|""))))
"),"Catchment Erosion")</f>
        <v>Catchment Erosion</v>
      </c>
    </row>
    <row r="88">
      <c r="A88" s="33" t="s">
        <v>823</v>
      </c>
      <c r="B88" s="1" t="str">
        <f>IFERROR(__xludf.DUMMYFUNCTION("JOIN(""|"",SORT(TRANSPOSE(SPLIT(A88,""|""))))
"),"Vegetation")</f>
        <v>Vegetation</v>
      </c>
    </row>
    <row r="89">
      <c r="A89" s="33" t="s">
        <v>2305</v>
      </c>
      <c r="B89" s="1" t="str">
        <f>IFERROR(__xludf.DUMMYFUNCTION("JOIN(""|"",SORT(TRANSPOSE(SPLIT(A89,""|""))))
"),"Climate|Precipitation")</f>
        <v>Climate|Precipitation</v>
      </c>
    </row>
    <row r="90">
      <c r="A90" s="33" t="s">
        <v>2305</v>
      </c>
      <c r="B90" s="1" t="str">
        <f>IFERROR(__xludf.DUMMYFUNCTION("JOIN(""|"",SORT(TRANSPOSE(SPLIT(A90,""|""))))
"),"Climate|Precipitation")</f>
        <v>Climate|Precipitation</v>
      </c>
    </row>
    <row r="91">
      <c r="A91" s="33" t="s">
        <v>2305</v>
      </c>
      <c r="B91" s="1" t="str">
        <f>IFERROR(__xludf.DUMMYFUNCTION("JOIN(""|"",SORT(TRANSPOSE(SPLIT(A91,""|""))))
"),"Climate|Precipitation")</f>
        <v>Climate|Precipitation</v>
      </c>
    </row>
    <row r="92">
      <c r="A92" s="6" t="s">
        <v>173</v>
      </c>
      <c r="B92" s="1" t="str">
        <f>IFERROR(__xludf.DUMMYFUNCTION("JOIN(""|"",SORT(TRANSPOSE(SPLIT(A92,""|""))))
"),"Catchment Erosion")</f>
        <v>Catchment Erosion</v>
      </c>
    </row>
    <row r="93">
      <c r="A93" s="33" t="s">
        <v>823</v>
      </c>
      <c r="B93" s="1" t="str">
        <f>IFERROR(__xludf.DUMMYFUNCTION("JOIN(""|"",SORT(TRANSPOSE(SPLIT(A93,""|""))))
"),"Vegetation")</f>
        <v>Vegetation</v>
      </c>
    </row>
    <row r="94">
      <c r="A94" s="33" t="s">
        <v>823</v>
      </c>
      <c r="B94" s="1" t="str">
        <f>IFERROR(__xludf.DUMMYFUNCTION("JOIN(""|"",SORT(TRANSPOSE(SPLIT(A94,""|""))))
"),"Vegetation")</f>
        <v>Vegetation</v>
      </c>
    </row>
    <row r="95">
      <c r="A95" s="33" t="s">
        <v>823</v>
      </c>
      <c r="B95" s="1" t="str">
        <f>IFERROR(__xludf.DUMMYFUNCTION("JOIN(""|"",SORT(TRANSPOSE(SPLIT(A95,""|""))))
"),"Vegetation")</f>
        <v>Vegetation</v>
      </c>
    </row>
    <row r="96">
      <c r="A96" s="33" t="s">
        <v>823</v>
      </c>
      <c r="B96" s="1" t="str">
        <f>IFERROR(__xludf.DUMMYFUNCTION("JOIN(""|"",SORT(TRANSPOSE(SPLIT(A96,""|""))))
"),"Vegetation")</f>
        <v>Vegetation</v>
      </c>
    </row>
    <row r="97">
      <c r="A97" s="33" t="s">
        <v>573</v>
      </c>
      <c r="B97" s="1" t="str">
        <f>IFERROR(__xludf.DUMMYFUNCTION("JOIN(""|"",SORT(TRANSPOSE(SPLIT(A97,""|""))))
"),"Bioturbation")</f>
        <v>Bioturbation</v>
      </c>
    </row>
    <row r="98">
      <c r="A98" s="33" t="s">
        <v>573</v>
      </c>
      <c r="B98" s="1" t="str">
        <f>IFERROR(__xludf.DUMMYFUNCTION("JOIN(""|"",SORT(TRANSPOSE(SPLIT(A98,""|""))))
"),"Bioturbation")</f>
        <v>Bioturbation</v>
      </c>
    </row>
    <row r="99">
      <c r="A99" s="33" t="s">
        <v>573</v>
      </c>
      <c r="B99" s="1" t="str">
        <f>IFERROR(__xludf.DUMMYFUNCTION("JOIN(""|"",SORT(TRANSPOSE(SPLIT(A99,""|""))))
"),"Bioturbation")</f>
        <v>Bioturbation</v>
      </c>
    </row>
    <row r="100">
      <c r="A100" s="33" t="s">
        <v>156</v>
      </c>
      <c r="B100" s="1" t="str">
        <f>IFERROR(__xludf.DUMMYFUNCTION("JOIN(""|"",SORT(TRANSPOSE(SPLIT(A100,""|""))))
"),"Fire")</f>
        <v>Fire</v>
      </c>
    </row>
    <row r="101">
      <c r="A101" s="6" t="s">
        <v>72</v>
      </c>
      <c r="B101" s="1" t="str">
        <f>IFERROR(__xludf.DUMMYFUNCTION("JOIN(""|"",SORT(TRANSPOSE(SPLIT(A101,""|""))))
"),"Not Reported")</f>
        <v>Not Reported</v>
      </c>
    </row>
    <row r="102">
      <c r="A102" s="6" t="s">
        <v>72</v>
      </c>
      <c r="B102" s="1" t="str">
        <f>IFERROR(__xludf.DUMMYFUNCTION("JOIN(""|"",SORT(TRANSPOSE(SPLIT(A102,""|""))))
"),"Not Reported")</f>
        <v>Not Reported</v>
      </c>
    </row>
    <row r="103">
      <c r="A103" s="6" t="s">
        <v>72</v>
      </c>
      <c r="B103" s="1" t="str">
        <f>IFERROR(__xludf.DUMMYFUNCTION("JOIN(""|"",SORT(TRANSPOSE(SPLIT(A103,""|""))))
"),"Not Reported")</f>
        <v>Not Reported</v>
      </c>
    </row>
    <row r="104">
      <c r="A104" s="6" t="s">
        <v>72</v>
      </c>
      <c r="B104" s="1" t="str">
        <f>IFERROR(__xludf.DUMMYFUNCTION("JOIN(""|"",SORT(TRANSPOSE(SPLIT(A104,""|""))))
"),"Not Reported")</f>
        <v>Not Reported</v>
      </c>
    </row>
    <row r="105">
      <c r="A105" s="33" t="s">
        <v>823</v>
      </c>
      <c r="B105" s="1" t="str">
        <f>IFERROR(__xludf.DUMMYFUNCTION("JOIN(""|"",SORT(TRANSPOSE(SPLIT(A105,""|""))))
"),"Vegetation")</f>
        <v>Vegetation</v>
      </c>
    </row>
    <row r="106">
      <c r="A106" s="33" t="s">
        <v>2309</v>
      </c>
      <c r="B106" s="1" t="str">
        <f>IFERROR(__xludf.DUMMYFUNCTION("JOIN(""|"",SORT(TRANSPOSE(SPLIT(A106,""|""))))
"),"Climate|Precipitation|Seasonality")</f>
        <v>Climate|Precipitation|Seasonality</v>
      </c>
    </row>
    <row r="107">
      <c r="A107" s="33" t="s">
        <v>2305</v>
      </c>
      <c r="B107" s="1" t="str">
        <f>IFERROR(__xludf.DUMMYFUNCTION("JOIN(""|"",SORT(TRANSPOSE(SPLIT(A107,""|""))))
"),"Climate|Precipitation")</f>
        <v>Climate|Precipitation</v>
      </c>
    </row>
    <row r="108">
      <c r="A108" s="33" t="s">
        <v>2305</v>
      </c>
      <c r="B108" s="1" t="str">
        <f>IFERROR(__xludf.DUMMYFUNCTION("JOIN(""|"",SORT(TRANSPOSE(SPLIT(A108,""|""))))
"),"Climate|Precipitation")</f>
        <v>Climate|Precipitation</v>
      </c>
    </row>
    <row r="109">
      <c r="A109" s="6" t="s">
        <v>1287</v>
      </c>
      <c r="B109" s="1" t="str">
        <f>IFERROR(__xludf.DUMMYFUNCTION("JOIN(""|"",SORT(TRANSPOSE(SPLIT(A109,""|""))))
"),"Vegetation ")</f>
        <v>Vegetation </v>
      </c>
    </row>
    <row r="110">
      <c r="A110" s="33" t="s">
        <v>173</v>
      </c>
      <c r="B110" s="1" t="str">
        <f>IFERROR(__xludf.DUMMYFUNCTION("JOIN(""|"",SORT(TRANSPOSE(SPLIT(A110,""|""))))
"),"Catchment Erosion")</f>
        <v>Catchment Erosion</v>
      </c>
    </row>
    <row r="111">
      <c r="A111" s="33" t="s">
        <v>823</v>
      </c>
      <c r="B111" s="1" t="str">
        <f>IFERROR(__xludf.DUMMYFUNCTION("JOIN(""|"",SORT(TRANSPOSE(SPLIT(A111,""|""))))
"),"Vegetation")</f>
        <v>Vegetation</v>
      </c>
    </row>
    <row r="112">
      <c r="A112" s="33" t="s">
        <v>173</v>
      </c>
      <c r="B112" s="1" t="str">
        <f>IFERROR(__xludf.DUMMYFUNCTION("JOIN(""|"",SORT(TRANSPOSE(SPLIT(A112,""|""))))
"),"Catchment Erosion")</f>
        <v>Catchment Erosion</v>
      </c>
    </row>
    <row r="113">
      <c r="A113" s="33" t="s">
        <v>173</v>
      </c>
      <c r="B113" s="1" t="str">
        <f>IFERROR(__xludf.DUMMYFUNCTION("JOIN(""|"",SORT(TRANSPOSE(SPLIT(A113,""|""))))
"),"Catchment Erosion")</f>
        <v>Catchment Erosion</v>
      </c>
    </row>
    <row r="114">
      <c r="A114" s="6" t="s">
        <v>276</v>
      </c>
      <c r="B114" s="1" t="str">
        <f>IFERROR(__xludf.DUMMYFUNCTION("JOIN(""|"",SORT(TRANSPOSE(SPLIT(A114,""|""))))
"),"Sedimentation")</f>
        <v>Sedimentation</v>
      </c>
    </row>
    <row r="115">
      <c r="A115" s="33" t="s">
        <v>173</v>
      </c>
      <c r="B115" s="1" t="str">
        <f>IFERROR(__xludf.DUMMYFUNCTION("JOIN(""|"",SORT(TRANSPOSE(SPLIT(A115,""|""))))
"),"Catchment Erosion")</f>
        <v>Catchment Erosion</v>
      </c>
    </row>
    <row r="116">
      <c r="A116" s="33" t="s">
        <v>156</v>
      </c>
      <c r="B116" s="1" t="str">
        <f>IFERROR(__xludf.DUMMYFUNCTION("JOIN(""|"",SORT(TRANSPOSE(SPLIT(A116,""|""))))
"),"Fire")</f>
        <v>Fire</v>
      </c>
    </row>
    <row r="117">
      <c r="A117" s="33" t="s">
        <v>156</v>
      </c>
      <c r="B117" s="1" t="str">
        <f>IFERROR(__xludf.DUMMYFUNCTION("JOIN(""|"",SORT(TRANSPOSE(SPLIT(A117,""|""))))
"),"Fire")</f>
        <v>Fire</v>
      </c>
    </row>
    <row r="118">
      <c r="A118" s="6" t="s">
        <v>1287</v>
      </c>
      <c r="B118" s="1" t="str">
        <f>IFERROR(__xludf.DUMMYFUNCTION("JOIN(""|"",SORT(TRANSPOSE(SPLIT(A118,""|""))))
"),"Vegetation ")</f>
        <v>Vegetation </v>
      </c>
    </row>
    <row r="119">
      <c r="A119" s="6" t="s">
        <v>1287</v>
      </c>
      <c r="B119" s="1" t="str">
        <f>IFERROR(__xludf.DUMMYFUNCTION("JOIN(""|"",SORT(TRANSPOSE(SPLIT(A119,""|""))))
"),"Vegetation ")</f>
        <v>Vegetation </v>
      </c>
    </row>
    <row r="120">
      <c r="A120" s="6" t="s">
        <v>276</v>
      </c>
      <c r="B120" s="1" t="str">
        <f>IFERROR(__xludf.DUMMYFUNCTION("JOIN(""|"",SORT(TRANSPOSE(SPLIT(A120,""|""))))
"),"Sedimentation")</f>
        <v>Sedimentation</v>
      </c>
    </row>
    <row r="121">
      <c r="A121" s="6" t="s">
        <v>276</v>
      </c>
      <c r="B121" s="1" t="str">
        <f>IFERROR(__xludf.DUMMYFUNCTION("JOIN(""|"",SORT(TRANSPOSE(SPLIT(A121,""|""))))
"),"Sedimentation")</f>
        <v>Sedimentation</v>
      </c>
    </row>
    <row r="122">
      <c r="A122" s="6" t="s">
        <v>276</v>
      </c>
      <c r="B122" s="1" t="str">
        <f>IFERROR(__xludf.DUMMYFUNCTION("JOIN(""|"",SORT(TRANSPOSE(SPLIT(A122,""|""))))
"),"Sedimentation")</f>
        <v>Sedimentation</v>
      </c>
    </row>
    <row r="123">
      <c r="A123" s="6" t="s">
        <v>276</v>
      </c>
      <c r="B123" s="1" t="str">
        <f>IFERROR(__xludf.DUMMYFUNCTION("JOIN(""|"",SORT(TRANSPOSE(SPLIT(A123,""|""))))
"),"Sedimentation")</f>
        <v>Sedimentation</v>
      </c>
    </row>
    <row r="124">
      <c r="A124" s="6" t="s">
        <v>276</v>
      </c>
      <c r="B124" s="1" t="str">
        <f>IFERROR(__xludf.DUMMYFUNCTION("JOIN(""|"",SORT(TRANSPOSE(SPLIT(A124,""|""))))
"),"Sedimentation")</f>
        <v>Sedimentation</v>
      </c>
    </row>
    <row r="125">
      <c r="A125" s="6" t="s">
        <v>276</v>
      </c>
      <c r="B125" s="1" t="str">
        <f>IFERROR(__xludf.DUMMYFUNCTION("JOIN(""|"",SORT(TRANSPOSE(SPLIT(A125,""|""))))
"),"Sedimentation")</f>
        <v>Sedimentation</v>
      </c>
    </row>
    <row r="126">
      <c r="A126" s="6" t="s">
        <v>2310</v>
      </c>
      <c r="B126" s="1" t="str">
        <f>IFERROR(__xludf.DUMMYFUNCTION("JOIN(""|"",SORT(TRANSPOSE(SPLIT(A126,""|""))))
"),"Salinity|Water Level")</f>
        <v>Salinity|Water Level</v>
      </c>
    </row>
    <row r="127">
      <c r="A127" s="6" t="s">
        <v>2310</v>
      </c>
      <c r="B127" s="1" t="str">
        <f>IFERROR(__xludf.DUMMYFUNCTION("JOIN(""|"",SORT(TRANSPOSE(SPLIT(A127,""|""))))
"),"Salinity|Water Level")</f>
        <v>Salinity|Water Level</v>
      </c>
    </row>
    <row r="128">
      <c r="A128" s="6" t="s">
        <v>2310</v>
      </c>
      <c r="B128" s="1" t="str">
        <f>IFERROR(__xludf.DUMMYFUNCTION("JOIN(""|"",SORT(TRANSPOSE(SPLIT(A128,""|""))))
"),"Salinity|Water Level")</f>
        <v>Salinity|Water Level</v>
      </c>
    </row>
    <row r="129">
      <c r="A129" s="6" t="s">
        <v>2310</v>
      </c>
      <c r="B129" s="1" t="str">
        <f>IFERROR(__xludf.DUMMYFUNCTION("JOIN(""|"",SORT(TRANSPOSE(SPLIT(A129,""|""))))
"),"Salinity|Water Level")</f>
        <v>Salinity|Water Level</v>
      </c>
    </row>
    <row r="130">
      <c r="A130" s="6" t="s">
        <v>2310</v>
      </c>
      <c r="B130" s="1" t="str">
        <f>IFERROR(__xludf.DUMMYFUNCTION("JOIN(""|"",SORT(TRANSPOSE(SPLIT(A130,""|""))))
"),"Salinity|Water Level")</f>
        <v>Salinity|Water Level</v>
      </c>
    </row>
    <row r="131">
      <c r="A131" s="6" t="s">
        <v>2310</v>
      </c>
      <c r="B131" s="1" t="str">
        <f>IFERROR(__xludf.DUMMYFUNCTION("JOIN(""|"",SORT(TRANSPOSE(SPLIT(A131,""|""))))
"),"Salinity|Water Level")</f>
        <v>Salinity|Water Level</v>
      </c>
    </row>
    <row r="132">
      <c r="A132" s="6" t="s">
        <v>276</v>
      </c>
      <c r="B132" s="1" t="str">
        <f>IFERROR(__xludf.DUMMYFUNCTION("JOIN(""|"",SORT(TRANSPOSE(SPLIT(A132,""|""))))
"),"Sedimentation")</f>
        <v>Sedimentation</v>
      </c>
    </row>
    <row r="133">
      <c r="A133" s="6" t="s">
        <v>276</v>
      </c>
      <c r="B133" s="1" t="str">
        <f>IFERROR(__xludf.DUMMYFUNCTION("JOIN(""|"",SORT(TRANSPOSE(SPLIT(A133,""|""))))
"),"Sedimentation")</f>
        <v>Sedimentation</v>
      </c>
    </row>
    <row r="134">
      <c r="A134" s="6" t="s">
        <v>276</v>
      </c>
      <c r="B134" s="1" t="str">
        <f>IFERROR(__xludf.DUMMYFUNCTION("JOIN(""|"",SORT(TRANSPOSE(SPLIT(A134,""|""))))
"),"Sedimentation")</f>
        <v>Sedimentation</v>
      </c>
    </row>
    <row r="135">
      <c r="A135" s="6" t="s">
        <v>276</v>
      </c>
      <c r="B135" s="1" t="str">
        <f>IFERROR(__xludf.DUMMYFUNCTION("JOIN(""|"",SORT(TRANSPOSE(SPLIT(A135,""|""))))
"),"Sedimentation")</f>
        <v>Sedimentation</v>
      </c>
    </row>
    <row r="136">
      <c r="A136" s="6" t="s">
        <v>276</v>
      </c>
      <c r="B136" s="1" t="str">
        <f>IFERROR(__xludf.DUMMYFUNCTION("JOIN(""|"",SORT(TRANSPOSE(SPLIT(A136,""|""))))
"),"Sedimentation")</f>
        <v>Sedimentation</v>
      </c>
    </row>
    <row r="137">
      <c r="A137" s="6" t="s">
        <v>276</v>
      </c>
      <c r="B137" s="1" t="str">
        <f>IFERROR(__xludf.DUMMYFUNCTION("JOIN(""|"",SORT(TRANSPOSE(SPLIT(A137,""|""))))
"),"Sedimentation")</f>
        <v>Sedimentation</v>
      </c>
    </row>
    <row r="138">
      <c r="A138" s="33" t="s">
        <v>1557</v>
      </c>
      <c r="B138" s="1" t="str">
        <f>IFERROR(__xludf.DUMMYFUNCTION("JOIN(""|"",SORT(TRANSPOSE(SPLIT(A138,""|""))))
"),"Precipitation")</f>
        <v>Precipitation</v>
      </c>
    </row>
    <row r="139">
      <c r="A139" s="33" t="s">
        <v>173</v>
      </c>
      <c r="B139" s="1" t="str">
        <f>IFERROR(__xludf.DUMMYFUNCTION("JOIN(""|"",SORT(TRANSPOSE(SPLIT(A139,""|""))))
"),"Catchment Erosion")</f>
        <v>Catchment Erosion</v>
      </c>
    </row>
    <row r="140">
      <c r="A140" s="33" t="s">
        <v>173</v>
      </c>
      <c r="B140" s="1" t="str">
        <f>IFERROR(__xludf.DUMMYFUNCTION("JOIN(""|"",SORT(TRANSPOSE(SPLIT(A140,""|""))))
"),"Catchment Erosion")</f>
        <v>Catchment Erosion</v>
      </c>
    </row>
    <row r="141">
      <c r="A141" s="33" t="s">
        <v>116</v>
      </c>
      <c r="B141" s="1" t="str">
        <f>IFERROR(__xludf.DUMMYFUNCTION("JOIN(""|"",SORT(TRANSPOSE(SPLIT(A141,""|""))))
"),"Land Use Change")</f>
        <v>Land Use Change</v>
      </c>
    </row>
    <row r="142">
      <c r="A142" s="33" t="s">
        <v>116</v>
      </c>
      <c r="B142" s="1" t="str">
        <f>IFERROR(__xludf.DUMMYFUNCTION("JOIN(""|"",SORT(TRANSPOSE(SPLIT(A142,""|""))))
"),"Land Use Change")</f>
        <v>Land Use Change</v>
      </c>
    </row>
    <row r="143">
      <c r="A143" s="33" t="s">
        <v>2305</v>
      </c>
      <c r="B143" s="1" t="str">
        <f>IFERROR(__xludf.DUMMYFUNCTION("JOIN(""|"",SORT(TRANSPOSE(SPLIT(A143,""|""))))
"),"Climate|Precipitation")</f>
        <v>Climate|Precipitation</v>
      </c>
    </row>
    <row r="144">
      <c r="A144" s="33" t="s">
        <v>2305</v>
      </c>
      <c r="B144" s="1" t="str">
        <f>IFERROR(__xludf.DUMMYFUNCTION("JOIN(""|"",SORT(TRANSPOSE(SPLIT(A144,""|""))))
"),"Climate|Precipitation")</f>
        <v>Climate|Precipitation</v>
      </c>
    </row>
    <row r="145">
      <c r="A145" s="33" t="s">
        <v>116</v>
      </c>
      <c r="B145" s="1" t="str">
        <f>IFERROR(__xludf.DUMMYFUNCTION("JOIN(""|"",SORT(TRANSPOSE(SPLIT(A145,""|""))))
"),"Land Use Change")</f>
        <v>Land Use Change</v>
      </c>
    </row>
    <row r="146">
      <c r="A146" s="33" t="s">
        <v>116</v>
      </c>
      <c r="B146" s="1" t="str">
        <f>IFERROR(__xludf.DUMMYFUNCTION("JOIN(""|"",SORT(TRANSPOSE(SPLIT(A146,""|""))))
"),"Land Use Change")</f>
        <v>Land Use Change</v>
      </c>
    </row>
    <row r="147">
      <c r="A147" s="33" t="s">
        <v>116</v>
      </c>
      <c r="B147" s="1" t="str">
        <f>IFERROR(__xludf.DUMMYFUNCTION("JOIN(""|"",SORT(TRANSPOSE(SPLIT(A147,""|""))))
"),"Land Use Change")</f>
        <v>Land Use Change</v>
      </c>
    </row>
    <row r="148">
      <c r="A148" s="33" t="s">
        <v>116</v>
      </c>
      <c r="B148" s="1" t="str">
        <f>IFERROR(__xludf.DUMMYFUNCTION("JOIN(""|"",SORT(TRANSPOSE(SPLIT(A148,""|""))))
"),"Land Use Change")</f>
        <v>Land Use Change</v>
      </c>
    </row>
    <row r="149">
      <c r="A149" s="33" t="s">
        <v>1287</v>
      </c>
      <c r="B149" s="1" t="str">
        <f>IFERROR(__xludf.DUMMYFUNCTION("JOIN(""|"",SORT(TRANSPOSE(SPLIT(A149,""|""))))
"),"Vegetation ")</f>
        <v>Vegetation </v>
      </c>
    </row>
    <row r="150">
      <c r="A150" s="33" t="s">
        <v>156</v>
      </c>
      <c r="B150" s="1" t="str">
        <f>IFERROR(__xludf.DUMMYFUNCTION("JOIN(""|"",SORT(TRANSPOSE(SPLIT(A150,""|""))))
"),"Fire")</f>
        <v>Fire</v>
      </c>
    </row>
    <row r="151">
      <c r="A151" s="33" t="s">
        <v>823</v>
      </c>
      <c r="B151" s="1" t="str">
        <f>IFERROR(__xludf.DUMMYFUNCTION("JOIN(""|"",SORT(TRANSPOSE(SPLIT(A151,""|""))))
"),"Vegetation")</f>
        <v>Vegetation</v>
      </c>
    </row>
    <row r="152">
      <c r="A152" s="33" t="s">
        <v>823</v>
      </c>
      <c r="B152" s="1" t="str">
        <f>IFERROR(__xludf.DUMMYFUNCTION("JOIN(""|"",SORT(TRANSPOSE(SPLIT(A152,""|""))))
"),"Vegetation")</f>
        <v>Vegetation</v>
      </c>
    </row>
    <row r="153">
      <c r="A153" s="33" t="s">
        <v>156</v>
      </c>
      <c r="B153" s="1" t="str">
        <f>IFERROR(__xludf.DUMMYFUNCTION("JOIN(""|"",SORT(TRANSPOSE(SPLIT(A153,""|""))))
"),"Fire")</f>
        <v>Fire</v>
      </c>
    </row>
    <row r="154">
      <c r="A154" s="33" t="s">
        <v>173</v>
      </c>
      <c r="B154" s="1" t="str">
        <f>IFERROR(__xludf.DUMMYFUNCTION("JOIN(""|"",SORT(TRANSPOSE(SPLIT(A154,""|""))))
"),"Catchment Erosion")</f>
        <v>Catchment Erosion</v>
      </c>
    </row>
    <row r="155">
      <c r="A155" s="33" t="s">
        <v>156</v>
      </c>
      <c r="B155" s="1" t="str">
        <f>IFERROR(__xludf.DUMMYFUNCTION("JOIN(""|"",SORT(TRANSPOSE(SPLIT(A155,""|""))))
"),"Fire")</f>
        <v>Fire</v>
      </c>
    </row>
    <row r="156">
      <c r="A156" s="33" t="s">
        <v>173</v>
      </c>
      <c r="B156" s="1" t="str">
        <f>IFERROR(__xludf.DUMMYFUNCTION("JOIN(""|"",SORT(TRANSPOSE(SPLIT(A156,""|""))))
"),"Catchment Erosion")</f>
        <v>Catchment Erosion</v>
      </c>
    </row>
    <row r="157">
      <c r="A157" s="6" t="s">
        <v>276</v>
      </c>
      <c r="B157" s="1" t="str">
        <f>IFERROR(__xludf.DUMMYFUNCTION("JOIN(""|"",SORT(TRANSPOSE(SPLIT(A157,""|""))))
"),"Sedimentation")</f>
        <v>Sedimentation</v>
      </c>
    </row>
    <row r="158">
      <c r="A158" s="33" t="s">
        <v>173</v>
      </c>
      <c r="B158" s="1" t="str">
        <f>IFERROR(__xludf.DUMMYFUNCTION("JOIN(""|"",SORT(TRANSPOSE(SPLIT(A158,""|""))))
"),"Catchment Erosion")</f>
        <v>Catchment Erosion</v>
      </c>
    </row>
    <row r="159">
      <c r="A159" s="33" t="s">
        <v>823</v>
      </c>
      <c r="B159" s="1" t="str">
        <f>IFERROR(__xludf.DUMMYFUNCTION("JOIN(""|"",SORT(TRANSPOSE(SPLIT(A159,""|""))))
"),"Vegetation")</f>
        <v>Vegetation</v>
      </c>
    </row>
    <row r="160">
      <c r="A160" s="33" t="s">
        <v>173</v>
      </c>
      <c r="B160" s="1" t="str">
        <f>IFERROR(__xludf.DUMMYFUNCTION("JOIN(""|"",SORT(TRANSPOSE(SPLIT(A160,""|""))))
"),"Catchment Erosion")</f>
        <v>Catchment Erosion</v>
      </c>
    </row>
    <row r="161">
      <c r="A161" s="6" t="s">
        <v>276</v>
      </c>
      <c r="B161" s="1" t="str">
        <f>IFERROR(__xludf.DUMMYFUNCTION("JOIN(""|"",SORT(TRANSPOSE(SPLIT(A161,""|""))))
"),"Sedimentation")</f>
        <v>Sedimentation</v>
      </c>
    </row>
    <row r="162">
      <c r="A162" s="33" t="s">
        <v>156</v>
      </c>
      <c r="B162" s="1" t="str">
        <f>IFERROR(__xludf.DUMMYFUNCTION("JOIN(""|"",SORT(TRANSPOSE(SPLIT(A162,""|""))))
"),"Fire")</f>
        <v>Fire</v>
      </c>
    </row>
    <row r="163">
      <c r="A163" s="33" t="s">
        <v>173</v>
      </c>
      <c r="B163" s="1" t="str">
        <f>IFERROR(__xludf.DUMMYFUNCTION("JOIN(""|"",SORT(TRANSPOSE(SPLIT(A163,""|""))))
"),"Catchment Erosion")</f>
        <v>Catchment Erosion</v>
      </c>
    </row>
    <row r="164">
      <c r="A164" s="33" t="s">
        <v>823</v>
      </c>
      <c r="B164" s="1" t="str">
        <f>IFERROR(__xludf.DUMMYFUNCTION("JOIN(""|"",SORT(TRANSPOSE(SPLIT(A164,""|""))))
"),"Vegetation")</f>
        <v>Vegetation</v>
      </c>
    </row>
    <row r="165">
      <c r="A165" s="33" t="s">
        <v>2305</v>
      </c>
      <c r="B165" s="1" t="str">
        <f>IFERROR(__xludf.DUMMYFUNCTION("JOIN(""|"",SORT(TRANSPOSE(SPLIT(A165,""|""))))
"),"Climate|Precipitation")</f>
        <v>Climate|Precipitation</v>
      </c>
    </row>
    <row r="166">
      <c r="A166" s="33" t="s">
        <v>2305</v>
      </c>
      <c r="B166" s="1" t="str">
        <f>IFERROR(__xludf.DUMMYFUNCTION("JOIN(""|"",SORT(TRANSPOSE(SPLIT(A166,""|""))))
"),"Climate|Precipitation")</f>
        <v>Climate|Precipitation</v>
      </c>
    </row>
    <row r="167">
      <c r="A167" s="6" t="s">
        <v>72</v>
      </c>
      <c r="B167" s="1" t="str">
        <f>IFERROR(__xludf.DUMMYFUNCTION("JOIN(""|"",SORT(TRANSPOSE(SPLIT(A167,""|""))))
"),"Not Reported")</f>
        <v>Not Reported</v>
      </c>
    </row>
    <row r="168">
      <c r="A168" s="6" t="s">
        <v>72</v>
      </c>
      <c r="B168" s="1" t="str">
        <f>IFERROR(__xludf.DUMMYFUNCTION("JOIN(""|"",SORT(TRANSPOSE(SPLIT(A168,""|""))))
"),"Not Reported")</f>
        <v>Not Reported</v>
      </c>
    </row>
    <row r="169">
      <c r="A169" s="33" t="s">
        <v>156</v>
      </c>
      <c r="B169" s="1" t="str">
        <f>IFERROR(__xludf.DUMMYFUNCTION("JOIN(""|"",SORT(TRANSPOSE(SPLIT(A169,""|""))))
"),"Fire")</f>
        <v>Fire</v>
      </c>
    </row>
    <row r="170">
      <c r="A170" s="33" t="s">
        <v>156</v>
      </c>
      <c r="B170" s="1" t="str">
        <f>IFERROR(__xludf.DUMMYFUNCTION("JOIN(""|"",SORT(TRANSPOSE(SPLIT(A170,""|""))))
"),"Fire")</f>
        <v>Fire</v>
      </c>
    </row>
    <row r="171">
      <c r="A171" s="33" t="s">
        <v>156</v>
      </c>
      <c r="B171" s="1" t="str">
        <f>IFERROR(__xludf.DUMMYFUNCTION("JOIN(""|"",SORT(TRANSPOSE(SPLIT(A171,""|""))))
"),"Fire")</f>
        <v>Fire</v>
      </c>
    </row>
    <row r="172">
      <c r="A172" s="33" t="s">
        <v>156</v>
      </c>
      <c r="B172" s="1" t="str">
        <f>IFERROR(__xludf.DUMMYFUNCTION("JOIN(""|"",SORT(TRANSPOSE(SPLIT(A172,""|""))))
"),"Fire")</f>
        <v>Fire</v>
      </c>
    </row>
    <row r="173">
      <c r="A173" s="6" t="s">
        <v>72</v>
      </c>
      <c r="B173" s="1" t="str">
        <f>IFERROR(__xludf.DUMMYFUNCTION("JOIN(""|"",SORT(TRANSPOSE(SPLIT(A173,""|""))))
"),"Not Reported")</f>
        <v>Not Reported</v>
      </c>
    </row>
    <row r="174">
      <c r="A174" s="33" t="s">
        <v>823</v>
      </c>
      <c r="B174" s="1" t="str">
        <f>IFERROR(__xludf.DUMMYFUNCTION("JOIN(""|"",SORT(TRANSPOSE(SPLIT(A174,""|""))))
"),"Vegetation")</f>
        <v>Vegetation</v>
      </c>
    </row>
    <row r="175">
      <c r="A175" s="6" t="s">
        <v>2311</v>
      </c>
      <c r="B175" s="1" t="str">
        <f>IFERROR(__xludf.DUMMYFUNCTION("JOIN(""|"",SORT(TRANSPOSE(SPLIT(A175,""|""))))
"),"Climate|Precipitation|Water Level")</f>
        <v>Climate|Precipitation|Water Level</v>
      </c>
    </row>
    <row r="176">
      <c r="A176" s="6" t="s">
        <v>72</v>
      </c>
      <c r="B176" s="1" t="str">
        <f>IFERROR(__xludf.DUMMYFUNCTION("JOIN(""|"",SORT(TRANSPOSE(SPLIT(A176,""|""))))
"),"Not Reported")</f>
        <v>Not Reported</v>
      </c>
    </row>
    <row r="177">
      <c r="A177" s="6" t="s">
        <v>72</v>
      </c>
      <c r="B177" s="1" t="str">
        <f>IFERROR(__xludf.DUMMYFUNCTION("JOIN(""|"",SORT(TRANSPOSE(SPLIT(A177,""|""))))
"),"Not Reported")</f>
        <v>Not Reported</v>
      </c>
    </row>
    <row r="178">
      <c r="A178" s="33" t="s">
        <v>2312</v>
      </c>
      <c r="B178" s="1" t="str">
        <f>IFERROR(__xludf.DUMMYFUNCTION("JOIN(""|"",SORT(TRANSPOSE(SPLIT(A178,""|""))))
"),"Climate|Vegetation")</f>
        <v>Climate|Vegetation</v>
      </c>
    </row>
    <row r="179">
      <c r="A179" s="6" t="s">
        <v>72</v>
      </c>
      <c r="B179" s="1" t="str">
        <f>IFERROR(__xludf.DUMMYFUNCTION("JOIN(""|"",SORT(TRANSPOSE(SPLIT(A179,""|""))))
"),"Not Reported")</f>
        <v>Not Reported</v>
      </c>
    </row>
    <row r="180">
      <c r="A180" s="6" t="s">
        <v>72</v>
      </c>
      <c r="B180" s="1" t="str">
        <f>IFERROR(__xludf.DUMMYFUNCTION("JOIN(""|"",SORT(TRANSPOSE(SPLIT(A180,""|""))))
"),"Not Reported")</f>
        <v>Not Reported</v>
      </c>
    </row>
    <row r="181">
      <c r="A181" s="6" t="s">
        <v>2311</v>
      </c>
      <c r="B181" s="1" t="str">
        <f>IFERROR(__xludf.DUMMYFUNCTION("JOIN(""|"",SORT(TRANSPOSE(SPLIT(A181,""|""))))
"),"Climate|Precipitation|Water Level")</f>
        <v>Climate|Precipitation|Water Level</v>
      </c>
    </row>
    <row r="182">
      <c r="A182" s="6" t="s">
        <v>2311</v>
      </c>
      <c r="B182" s="1" t="str">
        <f>IFERROR(__xludf.DUMMYFUNCTION("JOIN(""|"",SORT(TRANSPOSE(SPLIT(A182,""|""))))
"),"Climate|Precipitation|Water Level")</f>
        <v>Climate|Precipitation|Water Level</v>
      </c>
    </row>
    <row r="183">
      <c r="A183" s="6" t="s">
        <v>72</v>
      </c>
      <c r="B183" s="1" t="str">
        <f>IFERROR(__xludf.DUMMYFUNCTION("JOIN(""|"",SORT(TRANSPOSE(SPLIT(A183,""|""))))
"),"Not Reported")</f>
        <v>Not Reported</v>
      </c>
    </row>
    <row r="184">
      <c r="A184" s="6" t="s">
        <v>72</v>
      </c>
      <c r="B184" s="1" t="str">
        <f>IFERROR(__xludf.DUMMYFUNCTION("JOIN(""|"",SORT(TRANSPOSE(SPLIT(A184,""|""))))
"),"Not Reported")</f>
        <v>Not Reported</v>
      </c>
    </row>
    <row r="185">
      <c r="A185" s="6" t="s">
        <v>2311</v>
      </c>
      <c r="B185" s="1" t="str">
        <f>IFERROR(__xludf.DUMMYFUNCTION("JOIN(""|"",SORT(TRANSPOSE(SPLIT(A185,""|""))))
"),"Climate|Precipitation|Water Level")</f>
        <v>Climate|Precipitation|Water Level</v>
      </c>
    </row>
    <row r="186">
      <c r="A186" s="33" t="s">
        <v>2313</v>
      </c>
      <c r="B186" s="1" t="str">
        <f>IFERROR(__xludf.DUMMYFUNCTION("JOIN(""|"",SORT(TRANSPOSE(SPLIT(A186,""|""))))
"),"Climate|Ground Water|Precipitation")</f>
        <v>Climate|Ground Water|Precipitation</v>
      </c>
    </row>
    <row r="187">
      <c r="A187" s="33" t="s">
        <v>2313</v>
      </c>
      <c r="B187" s="1" t="str">
        <f>IFERROR(__xludf.DUMMYFUNCTION("JOIN(""|"",SORT(TRANSPOSE(SPLIT(A187,""|""))))
"),"Climate|Ground Water|Precipitation")</f>
        <v>Climate|Ground Water|Precipitation</v>
      </c>
    </row>
    <row r="188">
      <c r="A188" s="33" t="s">
        <v>2313</v>
      </c>
      <c r="B188" s="1" t="str">
        <f>IFERROR(__xludf.DUMMYFUNCTION("JOIN(""|"",SORT(TRANSPOSE(SPLIT(A188,""|""))))
"),"Climate|Ground Water|Precipitation")</f>
        <v>Climate|Ground Water|Precipitation</v>
      </c>
    </row>
    <row r="189">
      <c r="A189" s="33" t="s">
        <v>2307</v>
      </c>
      <c r="B189" s="1" t="str">
        <f>IFERROR(__xludf.DUMMYFUNCTION("JOIN(""|"",SORT(TRANSPOSE(SPLIT(A189,""|""))))
"),"Climate|Precipitation")</f>
        <v>Climate|Precipitation</v>
      </c>
    </row>
    <row r="190">
      <c r="A190" s="33" t="s">
        <v>2307</v>
      </c>
      <c r="B190" s="1" t="str">
        <f>IFERROR(__xludf.DUMMYFUNCTION("JOIN(""|"",SORT(TRANSPOSE(SPLIT(A190,""|""))))
"),"Climate|Precipitation")</f>
        <v>Climate|Precipitation</v>
      </c>
    </row>
    <row r="191">
      <c r="A191" s="6" t="s">
        <v>2311</v>
      </c>
      <c r="B191" s="1" t="str">
        <f>IFERROR(__xludf.DUMMYFUNCTION("JOIN(""|"",SORT(TRANSPOSE(SPLIT(A191,""|""))))
"),"Climate|Precipitation|Water Level")</f>
        <v>Climate|Precipitation|Water Level</v>
      </c>
    </row>
    <row r="192">
      <c r="A192" s="33" t="s">
        <v>156</v>
      </c>
      <c r="B192" s="1" t="str">
        <f>IFERROR(__xludf.DUMMYFUNCTION("JOIN(""|"",SORT(TRANSPOSE(SPLIT(A192,""|""))))
"),"Fire")</f>
        <v>Fire</v>
      </c>
    </row>
    <row r="193">
      <c r="A193" s="33" t="s">
        <v>156</v>
      </c>
      <c r="B193" s="1" t="str">
        <f>IFERROR(__xludf.DUMMYFUNCTION("JOIN(""|"",SORT(TRANSPOSE(SPLIT(A193,""|""))))
"),"Fire")</f>
        <v>Fire</v>
      </c>
    </row>
    <row r="194">
      <c r="A194" s="33" t="s">
        <v>156</v>
      </c>
      <c r="B194" s="1" t="str">
        <f>IFERROR(__xludf.DUMMYFUNCTION("JOIN(""|"",SORT(TRANSPOSE(SPLIT(A194,""|""))))
"),"Fire")</f>
        <v>Fire</v>
      </c>
    </row>
    <row r="195">
      <c r="A195" s="33" t="s">
        <v>156</v>
      </c>
      <c r="B195" s="1" t="str">
        <f>IFERROR(__xludf.DUMMYFUNCTION("JOIN(""|"",SORT(TRANSPOSE(SPLIT(A195,""|""))))
"),"Fire")</f>
        <v>Fire</v>
      </c>
    </row>
    <row r="196">
      <c r="A196" s="33" t="s">
        <v>156</v>
      </c>
      <c r="B196" s="1" t="str">
        <f>IFERROR(__xludf.DUMMYFUNCTION("JOIN(""|"",SORT(TRANSPOSE(SPLIT(A196,""|""))))
"),"Fire")</f>
        <v>Fire</v>
      </c>
    </row>
    <row r="197">
      <c r="A197" s="33" t="s">
        <v>156</v>
      </c>
      <c r="B197" s="1" t="str">
        <f>IFERROR(__xludf.DUMMYFUNCTION("JOIN(""|"",SORT(TRANSPOSE(SPLIT(A197,""|""))))
"),"Fire")</f>
        <v>Fire</v>
      </c>
    </row>
    <row r="198">
      <c r="A198" s="33" t="s">
        <v>2312</v>
      </c>
      <c r="B198" s="1" t="str">
        <f>IFERROR(__xludf.DUMMYFUNCTION("JOIN(""|"",SORT(TRANSPOSE(SPLIT(A198,""|""))))
"),"Climate|Vegetation")</f>
        <v>Climate|Vegetation</v>
      </c>
    </row>
    <row r="199">
      <c r="A199" s="33" t="s">
        <v>2312</v>
      </c>
      <c r="B199" s="1" t="str">
        <f>IFERROR(__xludf.DUMMYFUNCTION("JOIN(""|"",SORT(TRANSPOSE(SPLIT(A199,""|""))))
"),"Climate|Vegetation")</f>
        <v>Climate|Vegetation</v>
      </c>
    </row>
    <row r="200">
      <c r="A200" s="33" t="s">
        <v>2312</v>
      </c>
      <c r="B200" s="1" t="str">
        <f>IFERROR(__xludf.DUMMYFUNCTION("JOIN(""|"",SORT(TRANSPOSE(SPLIT(A200,""|""))))
"),"Climate|Vegetation")</f>
        <v>Climate|Vegetation</v>
      </c>
    </row>
    <row r="201">
      <c r="A201" s="33" t="s">
        <v>2312</v>
      </c>
      <c r="B201" s="1" t="str">
        <f>IFERROR(__xludf.DUMMYFUNCTION("JOIN(""|"",SORT(TRANSPOSE(SPLIT(A201,""|""))))
"),"Climate|Vegetation")</f>
        <v>Climate|Vegetation</v>
      </c>
    </row>
    <row r="202">
      <c r="A202" s="33" t="s">
        <v>2312</v>
      </c>
      <c r="B202" s="1" t="str">
        <f>IFERROR(__xludf.DUMMYFUNCTION("JOIN(""|"",SORT(TRANSPOSE(SPLIT(A202,""|""))))
"),"Climate|Vegetation")</f>
        <v>Climate|Vegetation</v>
      </c>
    </row>
    <row r="203">
      <c r="A203" s="33" t="s">
        <v>2312</v>
      </c>
      <c r="B203" s="1" t="str">
        <f>IFERROR(__xludf.DUMMYFUNCTION("JOIN(""|"",SORT(TRANSPOSE(SPLIT(A203,""|""))))
"),"Climate|Vegetation")</f>
        <v>Climate|Vegetation</v>
      </c>
    </row>
    <row r="204">
      <c r="A204" s="33" t="s">
        <v>2312</v>
      </c>
      <c r="B204" s="1" t="str">
        <f>IFERROR(__xludf.DUMMYFUNCTION("JOIN(""|"",SORT(TRANSPOSE(SPLIT(A204,""|""))))
"),"Climate|Vegetation")</f>
        <v>Climate|Vegetation</v>
      </c>
    </row>
    <row r="205">
      <c r="A205" s="33" t="s">
        <v>2312</v>
      </c>
      <c r="B205" s="1" t="str">
        <f>IFERROR(__xludf.DUMMYFUNCTION("JOIN(""|"",SORT(TRANSPOSE(SPLIT(A205,""|""))))
"),"Climate|Vegetation")</f>
        <v>Climate|Vegetation</v>
      </c>
    </row>
    <row r="206">
      <c r="A206" s="33" t="s">
        <v>2312</v>
      </c>
      <c r="B206" s="1" t="str">
        <f>IFERROR(__xludf.DUMMYFUNCTION("JOIN(""|"",SORT(TRANSPOSE(SPLIT(A206,""|""))))
"),"Climate|Vegetation")</f>
        <v>Climate|Vegetation</v>
      </c>
    </row>
    <row r="207">
      <c r="A207" s="33" t="s">
        <v>2312</v>
      </c>
      <c r="B207" s="1" t="str">
        <f>IFERROR(__xludf.DUMMYFUNCTION("JOIN(""|"",SORT(TRANSPOSE(SPLIT(A207,""|""))))
"),"Climate|Vegetation")</f>
        <v>Climate|Vegetation</v>
      </c>
    </row>
    <row r="208">
      <c r="A208" s="33" t="s">
        <v>2312</v>
      </c>
      <c r="B208" s="1" t="str">
        <f>IFERROR(__xludf.DUMMYFUNCTION("JOIN(""|"",SORT(TRANSPOSE(SPLIT(A208,""|""))))
"),"Climate|Vegetation")</f>
        <v>Climate|Vegetation</v>
      </c>
    </row>
    <row r="209">
      <c r="A209" s="33" t="s">
        <v>2312</v>
      </c>
      <c r="B209" s="1" t="str">
        <f>IFERROR(__xludf.DUMMYFUNCTION("JOIN(""|"",SORT(TRANSPOSE(SPLIT(A209,""|""))))
"),"Climate|Vegetation")</f>
        <v>Climate|Vegetation</v>
      </c>
    </row>
    <row r="210">
      <c r="A210" s="33" t="s">
        <v>1287</v>
      </c>
      <c r="B210" s="1" t="str">
        <f>IFERROR(__xludf.DUMMYFUNCTION("JOIN(""|"",SORT(TRANSPOSE(SPLIT(A210,""|""))))
"),"Vegetation ")</f>
        <v>Vegetation </v>
      </c>
    </row>
    <row r="211">
      <c r="A211" s="33" t="s">
        <v>2314</v>
      </c>
      <c r="B211" s="1" t="str">
        <f>IFERROR(__xludf.DUMMYFUNCTION("JOIN(""|"",SORT(TRANSPOSE(SPLIT(A211,""|""))))
"),"Land Use Change|Vegetation")</f>
        <v>Land Use Change|Vegetation</v>
      </c>
    </row>
    <row r="212">
      <c r="A212" s="6" t="s">
        <v>150</v>
      </c>
      <c r="B212" s="1" t="str">
        <f>IFERROR(__xludf.DUMMYFUNCTION("JOIN(""|"",SORT(TRANSPOSE(SPLIT(A212,""|""))))
"),"Water Level")</f>
        <v>Water Level</v>
      </c>
    </row>
    <row r="213">
      <c r="A213" s="33" t="s">
        <v>173</v>
      </c>
      <c r="B213" s="1" t="str">
        <f>IFERROR(__xludf.DUMMYFUNCTION("JOIN(""|"",SORT(TRANSPOSE(SPLIT(A213,""|""))))
"),"Catchment Erosion")</f>
        <v>Catchment Erosion</v>
      </c>
    </row>
    <row r="214">
      <c r="A214" s="6" t="s">
        <v>150</v>
      </c>
      <c r="B214" s="1" t="str">
        <f>IFERROR(__xludf.DUMMYFUNCTION("JOIN(""|"",SORT(TRANSPOSE(SPLIT(A214,""|""))))
"),"Water Level")</f>
        <v>Water Level</v>
      </c>
    </row>
    <row r="215">
      <c r="A215" s="33" t="s">
        <v>156</v>
      </c>
      <c r="B215" s="1" t="str">
        <f>IFERROR(__xludf.DUMMYFUNCTION("JOIN(""|"",SORT(TRANSPOSE(SPLIT(A215,""|""))))
"),"Fire")</f>
        <v>Fire</v>
      </c>
    </row>
    <row r="216">
      <c r="A216" s="33" t="s">
        <v>173</v>
      </c>
      <c r="B216" s="1" t="str">
        <f>IFERROR(__xludf.DUMMYFUNCTION("JOIN(""|"",SORT(TRANSPOSE(SPLIT(A216,""|""))))
"),"Catchment Erosion")</f>
        <v>Catchment Erosion</v>
      </c>
    </row>
    <row r="217">
      <c r="A217" s="6" t="s">
        <v>72</v>
      </c>
      <c r="B217" s="1" t="str">
        <f>IFERROR(__xludf.DUMMYFUNCTION("JOIN(""|"",SORT(TRANSPOSE(SPLIT(A217,""|""))))
"),"Not Reported")</f>
        <v>Not Reported</v>
      </c>
    </row>
    <row r="218">
      <c r="A218" s="6" t="s">
        <v>72</v>
      </c>
      <c r="B218" s="1" t="str">
        <f>IFERROR(__xludf.DUMMYFUNCTION("JOIN(""|"",SORT(TRANSPOSE(SPLIT(A218,""|""))))
"),"Not Reported")</f>
        <v>Not Reported</v>
      </c>
    </row>
    <row r="219">
      <c r="A219" s="33" t="s">
        <v>2314</v>
      </c>
      <c r="B219" s="1" t="str">
        <f>IFERROR(__xludf.DUMMYFUNCTION("JOIN(""|"",SORT(TRANSPOSE(SPLIT(A219,""|""))))
"),"Land Use Change|Vegetation")</f>
        <v>Land Use Change|Vegetation</v>
      </c>
    </row>
    <row r="220">
      <c r="A220" s="33" t="s">
        <v>2315</v>
      </c>
      <c r="B220" s="1" t="str">
        <f>IFERROR(__xludf.DUMMYFUNCTION("JOIN(""|"",SORT(TRANSPOSE(SPLIT(A220,""|""))))
"),"Climate|Precipitation|Tropical Cyclones")</f>
        <v>Climate|Precipitation|Tropical Cyclones</v>
      </c>
    </row>
    <row r="221">
      <c r="A221" s="33" t="s">
        <v>2315</v>
      </c>
      <c r="B221" s="1" t="str">
        <f>IFERROR(__xludf.DUMMYFUNCTION("JOIN(""|"",SORT(TRANSPOSE(SPLIT(A221,""|""))))
"),"Climate|Precipitation|Tropical Cyclones")</f>
        <v>Climate|Precipitation|Tropical Cyclones</v>
      </c>
    </row>
    <row r="222">
      <c r="A222" s="33" t="s">
        <v>2307</v>
      </c>
      <c r="B222" s="1" t="str">
        <f>IFERROR(__xludf.DUMMYFUNCTION("JOIN(""|"",SORT(TRANSPOSE(SPLIT(A222,""|""))))
"),"Climate|Precipitation")</f>
        <v>Climate|Precipitation</v>
      </c>
    </row>
    <row r="223">
      <c r="A223" s="33" t="s">
        <v>2307</v>
      </c>
      <c r="B223" s="1" t="str">
        <f>IFERROR(__xludf.DUMMYFUNCTION("JOIN(""|"",SORT(TRANSPOSE(SPLIT(A223,""|""))))
"),"Climate|Precipitation")</f>
        <v>Climate|Precipitation</v>
      </c>
    </row>
    <row r="224">
      <c r="A224" s="33" t="s">
        <v>2307</v>
      </c>
      <c r="B224" s="1" t="str">
        <f>IFERROR(__xludf.DUMMYFUNCTION("JOIN(""|"",SORT(TRANSPOSE(SPLIT(A224,""|""))))
"),"Climate|Precipitation")</f>
        <v>Climate|Precipitation</v>
      </c>
    </row>
    <row r="225">
      <c r="A225" s="33" t="s">
        <v>2307</v>
      </c>
      <c r="B225" s="1" t="str">
        <f>IFERROR(__xludf.DUMMYFUNCTION("JOIN(""|"",SORT(TRANSPOSE(SPLIT(A225,""|""))))
"),"Climate|Precipitation")</f>
        <v>Climate|Precipitation</v>
      </c>
    </row>
    <row r="226">
      <c r="A226" s="33" t="s">
        <v>2307</v>
      </c>
      <c r="B226" s="1" t="str">
        <f>IFERROR(__xludf.DUMMYFUNCTION("JOIN(""|"",SORT(TRANSPOSE(SPLIT(A226,""|""))))
"),"Climate|Precipitation")</f>
        <v>Climate|Precipitation</v>
      </c>
    </row>
    <row r="227">
      <c r="A227" s="33" t="s">
        <v>2307</v>
      </c>
      <c r="B227" s="1" t="str">
        <f>IFERROR(__xludf.DUMMYFUNCTION("JOIN(""|"",SORT(TRANSPOSE(SPLIT(A227,""|""))))
"),"Climate|Precipitation")</f>
        <v>Climate|Precipitation</v>
      </c>
    </row>
    <row r="228">
      <c r="A228" s="33" t="s">
        <v>2307</v>
      </c>
      <c r="B228" s="1" t="str">
        <f>IFERROR(__xludf.DUMMYFUNCTION("JOIN(""|"",SORT(TRANSPOSE(SPLIT(A228,""|""))))
"),"Climate|Precipitation")</f>
        <v>Climate|Precipitation</v>
      </c>
    </row>
    <row r="229">
      <c r="A229" s="33" t="s">
        <v>2307</v>
      </c>
      <c r="B229" s="1" t="str">
        <f>IFERROR(__xludf.DUMMYFUNCTION("JOIN(""|"",SORT(TRANSPOSE(SPLIT(A229,""|""))))
"),"Climate|Precipitation")</f>
        <v>Climate|Precipitation</v>
      </c>
    </row>
    <row r="230">
      <c r="A230" s="33" t="s">
        <v>823</v>
      </c>
      <c r="B230" s="1" t="str">
        <f>IFERROR(__xludf.DUMMYFUNCTION("JOIN(""|"",SORT(TRANSPOSE(SPLIT(A230,""|""))))
"),"Vegetation")</f>
        <v>Vegetation</v>
      </c>
    </row>
    <row r="231">
      <c r="A231" s="33" t="s">
        <v>823</v>
      </c>
      <c r="B231" s="1" t="str">
        <f>IFERROR(__xludf.DUMMYFUNCTION("JOIN(""|"",SORT(TRANSPOSE(SPLIT(A231,""|""))))
"),"Vegetation")</f>
        <v>Vegetation</v>
      </c>
    </row>
    <row r="232">
      <c r="A232" s="33" t="s">
        <v>823</v>
      </c>
      <c r="B232" s="1" t="str">
        <f>IFERROR(__xludf.DUMMYFUNCTION("JOIN(""|"",SORT(TRANSPOSE(SPLIT(A232,""|""))))
"),"Vegetation")</f>
        <v>Vegetation</v>
      </c>
    </row>
    <row r="233">
      <c r="A233" s="6" t="s">
        <v>173</v>
      </c>
      <c r="B233" s="1" t="str">
        <f>IFERROR(__xludf.DUMMYFUNCTION("JOIN(""|"",SORT(TRANSPOSE(SPLIT(A233,""|""))))
"),"Catchment Erosion")</f>
        <v>Catchment Erosion</v>
      </c>
    </row>
    <row r="234">
      <c r="A234" s="6" t="s">
        <v>173</v>
      </c>
      <c r="B234" s="1" t="str">
        <f>IFERROR(__xludf.DUMMYFUNCTION("JOIN(""|"",SORT(TRANSPOSE(SPLIT(A234,""|""))))
"),"Catchment Erosion")</f>
        <v>Catchment Erosion</v>
      </c>
    </row>
    <row r="235">
      <c r="A235" s="6" t="s">
        <v>173</v>
      </c>
      <c r="B235" s="1" t="str">
        <f>IFERROR(__xludf.DUMMYFUNCTION("JOIN(""|"",SORT(TRANSPOSE(SPLIT(A235,""|""))))
"),"Catchment Erosion")</f>
        <v>Catchment Erosion</v>
      </c>
    </row>
    <row r="236">
      <c r="A236" s="33" t="s">
        <v>823</v>
      </c>
      <c r="B236" s="1" t="str">
        <f>IFERROR(__xludf.DUMMYFUNCTION("JOIN(""|"",SORT(TRANSPOSE(SPLIT(A236,""|""))))
"),"Vegetation")</f>
        <v>Vegetation</v>
      </c>
    </row>
    <row r="237">
      <c r="A237" s="33" t="s">
        <v>156</v>
      </c>
      <c r="B237" s="1" t="str">
        <f>IFERROR(__xludf.DUMMYFUNCTION("JOIN(""|"",SORT(TRANSPOSE(SPLIT(A237,""|""))))
"),"Fire")</f>
        <v>Fire</v>
      </c>
    </row>
    <row r="238">
      <c r="A238" s="6" t="s">
        <v>72</v>
      </c>
      <c r="B238" s="1" t="str">
        <f>IFERROR(__xludf.DUMMYFUNCTION("JOIN(""|"",SORT(TRANSPOSE(SPLIT(A238,""|""))))
"),"Not Reported")</f>
        <v>Not Reported</v>
      </c>
    </row>
    <row r="239">
      <c r="A239" s="6" t="s">
        <v>454</v>
      </c>
      <c r="B239" s="1" t="str">
        <f>IFERROR(__xludf.DUMMYFUNCTION("JOIN(""|"",SORT(TRANSPOSE(SPLIT(A239,""|""))))
"),"Productivity")</f>
        <v>Productivity</v>
      </c>
    </row>
    <row r="240">
      <c r="A240" s="33" t="s">
        <v>2307</v>
      </c>
      <c r="B240" s="1" t="str">
        <f>IFERROR(__xludf.DUMMYFUNCTION("JOIN(""|"",SORT(TRANSPOSE(SPLIT(A240,""|""))))
"),"Climate|Precipitation")</f>
        <v>Climate|Precipitation</v>
      </c>
    </row>
    <row r="241">
      <c r="A241" s="33" t="s">
        <v>2307</v>
      </c>
      <c r="B241" s="1" t="str">
        <f>IFERROR(__xludf.DUMMYFUNCTION("JOIN(""|"",SORT(TRANSPOSE(SPLIT(A241,""|""))))
"),"Climate|Precipitation")</f>
        <v>Climate|Precipitation</v>
      </c>
    </row>
    <row r="242">
      <c r="A242" s="33" t="s">
        <v>2307</v>
      </c>
      <c r="B242" s="1" t="str">
        <f>IFERROR(__xludf.DUMMYFUNCTION("JOIN(""|"",SORT(TRANSPOSE(SPLIT(A242,""|""))))
"),"Climate|Precipitation")</f>
        <v>Climate|Precipitation</v>
      </c>
    </row>
    <row r="243">
      <c r="A243" s="33" t="s">
        <v>1287</v>
      </c>
      <c r="B243" s="1" t="str">
        <f>IFERROR(__xludf.DUMMYFUNCTION("JOIN(""|"",SORT(TRANSPOSE(SPLIT(A243,""|""))))
"),"Vegetation ")</f>
        <v>Vegetation </v>
      </c>
    </row>
    <row r="244">
      <c r="A244" s="33" t="s">
        <v>2316</v>
      </c>
      <c r="B244" s="1" t="str">
        <f>IFERROR(__xludf.DUMMYFUNCTION("JOIN(""|"",SORT(TRANSPOSE(SPLIT(A244,""|""))))
"),"Catchment Erosion|Climate")</f>
        <v>Catchment Erosion|Climate</v>
      </c>
    </row>
    <row r="245">
      <c r="A245" s="33" t="s">
        <v>2316</v>
      </c>
      <c r="B245" s="1" t="str">
        <f>IFERROR(__xludf.DUMMYFUNCTION("JOIN(""|"",SORT(TRANSPOSE(SPLIT(A245,""|""))))
"),"Catchment Erosion|Climate")</f>
        <v>Catchment Erosion|Climate</v>
      </c>
    </row>
    <row r="246">
      <c r="A246" s="33" t="s">
        <v>156</v>
      </c>
      <c r="B246" s="1" t="str">
        <f>IFERROR(__xludf.DUMMYFUNCTION("JOIN(""|"",SORT(TRANSPOSE(SPLIT(A246,""|""))))
"),"Fire")</f>
        <v>Fire</v>
      </c>
    </row>
    <row r="247">
      <c r="A247" s="33" t="s">
        <v>2317</v>
      </c>
      <c r="B247" s="1" t="str">
        <f>IFERROR(__xludf.DUMMYFUNCTION("JOIN(""|"",SORT(TRANSPOSE(SPLIT(A247,""|""))))
"),"Climate|Precipitation|Vegetation")</f>
        <v>Climate|Precipitation|Vegetation</v>
      </c>
    </row>
    <row r="248">
      <c r="A248" s="6" t="s">
        <v>72</v>
      </c>
      <c r="B248" s="1" t="str">
        <f>IFERROR(__xludf.DUMMYFUNCTION("JOIN(""|"",SORT(TRANSPOSE(SPLIT(A248,""|""))))
"),"Not Reported")</f>
        <v>Not Reported</v>
      </c>
    </row>
    <row r="249">
      <c r="A249" s="45" t="s">
        <v>2307</v>
      </c>
      <c r="B249" s="1" t="str">
        <f>IFERROR(__xludf.DUMMYFUNCTION("JOIN(""|"",SORT(TRANSPOSE(SPLIT(A249,""|""))))
"),"Climate|Precipitation")</f>
        <v>Climate|Precipitation</v>
      </c>
    </row>
    <row r="250">
      <c r="A250" s="45" t="s">
        <v>2307</v>
      </c>
      <c r="B250" s="1" t="str">
        <f>IFERROR(__xludf.DUMMYFUNCTION("JOIN(""|"",SORT(TRANSPOSE(SPLIT(A250,""|""))))
"),"Climate|Precipitation")</f>
        <v>Climate|Precipitation</v>
      </c>
    </row>
    <row r="251">
      <c r="A251" s="33" t="s">
        <v>2318</v>
      </c>
      <c r="B251" s="1" t="str">
        <f>IFERROR(__xludf.DUMMYFUNCTION("JOIN(""|"",SORT(TRANSPOSE(SPLIT(A251,""|""))))
"),"Flooding|Sea Level|Vegetation")</f>
        <v>Flooding|Sea Level|Vegetation</v>
      </c>
    </row>
    <row r="252">
      <c r="A252" s="55" t="s">
        <v>2319</v>
      </c>
      <c r="B252" s="1" t="str">
        <f>IFERROR(__xludf.DUMMYFUNCTION("JOIN(""|"",SORT(TRANSPOSE(SPLIT(A252,""|""))))
"),"Flooding|Sea Level")</f>
        <v>Flooding|Sea Level</v>
      </c>
    </row>
    <row r="253">
      <c r="A253" s="55" t="s">
        <v>2319</v>
      </c>
      <c r="B253" s="1" t="str">
        <f>IFERROR(__xludf.DUMMYFUNCTION("JOIN(""|"",SORT(TRANSPOSE(SPLIT(A253,""|""))))
"),"Flooding|Sea Level")</f>
        <v>Flooding|Sea Level</v>
      </c>
    </row>
    <row r="254">
      <c r="A254" s="55" t="s">
        <v>2319</v>
      </c>
      <c r="B254" s="1" t="str">
        <f>IFERROR(__xludf.DUMMYFUNCTION("JOIN(""|"",SORT(TRANSPOSE(SPLIT(A254,""|""))))
"),"Flooding|Sea Level")</f>
        <v>Flooding|Sea Level</v>
      </c>
    </row>
    <row r="255">
      <c r="A255" s="55" t="s">
        <v>2319</v>
      </c>
      <c r="B255" s="1" t="str">
        <f>IFERROR(__xludf.DUMMYFUNCTION("JOIN(""|"",SORT(TRANSPOSE(SPLIT(A255,""|""))))
"),"Flooding|Sea Level")</f>
        <v>Flooding|Sea Level</v>
      </c>
    </row>
    <row r="256">
      <c r="A256" s="55" t="s">
        <v>2319</v>
      </c>
      <c r="B256" s="1" t="str">
        <f>IFERROR(__xludf.DUMMYFUNCTION("JOIN(""|"",SORT(TRANSPOSE(SPLIT(A256,""|""))))
"),"Flooding|Sea Level")</f>
        <v>Flooding|Sea Level</v>
      </c>
    </row>
    <row r="257">
      <c r="A257" s="6" t="s">
        <v>72</v>
      </c>
      <c r="B257" s="1" t="str">
        <f>IFERROR(__xludf.DUMMYFUNCTION("JOIN(""|"",SORT(TRANSPOSE(SPLIT(A257,""|""))))
"),"Not Reported")</f>
        <v>Not Reported</v>
      </c>
    </row>
    <row r="258">
      <c r="A258" s="55" t="s">
        <v>2319</v>
      </c>
      <c r="B258" s="1" t="str">
        <f>IFERROR(__xludf.DUMMYFUNCTION("JOIN(""|"",SORT(TRANSPOSE(SPLIT(A258,""|""))))
"),"Flooding|Sea Level")</f>
        <v>Flooding|Sea Level</v>
      </c>
    </row>
    <row r="259">
      <c r="A259" s="55" t="s">
        <v>2319</v>
      </c>
      <c r="B259" s="1" t="str">
        <f>IFERROR(__xludf.DUMMYFUNCTION("JOIN(""|"",SORT(TRANSPOSE(SPLIT(A259,""|""))))
"),"Flooding|Sea Level")</f>
        <v>Flooding|Sea Level</v>
      </c>
    </row>
    <row r="260">
      <c r="A260" s="33" t="s">
        <v>2307</v>
      </c>
      <c r="B260" s="1" t="str">
        <f>IFERROR(__xludf.DUMMYFUNCTION("JOIN(""|"",SORT(TRANSPOSE(SPLIT(A260,""|""))))
"),"Climate|Precipitation")</f>
        <v>Climate|Precipitation</v>
      </c>
    </row>
    <row r="261">
      <c r="A261" s="33" t="s">
        <v>2307</v>
      </c>
      <c r="B261" s="1" t="str">
        <f>IFERROR(__xludf.DUMMYFUNCTION("JOIN(""|"",SORT(TRANSPOSE(SPLIT(A261,""|""))))
"),"Climate|Precipitation")</f>
        <v>Climate|Precipitation</v>
      </c>
    </row>
    <row r="262">
      <c r="A262" s="33" t="s">
        <v>2307</v>
      </c>
      <c r="B262" s="1" t="str">
        <f>IFERROR(__xludf.DUMMYFUNCTION("JOIN(""|"",SORT(TRANSPOSE(SPLIT(A262,""|""))))
"),"Climate|Precipitation")</f>
        <v>Climate|Precipitation</v>
      </c>
    </row>
    <row r="263">
      <c r="A263" s="33" t="s">
        <v>2307</v>
      </c>
      <c r="B263" s="1" t="str">
        <f>IFERROR(__xludf.DUMMYFUNCTION("JOIN(""|"",SORT(TRANSPOSE(SPLIT(A263,""|""))))
"),"Climate|Precipitation")</f>
        <v>Climate|Precipitation</v>
      </c>
    </row>
    <row r="264">
      <c r="B264" s="1" t="str">
        <f>IFERROR(__xludf.DUMMYFUNCTION("JOIN(""|"",SORT(TRANSPOSE(SPLIT(A264,""|""))))
"),"#VALUE!")</f>
        <v>#VALUE!</v>
      </c>
    </row>
    <row r="265">
      <c r="A265" s="33" t="s">
        <v>2307</v>
      </c>
      <c r="B265" s="1" t="str">
        <f>IFERROR(__xludf.DUMMYFUNCTION("JOIN(""|"",SORT(TRANSPOSE(SPLIT(A265,""|""))))
"),"Climate|Precipitation")</f>
        <v>Climate|Precipitation</v>
      </c>
    </row>
    <row r="266">
      <c r="A266" s="6" t="s">
        <v>467</v>
      </c>
      <c r="B266" s="1" t="str">
        <f>IFERROR(__xludf.DUMMYFUNCTION("JOIN(""|"",SORT(TRANSPOSE(SPLIT(A266,""|""))))
"),"Aquatic Vegetation")</f>
        <v>Aquatic Vegetation</v>
      </c>
    </row>
    <row r="267">
      <c r="A267" s="33" t="s">
        <v>2320</v>
      </c>
      <c r="B267" s="1" t="str">
        <f>IFERROR(__xludf.DUMMYFUNCTION("JOIN(""|"",SORT(TRANSPOSE(SPLIT(A267,""|""))))
"),"Hydrological System (Open vs Closed)|Salinity")</f>
        <v>Hydrological System (Open vs Closed)|Salinity</v>
      </c>
    </row>
    <row r="268">
      <c r="A268" s="6" t="s">
        <v>173</v>
      </c>
      <c r="B268" s="1" t="str">
        <f>IFERROR(__xludf.DUMMYFUNCTION("JOIN(""|"",SORT(TRANSPOSE(SPLIT(A268,""|""))))
"),"Catchment Erosion")</f>
        <v>Catchment Erosion</v>
      </c>
    </row>
    <row r="269">
      <c r="A269" s="6" t="s">
        <v>173</v>
      </c>
      <c r="B269" s="1" t="str">
        <f>IFERROR(__xludf.DUMMYFUNCTION("JOIN(""|"",SORT(TRANSPOSE(SPLIT(A269,""|""))))
"),"Catchment Erosion")</f>
        <v>Catchment Erosion</v>
      </c>
    </row>
    <row r="270">
      <c r="A270" s="6" t="s">
        <v>173</v>
      </c>
      <c r="B270" s="1" t="str">
        <f>IFERROR(__xludf.DUMMYFUNCTION("JOIN(""|"",SORT(TRANSPOSE(SPLIT(A270,""|""))))
"),"Catchment Erosion")</f>
        <v>Catchment Erosion</v>
      </c>
    </row>
    <row r="271">
      <c r="A271" s="6" t="s">
        <v>173</v>
      </c>
      <c r="B271" s="1" t="str">
        <f>IFERROR(__xludf.DUMMYFUNCTION("JOIN(""|"",SORT(TRANSPOSE(SPLIT(A271,""|""))))
"),"Catchment Erosion")</f>
        <v>Catchment Erosion</v>
      </c>
    </row>
    <row r="272">
      <c r="A272" s="6" t="s">
        <v>173</v>
      </c>
      <c r="B272" s="1" t="str">
        <f>IFERROR(__xludf.DUMMYFUNCTION("JOIN(""|"",SORT(TRANSPOSE(SPLIT(A272,""|""))))
"),"Catchment Erosion")</f>
        <v>Catchment Erosion</v>
      </c>
    </row>
    <row r="273">
      <c r="A273" s="6" t="s">
        <v>173</v>
      </c>
      <c r="B273" s="1" t="str">
        <f>IFERROR(__xludf.DUMMYFUNCTION("JOIN(""|"",SORT(TRANSPOSE(SPLIT(A273,""|""))))
"),"Catchment Erosion")</f>
        <v>Catchment Erosion</v>
      </c>
    </row>
    <row r="274">
      <c r="A274" s="33" t="s">
        <v>2307</v>
      </c>
      <c r="B274" s="1" t="str">
        <f>IFERROR(__xludf.DUMMYFUNCTION("JOIN(""|"",SORT(TRANSPOSE(SPLIT(A274,""|""))))
"),"Climate|Precipitation")</f>
        <v>Climate|Precipitation</v>
      </c>
    </row>
    <row r="275">
      <c r="A275" s="33" t="s">
        <v>2307</v>
      </c>
      <c r="B275" s="1" t="str">
        <f>IFERROR(__xludf.DUMMYFUNCTION("JOIN(""|"",SORT(TRANSPOSE(SPLIT(A275,""|""))))
"),"Climate|Precipitation")</f>
        <v>Climate|Precipitation</v>
      </c>
    </row>
    <row r="276">
      <c r="A276" s="33" t="s">
        <v>2307</v>
      </c>
      <c r="B276" s="1" t="str">
        <f>IFERROR(__xludf.DUMMYFUNCTION("JOIN(""|"",SORT(TRANSPOSE(SPLIT(A276,""|""))))
"),"Climate|Precipitation")</f>
        <v>Climate|Precipitation</v>
      </c>
    </row>
    <row r="277">
      <c r="A277" s="33" t="s">
        <v>2307</v>
      </c>
      <c r="B277" s="1" t="str">
        <f>IFERROR(__xludf.DUMMYFUNCTION("JOIN(""|"",SORT(TRANSPOSE(SPLIT(A277,""|""))))
"),"Climate|Precipitation")</f>
        <v>Climate|Precipitation</v>
      </c>
    </row>
    <row r="278">
      <c r="A278" s="55" t="s">
        <v>2319</v>
      </c>
      <c r="B278" s="1" t="str">
        <f>IFERROR(__xludf.DUMMYFUNCTION("JOIN(""|"",SORT(TRANSPOSE(SPLIT(A278,""|""))))
"),"Flooding|Sea Level")</f>
        <v>Flooding|Sea Level</v>
      </c>
    </row>
    <row r="279">
      <c r="A279" s="55" t="s">
        <v>2319</v>
      </c>
      <c r="B279" s="1" t="str">
        <f>IFERROR(__xludf.DUMMYFUNCTION("JOIN(""|"",SORT(TRANSPOSE(SPLIT(A279,""|""))))
"),"Flooding|Sea Level")</f>
        <v>Flooding|Sea Level</v>
      </c>
    </row>
    <row r="280">
      <c r="A280" s="55" t="s">
        <v>2319</v>
      </c>
      <c r="B280" s="1" t="str">
        <f>IFERROR(__xludf.DUMMYFUNCTION("JOIN(""|"",SORT(TRANSPOSE(SPLIT(A280,""|""))))
"),"Flooding|Sea Level")</f>
        <v>Flooding|Sea Level</v>
      </c>
    </row>
    <row r="281">
      <c r="A281" s="33" t="s">
        <v>2318</v>
      </c>
      <c r="B281" s="1" t="str">
        <f>IFERROR(__xludf.DUMMYFUNCTION("JOIN(""|"",SORT(TRANSPOSE(SPLIT(A281,""|""))))
"),"Flooding|Sea Level|Vegetation")</f>
        <v>Flooding|Sea Level|Vegetation</v>
      </c>
    </row>
    <row r="282">
      <c r="A282" s="6" t="s">
        <v>2321</v>
      </c>
      <c r="B282" s="1" t="str">
        <f>IFERROR(__xludf.DUMMYFUNCTION("JOIN(""|"",SORT(TRANSPOSE(SPLIT(A282,""|""))))
"),"Climate|Precipitation|Sea Level")</f>
        <v>Climate|Precipitation|Sea Level</v>
      </c>
    </row>
    <row r="283">
      <c r="A283" s="33" t="s">
        <v>2066</v>
      </c>
      <c r="B283" s="1" t="str">
        <f>IFERROR(__xludf.DUMMYFUNCTION("JOIN(""|"",SORT(TRANSPOSE(SPLIT(A283,""|""))))
"),"Nutrient Availability")</f>
        <v>Nutrient Availability</v>
      </c>
    </row>
    <row r="284">
      <c r="A284" s="33" t="s">
        <v>2066</v>
      </c>
      <c r="B284" s="1" t="str">
        <f>IFERROR(__xludf.DUMMYFUNCTION("JOIN(""|"",SORT(TRANSPOSE(SPLIT(A284,""|""))))
"),"Nutrient Availability")</f>
        <v>Nutrient Availability</v>
      </c>
    </row>
    <row r="285">
      <c r="A285" s="33" t="s">
        <v>2322</v>
      </c>
      <c r="B285" s="1" t="str">
        <f>IFERROR(__xludf.DUMMYFUNCTION("JOIN(""|"",SORT(TRANSPOSE(SPLIT(A285,""|""))))
"),"Climate|Land Use Change|Vegetation")</f>
        <v>Climate|Land Use Change|Vegetation</v>
      </c>
    </row>
    <row r="286">
      <c r="A286" s="33" t="s">
        <v>2307</v>
      </c>
      <c r="B286" s="1" t="str">
        <f>IFERROR(__xludf.DUMMYFUNCTION("JOIN(""|"",SORT(TRANSPOSE(SPLIT(A286,""|""))))
"),"Climate|Precipitation")</f>
        <v>Climate|Precipitation</v>
      </c>
    </row>
    <row r="287">
      <c r="A287" s="33" t="s">
        <v>823</v>
      </c>
      <c r="B287" s="1" t="str">
        <f>IFERROR(__xludf.DUMMYFUNCTION("JOIN(""|"",SORT(TRANSPOSE(SPLIT(A287,""|""))))
"),"Vegetation")</f>
        <v>Vegetation</v>
      </c>
    </row>
    <row r="288">
      <c r="A288" s="33" t="s">
        <v>2307</v>
      </c>
      <c r="B288" s="1" t="str">
        <f>IFERROR(__xludf.DUMMYFUNCTION("JOIN(""|"",SORT(TRANSPOSE(SPLIT(A288,""|""))))
"),"Climate|Precipitation")</f>
        <v>Climate|Precipitation</v>
      </c>
    </row>
    <row r="289">
      <c r="A289" s="33" t="s">
        <v>2307</v>
      </c>
      <c r="B289" s="1" t="str">
        <f>IFERROR(__xludf.DUMMYFUNCTION("JOIN(""|"",SORT(TRANSPOSE(SPLIT(A289,""|""))))
"),"Climate|Precipitation")</f>
        <v>Climate|Precipitation</v>
      </c>
    </row>
    <row r="290">
      <c r="A290" s="33" t="s">
        <v>2307</v>
      </c>
      <c r="B290" s="1" t="str">
        <f>IFERROR(__xludf.DUMMYFUNCTION("JOIN(""|"",SORT(TRANSPOSE(SPLIT(A290,""|""))))
"),"Climate|Precipitation")</f>
        <v>Climate|Precipitation</v>
      </c>
    </row>
    <row r="291">
      <c r="A291" s="6" t="s">
        <v>72</v>
      </c>
      <c r="B291" s="1" t="str">
        <f>IFERROR(__xludf.DUMMYFUNCTION("JOIN(""|"",SORT(TRANSPOSE(SPLIT(A291,""|""))))
"),"Not Reported")</f>
        <v>Not Reported</v>
      </c>
    </row>
    <row r="292">
      <c r="A292" s="6" t="s">
        <v>72</v>
      </c>
      <c r="B292" s="1" t="str">
        <f>IFERROR(__xludf.DUMMYFUNCTION("JOIN(""|"",SORT(TRANSPOSE(SPLIT(A292,""|""))))
"),"Not Reported")</f>
        <v>Not Reported</v>
      </c>
    </row>
    <row r="293">
      <c r="A293" s="6" t="s">
        <v>72</v>
      </c>
      <c r="B293" s="1" t="str">
        <f>IFERROR(__xludf.DUMMYFUNCTION("JOIN(""|"",SORT(TRANSPOSE(SPLIT(A293,""|""))))
"),"Not Reported")</f>
        <v>Not Reported</v>
      </c>
    </row>
    <row r="294">
      <c r="A294" s="33" t="s">
        <v>2307</v>
      </c>
      <c r="B294" s="1" t="str">
        <f>IFERROR(__xludf.DUMMYFUNCTION("JOIN(""|"",SORT(TRANSPOSE(SPLIT(A294,""|""))))
"),"Climate|Precipitation")</f>
        <v>Climate|Precipitation</v>
      </c>
    </row>
    <row r="295">
      <c r="A295" s="33" t="s">
        <v>823</v>
      </c>
      <c r="B295" s="1" t="str">
        <f>IFERROR(__xludf.DUMMYFUNCTION("JOIN(""|"",SORT(TRANSPOSE(SPLIT(A295,""|""))))
"),"Vegetation")</f>
        <v>Vegetation</v>
      </c>
    </row>
    <row r="296">
      <c r="A296" s="33" t="s">
        <v>2316</v>
      </c>
      <c r="B296" s="1" t="str">
        <f>IFERROR(__xludf.DUMMYFUNCTION("JOIN(""|"",SORT(TRANSPOSE(SPLIT(A296,""|""))))
"),"Catchment Erosion|Climate")</f>
        <v>Catchment Erosion|Climate</v>
      </c>
    </row>
    <row r="297">
      <c r="A297" s="33" t="s">
        <v>156</v>
      </c>
      <c r="B297" s="1" t="str">
        <f>IFERROR(__xludf.DUMMYFUNCTION("JOIN(""|"",SORT(TRANSPOSE(SPLIT(A297,""|""))))
"),"Fire")</f>
        <v>Fire</v>
      </c>
    </row>
    <row r="298">
      <c r="A298" s="6" t="s">
        <v>72</v>
      </c>
      <c r="B298" s="1" t="str">
        <f>IFERROR(__xludf.DUMMYFUNCTION("JOIN(""|"",SORT(TRANSPOSE(SPLIT(A298,""|""))))
"),"Not Reported")</f>
        <v>Not Reported</v>
      </c>
    </row>
    <row r="299">
      <c r="A299" s="33" t="s">
        <v>2323</v>
      </c>
      <c r="B299" s="1" t="str">
        <f>IFERROR(__xludf.DUMMYFUNCTION("JOIN(""|"",SORT(TRANSPOSE(SPLIT(A299,""|""))))
"),"Climate|Flooding|Precipitation|Vegetation")</f>
        <v>Climate|Flooding|Precipitation|Vegetation</v>
      </c>
    </row>
    <row r="300">
      <c r="A300" s="33" t="s">
        <v>2307</v>
      </c>
      <c r="B300" s="1" t="str">
        <f>IFERROR(__xludf.DUMMYFUNCTION("JOIN(""|"",SORT(TRANSPOSE(SPLIT(A300,""|""))))
"),"Climate|Precipitation")</f>
        <v>Climate|Precipitation</v>
      </c>
    </row>
    <row r="301">
      <c r="A301" s="33" t="s">
        <v>2307</v>
      </c>
      <c r="B301" s="1" t="str">
        <f>IFERROR(__xludf.DUMMYFUNCTION("JOIN(""|"",SORT(TRANSPOSE(SPLIT(A301,""|""))))
"),"Climate|Precipitation")</f>
        <v>Climate|Precipitation</v>
      </c>
    </row>
    <row r="302">
      <c r="A302" s="6" t="s">
        <v>1287</v>
      </c>
      <c r="B302" s="1" t="str">
        <f>IFERROR(__xludf.DUMMYFUNCTION("JOIN(""|"",SORT(TRANSPOSE(SPLIT(A302,""|""))))
"),"Vegetation ")</f>
        <v>Vegetation </v>
      </c>
    </row>
    <row r="303">
      <c r="A303" s="33" t="s">
        <v>2307</v>
      </c>
      <c r="B303" s="1" t="str">
        <f>IFERROR(__xludf.DUMMYFUNCTION("JOIN(""|"",SORT(TRANSPOSE(SPLIT(A303,""|""))))
"),"Climate|Precipitation")</f>
        <v>Climate|Precipitation</v>
      </c>
    </row>
    <row r="304">
      <c r="A304" s="6" t="s">
        <v>72</v>
      </c>
      <c r="B304" s="1" t="str">
        <f>IFERROR(__xludf.DUMMYFUNCTION("JOIN(""|"",SORT(TRANSPOSE(SPLIT(A304,""|""))))
"),"Not Reported")</f>
        <v>Not Reported</v>
      </c>
    </row>
    <row r="305">
      <c r="A305" s="33" t="s">
        <v>2317</v>
      </c>
      <c r="B305" s="1" t="str">
        <f>IFERROR(__xludf.DUMMYFUNCTION("JOIN(""|"",SORT(TRANSPOSE(SPLIT(A305,""|""))))
"),"Climate|Precipitation|Vegetation")</f>
        <v>Climate|Precipitation|Vegetation</v>
      </c>
    </row>
    <row r="306">
      <c r="A306" s="6" t="s">
        <v>72</v>
      </c>
      <c r="B306" s="1" t="str">
        <f>IFERROR(__xludf.DUMMYFUNCTION("JOIN(""|"",SORT(TRANSPOSE(SPLIT(A306,""|""))))
"),"Not Reported")</f>
        <v>Not Reported</v>
      </c>
    </row>
    <row r="307">
      <c r="A307" s="33" t="s">
        <v>116</v>
      </c>
      <c r="B307" s="1" t="str">
        <f>IFERROR(__xludf.DUMMYFUNCTION("JOIN(""|"",SORT(TRANSPOSE(SPLIT(A307,""|""))))
"),"Land Use Change")</f>
        <v>Land Use Change</v>
      </c>
    </row>
    <row r="308">
      <c r="A308" s="6" t="s">
        <v>72</v>
      </c>
      <c r="B308" s="1" t="str">
        <f>IFERROR(__xludf.DUMMYFUNCTION("JOIN(""|"",SORT(TRANSPOSE(SPLIT(A308,""|""))))
"),"Not Reported")</f>
        <v>Not Reported</v>
      </c>
    </row>
    <row r="309">
      <c r="A309" s="6" t="s">
        <v>72</v>
      </c>
      <c r="B309" s="1" t="str">
        <f>IFERROR(__xludf.DUMMYFUNCTION("JOIN(""|"",SORT(TRANSPOSE(SPLIT(A309,""|""))))
"),"Not Reported")</f>
        <v>Not Reported</v>
      </c>
    </row>
    <row r="310">
      <c r="A310" s="6" t="s">
        <v>2311</v>
      </c>
      <c r="B310" s="1" t="str">
        <f>IFERROR(__xludf.DUMMYFUNCTION("JOIN(""|"",SORT(TRANSPOSE(SPLIT(A310,""|""))))
"),"Climate|Precipitation|Water Level")</f>
        <v>Climate|Precipitation|Water Level</v>
      </c>
    </row>
    <row r="311">
      <c r="A311" s="6" t="s">
        <v>2324</v>
      </c>
      <c r="B311" s="1" t="str">
        <f>IFERROR(__xludf.DUMMYFUNCTION("JOIN(""|"",SORT(TRANSPOSE(SPLIT(A311,""|""))))
"),"Catchment Erosion|Climate|Precipitation")</f>
        <v>Catchment Erosion|Climate|Precipitation</v>
      </c>
    </row>
    <row r="312">
      <c r="A312" s="6" t="s">
        <v>2311</v>
      </c>
      <c r="B312" s="1" t="str">
        <f>IFERROR(__xludf.DUMMYFUNCTION("JOIN(""|"",SORT(TRANSPOSE(SPLIT(A312,""|""))))
"),"Climate|Precipitation|Water Level")</f>
        <v>Climate|Precipitation|Water Level</v>
      </c>
    </row>
    <row r="313">
      <c r="A313" s="33" t="s">
        <v>1215</v>
      </c>
      <c r="B313" s="1" t="str">
        <f>IFERROR(__xludf.DUMMYFUNCTION("JOIN(""|"",SORT(TRANSPOSE(SPLIT(A313,""|""))))
"),"Redox Conditions")</f>
        <v>Redox Conditions</v>
      </c>
    </row>
    <row r="314">
      <c r="A314" s="6" t="s">
        <v>173</v>
      </c>
      <c r="B314" s="1" t="str">
        <f>IFERROR(__xludf.DUMMYFUNCTION("JOIN(""|"",SORT(TRANSPOSE(SPLIT(A314,""|""))))
"),"Catchment Erosion")</f>
        <v>Catchment Erosion</v>
      </c>
    </row>
    <row r="315">
      <c r="A315" s="6" t="s">
        <v>173</v>
      </c>
      <c r="B315" s="1" t="str">
        <f>IFERROR(__xludf.DUMMYFUNCTION("JOIN(""|"",SORT(TRANSPOSE(SPLIT(A315,""|""))))
"),"Catchment Erosion")</f>
        <v>Catchment Erosion</v>
      </c>
    </row>
    <row r="316">
      <c r="A316" s="6" t="s">
        <v>2325</v>
      </c>
      <c r="B316" s="1" t="str">
        <f>IFERROR(__xludf.DUMMYFUNCTION("JOIN(""|"",SORT(TRANSPOSE(SPLIT(A316,""|""))))
"),"Climate|Precipitation|Sea Level")</f>
        <v>Climate|Precipitation|Sea Level</v>
      </c>
    </row>
    <row r="317">
      <c r="A317" s="6" t="s">
        <v>2325</v>
      </c>
      <c r="B317" s="1" t="str">
        <f>IFERROR(__xludf.DUMMYFUNCTION("JOIN(""|"",SORT(TRANSPOSE(SPLIT(A317,""|""))))
"),"Climate|Precipitation|Sea Level")</f>
        <v>Climate|Precipitation|Sea Level</v>
      </c>
    </row>
    <row r="318">
      <c r="A318" s="6" t="s">
        <v>2325</v>
      </c>
      <c r="B318" s="1" t="str">
        <f>IFERROR(__xludf.DUMMYFUNCTION("JOIN(""|"",SORT(TRANSPOSE(SPLIT(A318,""|""))))
"),"Climate|Precipitation|Sea Level")</f>
        <v>Climate|Precipitation|Sea Level</v>
      </c>
    </row>
    <row r="319">
      <c r="A319" s="6" t="s">
        <v>2325</v>
      </c>
      <c r="B319" s="1" t="str">
        <f>IFERROR(__xludf.DUMMYFUNCTION("JOIN(""|"",SORT(TRANSPOSE(SPLIT(A319,""|""))))
"),"Climate|Precipitation|Sea Level")</f>
        <v>Climate|Precipitation|Sea Level</v>
      </c>
    </row>
    <row r="320">
      <c r="A320" s="6" t="s">
        <v>2325</v>
      </c>
      <c r="B320" s="1" t="str">
        <f>IFERROR(__xludf.DUMMYFUNCTION("JOIN(""|"",SORT(TRANSPOSE(SPLIT(A320,""|""))))
"),"Climate|Precipitation|Sea Level")</f>
        <v>Climate|Precipitation|Sea Level</v>
      </c>
    </row>
    <row r="321">
      <c r="A321" s="6" t="s">
        <v>2325</v>
      </c>
      <c r="B321" s="1" t="str">
        <f>IFERROR(__xludf.DUMMYFUNCTION("JOIN(""|"",SORT(TRANSPOSE(SPLIT(A321,""|""))))
"),"Climate|Precipitation|Sea Level")</f>
        <v>Climate|Precipitation|Sea Level</v>
      </c>
    </row>
    <row r="322">
      <c r="A322" s="6" t="s">
        <v>2325</v>
      </c>
      <c r="B322" s="1" t="str">
        <f>IFERROR(__xludf.DUMMYFUNCTION("JOIN(""|"",SORT(TRANSPOSE(SPLIT(A322,""|""))))
"),"Climate|Precipitation|Sea Level")</f>
        <v>Climate|Precipitation|Sea Level</v>
      </c>
    </row>
    <row r="323">
      <c r="A323" s="6" t="s">
        <v>2325</v>
      </c>
      <c r="B323" s="1" t="str">
        <f>IFERROR(__xludf.DUMMYFUNCTION("JOIN(""|"",SORT(TRANSPOSE(SPLIT(A323,""|""))))
"),"Climate|Precipitation|Sea Level")</f>
        <v>Climate|Precipitation|Sea Level</v>
      </c>
    </row>
    <row r="324">
      <c r="A324" s="6" t="s">
        <v>2325</v>
      </c>
      <c r="B324" s="1" t="str">
        <f>IFERROR(__xludf.DUMMYFUNCTION("JOIN(""|"",SORT(TRANSPOSE(SPLIT(A324,""|""))))
"),"Climate|Precipitation|Sea Level")</f>
        <v>Climate|Precipitation|Sea Level</v>
      </c>
    </row>
    <row r="325">
      <c r="A325" s="6" t="s">
        <v>2325</v>
      </c>
      <c r="B325" s="1" t="str">
        <f>IFERROR(__xludf.DUMMYFUNCTION("JOIN(""|"",SORT(TRANSPOSE(SPLIT(A325,""|""))))
"),"Climate|Precipitation|Sea Level")</f>
        <v>Climate|Precipitation|Sea Level</v>
      </c>
    </row>
    <row r="326">
      <c r="A326" s="6" t="s">
        <v>2325</v>
      </c>
      <c r="B326" s="1" t="str">
        <f>IFERROR(__xludf.DUMMYFUNCTION("JOIN(""|"",SORT(TRANSPOSE(SPLIT(A326,""|""))))
"),"Climate|Precipitation|Sea Level")</f>
        <v>Climate|Precipitation|Sea Level</v>
      </c>
    </row>
    <row r="327">
      <c r="A327" s="6" t="s">
        <v>2325</v>
      </c>
      <c r="B327" s="1" t="str">
        <f>IFERROR(__xludf.DUMMYFUNCTION("JOIN(""|"",SORT(TRANSPOSE(SPLIT(A327,""|""))))
"),"Climate|Precipitation|Sea Level")</f>
        <v>Climate|Precipitation|Sea Level</v>
      </c>
    </row>
    <row r="328">
      <c r="A328" s="6" t="s">
        <v>2325</v>
      </c>
      <c r="B328" s="1" t="str">
        <f>IFERROR(__xludf.DUMMYFUNCTION("JOIN(""|"",SORT(TRANSPOSE(SPLIT(A328,""|""))))
"),"Climate|Precipitation|Sea Level")</f>
        <v>Climate|Precipitation|Sea Level</v>
      </c>
    </row>
    <row r="329">
      <c r="A329" s="6" t="s">
        <v>2325</v>
      </c>
      <c r="B329" s="1" t="str">
        <f>IFERROR(__xludf.DUMMYFUNCTION("JOIN(""|"",SORT(TRANSPOSE(SPLIT(A329,""|""))))
"),"Climate|Precipitation|Sea Level")</f>
        <v>Climate|Precipitation|Sea Level</v>
      </c>
    </row>
    <row r="330">
      <c r="A330" s="6" t="s">
        <v>2325</v>
      </c>
      <c r="B330" s="1" t="str">
        <f>IFERROR(__xludf.DUMMYFUNCTION("JOIN(""|"",SORT(TRANSPOSE(SPLIT(A330,""|""))))
"),"Climate|Precipitation|Sea Level")</f>
        <v>Climate|Precipitation|Sea Level</v>
      </c>
    </row>
    <row r="331">
      <c r="A331" s="6" t="s">
        <v>2324</v>
      </c>
      <c r="B331" s="1" t="str">
        <f>IFERROR(__xludf.DUMMYFUNCTION("JOIN(""|"",SORT(TRANSPOSE(SPLIT(A331,""|""))))
"),"Catchment Erosion|Climate|Precipitation")</f>
        <v>Catchment Erosion|Climate|Precipitation</v>
      </c>
    </row>
    <row r="332">
      <c r="A332" s="6" t="s">
        <v>2324</v>
      </c>
      <c r="B332" s="1" t="str">
        <f>IFERROR(__xludf.DUMMYFUNCTION("JOIN(""|"",SORT(TRANSPOSE(SPLIT(A332,""|""))))
"),"Catchment Erosion|Climate|Precipitation")</f>
        <v>Catchment Erosion|Climate|Precipitation</v>
      </c>
    </row>
    <row r="333">
      <c r="A333" s="33" t="s">
        <v>156</v>
      </c>
      <c r="B333" s="1" t="str">
        <f>IFERROR(__xludf.DUMMYFUNCTION("JOIN(""|"",SORT(TRANSPOSE(SPLIT(A333,""|""))))
"),"Fire")</f>
        <v>Fire</v>
      </c>
    </row>
    <row r="334">
      <c r="A334" s="33" t="s">
        <v>1296</v>
      </c>
      <c r="B334" s="1" t="str">
        <f>IFERROR(__xludf.DUMMYFUNCTION("JOIN(""|"",SORT(TRANSPOSE(SPLIT(A334,""|""))))
"),"Temperature")</f>
        <v>Temperature</v>
      </c>
    </row>
    <row r="335">
      <c r="A335" s="6" t="s">
        <v>72</v>
      </c>
      <c r="B335" s="1" t="str">
        <f>IFERROR(__xludf.DUMMYFUNCTION("JOIN(""|"",SORT(TRANSPOSE(SPLIT(A335,""|""))))
"),"Not Reported")</f>
        <v>Not Reported</v>
      </c>
    </row>
    <row r="336">
      <c r="A336" s="6" t="s">
        <v>72</v>
      </c>
      <c r="B336" s="1" t="str">
        <f>IFERROR(__xludf.DUMMYFUNCTION("JOIN(""|"",SORT(TRANSPOSE(SPLIT(A336,""|""))))
"),"Not Reported")</f>
        <v>Not Reported</v>
      </c>
    </row>
    <row r="337">
      <c r="A337" s="33" t="s">
        <v>1296</v>
      </c>
      <c r="B337" s="1" t="str">
        <f>IFERROR(__xludf.DUMMYFUNCTION("JOIN(""|"",SORT(TRANSPOSE(SPLIT(A337,""|""))))
"),"Temperature")</f>
        <v>Temperature</v>
      </c>
    </row>
    <row r="338">
      <c r="A338" s="33" t="s">
        <v>156</v>
      </c>
      <c r="B338" s="1" t="str">
        <f>IFERROR(__xludf.DUMMYFUNCTION("JOIN(""|"",SORT(TRANSPOSE(SPLIT(A338,""|""))))
"),"Fire")</f>
        <v>Fire</v>
      </c>
    </row>
    <row r="339">
      <c r="A339" s="33" t="s">
        <v>2326</v>
      </c>
      <c r="B339" s="1" t="str">
        <f>IFERROR(__xludf.DUMMYFUNCTION("JOIN(""|"",SORT(TRANSPOSE(SPLIT(A339,""|""))))
"),"Climate|Precipitation|Temperature|Vegetation")</f>
        <v>Climate|Precipitation|Temperature|Vegetation</v>
      </c>
    </row>
    <row r="340">
      <c r="A340" s="33" t="s">
        <v>823</v>
      </c>
      <c r="B340" s="1" t="str">
        <f>IFERROR(__xludf.DUMMYFUNCTION("JOIN(""|"",SORT(TRANSPOSE(SPLIT(A340,""|""))))
"),"Vegetation")</f>
        <v>Vegetation</v>
      </c>
    </row>
    <row r="341">
      <c r="A341" s="33" t="s">
        <v>2327</v>
      </c>
      <c r="B341" s="1" t="str">
        <f>IFERROR(__xludf.DUMMYFUNCTION("JOIN(""|"",SORT(TRANSPOSE(SPLIT(A341,""|""))))
"),"Salinity|Sea Level|Vegetation")</f>
        <v>Salinity|Sea Level|Vegetation</v>
      </c>
    </row>
    <row r="342">
      <c r="A342" s="6" t="s">
        <v>2328</v>
      </c>
      <c r="B342" s="1" t="str">
        <f>IFERROR(__xludf.DUMMYFUNCTION("JOIN(""|"",SORT(TRANSPOSE(SPLIT(A342,""|""))))
"),"Catchment Erosion|Precipitation")</f>
        <v>Catchment Erosion|Precipitation</v>
      </c>
    </row>
    <row r="343">
      <c r="A343" s="6" t="s">
        <v>173</v>
      </c>
      <c r="B343" s="1" t="str">
        <f>IFERROR(__xludf.DUMMYFUNCTION("JOIN(""|"",SORT(TRANSPOSE(SPLIT(A343,""|""))))
"),"Catchment Erosion")</f>
        <v>Catchment Erosion</v>
      </c>
    </row>
    <row r="344">
      <c r="A344" s="6" t="s">
        <v>173</v>
      </c>
      <c r="B344" s="1" t="str">
        <f>IFERROR(__xludf.DUMMYFUNCTION("JOIN(""|"",SORT(TRANSPOSE(SPLIT(A344,""|""))))
"),"Catchment Erosion")</f>
        <v>Catchment Erosion</v>
      </c>
    </row>
    <row r="345">
      <c r="A345" s="6" t="s">
        <v>173</v>
      </c>
      <c r="B345" s="1" t="str">
        <f>IFERROR(__xludf.DUMMYFUNCTION("JOIN(""|"",SORT(TRANSPOSE(SPLIT(A345,""|""))))
"),"Catchment Erosion")</f>
        <v>Catchment Erosion</v>
      </c>
    </row>
    <row r="346">
      <c r="A346" s="6" t="s">
        <v>173</v>
      </c>
      <c r="B346" s="1" t="str">
        <f>IFERROR(__xludf.DUMMYFUNCTION("JOIN(""|"",SORT(TRANSPOSE(SPLIT(A346,""|""))))
"),"Catchment Erosion")</f>
        <v>Catchment Erosion</v>
      </c>
    </row>
    <row r="347">
      <c r="A347" s="33" t="s">
        <v>823</v>
      </c>
      <c r="B347" s="1" t="str">
        <f>IFERROR(__xludf.DUMMYFUNCTION("JOIN(""|"",SORT(TRANSPOSE(SPLIT(A347,""|""))))
"),"Vegetation")</f>
        <v>Vegetation</v>
      </c>
    </row>
    <row r="348">
      <c r="A348" s="6" t="s">
        <v>2329</v>
      </c>
      <c r="B348" s="1" t="str">
        <f>IFERROR(__xludf.DUMMYFUNCTION("JOIN(""|"",SORT(TRANSPOSE(SPLIT(A348,""|""))))
"),"Conductivity|Trophic Status|Water Level")</f>
        <v>Conductivity|Trophic Status|Water Level</v>
      </c>
    </row>
    <row r="349">
      <c r="A349" s="6" t="s">
        <v>2330</v>
      </c>
      <c r="B349" s="1" t="str">
        <f>IFERROR(__xludf.DUMMYFUNCTION("JOIN(""|"",SORT(TRANSPOSE(SPLIT(A349,""|""))))
"),"Catchment Erosion|Volcanic Eruptions")</f>
        <v>Catchment Erosion|Volcanic Eruptions</v>
      </c>
    </row>
    <row r="350">
      <c r="A350" s="6" t="s">
        <v>173</v>
      </c>
      <c r="B350" s="1" t="str">
        <f>IFERROR(__xludf.DUMMYFUNCTION("JOIN(""|"",SORT(TRANSPOSE(SPLIT(A350,""|""))))
"),"Catchment Erosion")</f>
        <v>Catchment Erosion</v>
      </c>
    </row>
    <row r="351">
      <c r="A351" s="6" t="s">
        <v>173</v>
      </c>
      <c r="B351" s="1" t="str">
        <f>IFERROR(__xludf.DUMMYFUNCTION("JOIN(""|"",SORT(TRANSPOSE(SPLIT(A351,""|""))))
"),"Catchment Erosion")</f>
        <v>Catchment Erosion</v>
      </c>
    </row>
    <row r="352">
      <c r="A352" s="33" t="s">
        <v>2317</v>
      </c>
      <c r="B352" s="1" t="str">
        <f>IFERROR(__xludf.DUMMYFUNCTION("JOIN(""|"",SORT(TRANSPOSE(SPLIT(A352,""|""))))
"),"Climate|Precipitation|Vegetation")</f>
        <v>Climate|Precipitation|Vegetation</v>
      </c>
    </row>
    <row r="353">
      <c r="A353" s="33" t="s">
        <v>156</v>
      </c>
      <c r="B353" s="1" t="str">
        <f>IFERROR(__xludf.DUMMYFUNCTION("JOIN(""|"",SORT(TRANSPOSE(SPLIT(A353,""|""))))
"),"Fire")</f>
        <v>Fire</v>
      </c>
    </row>
    <row r="354">
      <c r="A354" s="6" t="s">
        <v>72</v>
      </c>
      <c r="B354" s="1" t="str">
        <f>IFERROR(__xludf.DUMMYFUNCTION("JOIN(""|"",SORT(TRANSPOSE(SPLIT(A354,""|""))))
"),"Not Reported")</f>
        <v>Not Reported</v>
      </c>
    </row>
    <row r="355">
      <c r="A355" s="33" t="s">
        <v>156</v>
      </c>
      <c r="B355" s="1" t="str">
        <f>IFERROR(__xludf.DUMMYFUNCTION("JOIN(""|"",SORT(TRANSPOSE(SPLIT(A355,""|""))))
"),"Fire")</f>
        <v>Fire</v>
      </c>
    </row>
    <row r="356">
      <c r="A356" s="33" t="s">
        <v>2317</v>
      </c>
      <c r="B356" s="1" t="str">
        <f>IFERROR(__xludf.DUMMYFUNCTION("JOIN(""|"",SORT(TRANSPOSE(SPLIT(A356,""|""))))
"),"Climate|Precipitation|Vegetation")</f>
        <v>Climate|Precipitation|Vegetation</v>
      </c>
    </row>
    <row r="357">
      <c r="A357" s="58" t="s">
        <v>2331</v>
      </c>
      <c r="B357" s="1" t="str">
        <f>IFERROR(__xludf.DUMMYFUNCTION("JOIN(""|"",SORT(TRANSPOSE(SPLIT(A357,""|""))))
"),"Climate|Precipitation|Water Level")</f>
        <v>Climate|Precipitation|Water Level</v>
      </c>
    </row>
    <row r="358">
      <c r="A358" s="6" t="s">
        <v>173</v>
      </c>
      <c r="B358" s="1" t="str">
        <f>IFERROR(__xludf.DUMMYFUNCTION("JOIN(""|"",SORT(TRANSPOSE(SPLIT(A358,""|""))))
"),"Catchment Erosion")</f>
        <v>Catchment Erosion</v>
      </c>
    </row>
    <row r="359">
      <c r="A359" s="6" t="s">
        <v>72</v>
      </c>
      <c r="B359" s="1" t="str">
        <f>IFERROR(__xludf.DUMMYFUNCTION("JOIN(""|"",SORT(TRANSPOSE(SPLIT(A359,""|""))))
"),"Not Reported")</f>
        <v>Not Reported</v>
      </c>
    </row>
    <row r="360">
      <c r="A360" s="58" t="s">
        <v>2331</v>
      </c>
      <c r="B360" s="1" t="str">
        <f>IFERROR(__xludf.DUMMYFUNCTION("JOIN(""|"",SORT(TRANSPOSE(SPLIT(A360,""|""))))
"),"Climate|Precipitation|Water Level")</f>
        <v>Climate|Precipitation|Water Level</v>
      </c>
    </row>
    <row r="361">
      <c r="A361" s="33" t="s">
        <v>823</v>
      </c>
      <c r="B361" s="1" t="str">
        <f>IFERROR(__xludf.DUMMYFUNCTION("JOIN(""|"",SORT(TRANSPOSE(SPLIT(A361,""|""))))
"),"Vegetation")</f>
        <v>Vegetation</v>
      </c>
    </row>
    <row r="362">
      <c r="A362" s="33" t="s">
        <v>2321</v>
      </c>
      <c r="B362" s="1" t="str">
        <f>IFERROR(__xludf.DUMMYFUNCTION("JOIN(""|"",SORT(TRANSPOSE(SPLIT(A362,""|""))))
"),"Climate|Precipitation|Sea Level")</f>
        <v>Climate|Precipitation|Sea Level</v>
      </c>
    </row>
    <row r="363">
      <c r="A363" s="33" t="s">
        <v>1597</v>
      </c>
      <c r="B363" s="1" t="str">
        <f>IFERROR(__xludf.DUMMYFUNCTION("JOIN(""|"",SORT(TRANSPOSE(SPLIT(A363,""|""))))
"),"Sea Level")</f>
        <v>Sea Level</v>
      </c>
    </row>
    <row r="364">
      <c r="A364" s="33" t="s">
        <v>2321</v>
      </c>
      <c r="B364" s="1" t="str">
        <f>IFERROR(__xludf.DUMMYFUNCTION("JOIN(""|"",SORT(TRANSPOSE(SPLIT(A364,""|""))))
"),"Climate|Precipitation|Sea Level")</f>
        <v>Climate|Precipitation|Sea Level</v>
      </c>
    </row>
    <row r="365">
      <c r="A365" s="33" t="s">
        <v>2307</v>
      </c>
      <c r="B365" s="1" t="str">
        <f>IFERROR(__xludf.DUMMYFUNCTION("JOIN(""|"",SORT(TRANSPOSE(SPLIT(A365,""|""))))
"),"Climate|Precipitation")</f>
        <v>Climate|Precipitation</v>
      </c>
    </row>
    <row r="366">
      <c r="A366" s="33" t="s">
        <v>2307</v>
      </c>
      <c r="B366" s="1" t="str">
        <f>IFERROR(__xludf.DUMMYFUNCTION("JOIN(""|"",SORT(TRANSPOSE(SPLIT(A366,""|""))))
"),"Climate|Precipitation")</f>
        <v>Climate|Precipitation</v>
      </c>
    </row>
    <row r="367">
      <c r="A367" s="33" t="s">
        <v>823</v>
      </c>
      <c r="B367" s="1" t="str">
        <f>IFERROR(__xludf.DUMMYFUNCTION("JOIN(""|"",SORT(TRANSPOSE(SPLIT(A367,""|""))))
"),"Vegetation")</f>
        <v>Vegetation</v>
      </c>
    </row>
    <row r="368">
      <c r="A368" s="33" t="s">
        <v>1597</v>
      </c>
      <c r="B368" s="1" t="str">
        <f>IFERROR(__xludf.DUMMYFUNCTION("JOIN(""|"",SORT(TRANSPOSE(SPLIT(A368,""|""))))
"),"Sea Level")</f>
        <v>Sea Level</v>
      </c>
    </row>
    <row r="369">
      <c r="A369" s="33" t="s">
        <v>1597</v>
      </c>
      <c r="B369" s="1" t="str">
        <f>IFERROR(__xludf.DUMMYFUNCTION("JOIN(""|"",SORT(TRANSPOSE(SPLIT(A369,""|""))))
"),"Sea Level")</f>
        <v>Sea Level</v>
      </c>
    </row>
    <row r="370">
      <c r="A370" s="33" t="s">
        <v>1597</v>
      </c>
      <c r="B370" s="1" t="str">
        <f>IFERROR(__xludf.DUMMYFUNCTION("JOIN(""|"",SORT(TRANSPOSE(SPLIT(A370,""|""))))
"),"Sea Level")</f>
        <v>Sea Level</v>
      </c>
    </row>
    <row r="371">
      <c r="A371" s="33" t="s">
        <v>1597</v>
      </c>
      <c r="B371" s="1" t="str">
        <f>IFERROR(__xludf.DUMMYFUNCTION("JOIN(""|"",SORT(TRANSPOSE(SPLIT(A371,""|""))))
"),"Sea Level")</f>
        <v>Sea Level</v>
      </c>
    </row>
    <row r="372">
      <c r="A372" s="33" t="s">
        <v>656</v>
      </c>
      <c r="B372" s="1" t="str">
        <f>IFERROR(__xludf.DUMMYFUNCTION("JOIN(""|"",SORT(TRANSPOSE(SPLIT(A372,""|""))))
"),"Tropical Cyclones")</f>
        <v>Tropical Cyclones</v>
      </c>
    </row>
    <row r="373">
      <c r="A373" s="33" t="s">
        <v>656</v>
      </c>
      <c r="B373" s="1" t="str">
        <f>IFERROR(__xludf.DUMMYFUNCTION("JOIN(""|"",SORT(TRANSPOSE(SPLIT(A373,""|""))))
"),"Tropical Cyclones")</f>
        <v>Tropical Cyclones</v>
      </c>
    </row>
    <row r="374">
      <c r="A374" s="33" t="s">
        <v>656</v>
      </c>
      <c r="B374" s="1" t="str">
        <f>IFERROR(__xludf.DUMMYFUNCTION("JOIN(""|"",SORT(TRANSPOSE(SPLIT(A374,""|""))))
"),"Tropical Cyclones")</f>
        <v>Tropical Cyclones</v>
      </c>
    </row>
    <row r="375">
      <c r="A375" s="33" t="s">
        <v>656</v>
      </c>
      <c r="B375" s="1" t="str">
        <f>IFERROR(__xludf.DUMMYFUNCTION("JOIN(""|"",SORT(TRANSPOSE(SPLIT(A375,""|""))))
"),"Tropical Cyclones")</f>
        <v>Tropical Cyclones</v>
      </c>
    </row>
    <row r="376">
      <c r="A376" s="33" t="s">
        <v>656</v>
      </c>
      <c r="B376" s="1" t="str">
        <f>IFERROR(__xludf.DUMMYFUNCTION("JOIN(""|"",SORT(TRANSPOSE(SPLIT(A376,""|""))))
"),"Tropical Cyclones")</f>
        <v>Tropical Cyclones</v>
      </c>
    </row>
    <row r="377">
      <c r="A377" s="33" t="s">
        <v>656</v>
      </c>
      <c r="B377" s="1" t="str">
        <f>IFERROR(__xludf.DUMMYFUNCTION("JOIN(""|"",SORT(TRANSPOSE(SPLIT(A377,""|""))))
"),"Tropical Cyclones")</f>
        <v>Tropical Cyclones</v>
      </c>
    </row>
    <row r="378">
      <c r="A378" s="33" t="s">
        <v>656</v>
      </c>
      <c r="B378" s="1" t="str">
        <f>IFERROR(__xludf.DUMMYFUNCTION("JOIN(""|"",SORT(TRANSPOSE(SPLIT(A378,""|""))))
"),"Tropical Cyclones")</f>
        <v>Tropical Cyclones</v>
      </c>
    </row>
    <row r="379">
      <c r="A379" s="33" t="s">
        <v>656</v>
      </c>
      <c r="B379" s="1" t="str">
        <f>IFERROR(__xludf.DUMMYFUNCTION("JOIN(""|"",SORT(TRANSPOSE(SPLIT(A379,""|""))))
"),"Tropical Cyclones")</f>
        <v>Tropical Cyclones</v>
      </c>
    </row>
    <row r="380">
      <c r="A380" s="6" t="s">
        <v>72</v>
      </c>
      <c r="B380" s="1" t="str">
        <f>IFERROR(__xludf.DUMMYFUNCTION("JOIN(""|"",SORT(TRANSPOSE(SPLIT(A380,""|""))))
"),"Not Reported")</f>
        <v>Not Reported</v>
      </c>
    </row>
    <row r="381">
      <c r="A381" s="45" t="s">
        <v>2332</v>
      </c>
      <c r="B381" s="1" t="str">
        <f>IFERROR(__xludf.DUMMYFUNCTION("JOIN(""|"",SORT(TRANSPOSE(SPLIT(A381,""|""))))
"),"Climate|Precipitation|Tropical Cyclones")</f>
        <v>Climate|Precipitation|Tropical Cyclones</v>
      </c>
    </row>
    <row r="382">
      <c r="A382" s="45" t="s">
        <v>2332</v>
      </c>
      <c r="B382" s="1" t="str">
        <f>IFERROR(__xludf.DUMMYFUNCTION("JOIN(""|"",SORT(TRANSPOSE(SPLIT(A382,""|""))))
"),"Climate|Precipitation|Tropical Cyclones")</f>
        <v>Climate|Precipitation|Tropical Cyclones</v>
      </c>
    </row>
    <row r="383">
      <c r="A383" s="33" t="s">
        <v>156</v>
      </c>
      <c r="B383" s="1" t="str">
        <f>IFERROR(__xludf.DUMMYFUNCTION("JOIN(""|"",SORT(TRANSPOSE(SPLIT(A383,""|""))))
"),"Fire")</f>
        <v>Fire</v>
      </c>
    </row>
    <row r="384">
      <c r="A384" s="33" t="s">
        <v>823</v>
      </c>
      <c r="B384" s="1" t="str">
        <f>IFERROR(__xludf.DUMMYFUNCTION("JOIN(""|"",SORT(TRANSPOSE(SPLIT(A384,""|""))))
"),"Vegetation")</f>
        <v>Vegetation</v>
      </c>
    </row>
    <row r="385">
      <c r="A385" s="6" t="s">
        <v>2333</v>
      </c>
      <c r="B385" s="1" t="str">
        <f>IFERROR(__xludf.DUMMYFUNCTION("JOIN(""|"",SORT(TRANSPOSE(SPLIT(A385,""|""))))
"),"Climate|Salinity|Trophic Status|Water Level")</f>
        <v>Climate|Salinity|Trophic Status|Water Level</v>
      </c>
    </row>
    <row r="386">
      <c r="A386" s="6" t="s">
        <v>173</v>
      </c>
      <c r="B386" s="1" t="str">
        <f>IFERROR(__xludf.DUMMYFUNCTION("JOIN(""|"",SORT(TRANSPOSE(SPLIT(A386,""|""))))
"),"Catchment Erosion")</f>
        <v>Catchment Erosion</v>
      </c>
    </row>
    <row r="387">
      <c r="A387" s="6" t="s">
        <v>173</v>
      </c>
      <c r="B387" s="1" t="str">
        <f>IFERROR(__xludf.DUMMYFUNCTION("JOIN(""|"",SORT(TRANSPOSE(SPLIT(A387,""|""))))
"),"Catchment Erosion")</f>
        <v>Catchment Erosion</v>
      </c>
    </row>
    <row r="388">
      <c r="A388" s="6" t="s">
        <v>173</v>
      </c>
      <c r="B388" s="1" t="str">
        <f>IFERROR(__xludf.DUMMYFUNCTION("JOIN(""|"",SORT(TRANSPOSE(SPLIT(A388,""|""))))
"),"Catchment Erosion")</f>
        <v>Catchment Erosion</v>
      </c>
    </row>
    <row r="389">
      <c r="A389" s="33" t="s">
        <v>2305</v>
      </c>
      <c r="B389" s="1" t="str">
        <f>IFERROR(__xludf.DUMMYFUNCTION("JOIN(""|"",SORT(TRANSPOSE(SPLIT(A389,""|""))))
"),"Climate|Precipitation")</f>
        <v>Climate|Precipitation</v>
      </c>
    </row>
    <row r="390">
      <c r="A390" s="6" t="s">
        <v>2334</v>
      </c>
      <c r="B390" s="1" t="str">
        <f>IFERROR(__xludf.DUMMYFUNCTION("JOIN(""|"",SORT(TRANSPOSE(SPLIT(A390,""|""))))
"),"Catchment Erosion|Land Use Change")</f>
        <v>Catchment Erosion|Land Use Change</v>
      </c>
    </row>
    <row r="391">
      <c r="A391" s="6" t="s">
        <v>2334</v>
      </c>
      <c r="B391" s="1" t="str">
        <f>IFERROR(__xludf.DUMMYFUNCTION("JOIN(""|"",SORT(TRANSPOSE(SPLIT(A391,""|""))))
"),"Catchment Erosion|Land Use Change")</f>
        <v>Catchment Erosion|Land Use Change</v>
      </c>
    </row>
    <row r="392">
      <c r="A392" s="6" t="s">
        <v>2334</v>
      </c>
      <c r="B392" s="1" t="str">
        <f>IFERROR(__xludf.DUMMYFUNCTION("JOIN(""|"",SORT(TRANSPOSE(SPLIT(A392,""|""))))
"),"Catchment Erosion|Land Use Change")</f>
        <v>Catchment Erosion|Land Use Change</v>
      </c>
    </row>
    <row r="393">
      <c r="A393" s="6" t="s">
        <v>2334</v>
      </c>
      <c r="B393" s="1" t="str">
        <f>IFERROR(__xludf.DUMMYFUNCTION("JOIN(""|"",SORT(TRANSPOSE(SPLIT(A393,""|""))))
"),"Catchment Erosion|Land Use Change")</f>
        <v>Catchment Erosion|Land Use Change</v>
      </c>
    </row>
    <row r="394">
      <c r="A394" s="6" t="s">
        <v>2334</v>
      </c>
      <c r="B394" s="1" t="str">
        <f>IFERROR(__xludf.DUMMYFUNCTION("JOIN(""|"",SORT(TRANSPOSE(SPLIT(A394,""|""))))
"),"Catchment Erosion|Land Use Change")</f>
        <v>Catchment Erosion|Land Use Change</v>
      </c>
    </row>
    <row r="395">
      <c r="A395" s="33" t="s">
        <v>2314</v>
      </c>
      <c r="B395" s="1" t="str">
        <f>IFERROR(__xludf.DUMMYFUNCTION("JOIN(""|"",SORT(TRANSPOSE(SPLIT(A395,""|""))))
"),"Land Use Change|Vegetation")</f>
        <v>Land Use Change|Vegetation</v>
      </c>
    </row>
    <row r="396">
      <c r="A396" s="33" t="s">
        <v>2314</v>
      </c>
      <c r="B396" s="1" t="str">
        <f>IFERROR(__xludf.DUMMYFUNCTION("JOIN(""|"",SORT(TRANSPOSE(SPLIT(A396,""|""))))
"),"Land Use Change|Vegetation")</f>
        <v>Land Use Change|Vegetation</v>
      </c>
    </row>
    <row r="397">
      <c r="A397" s="33" t="s">
        <v>2314</v>
      </c>
      <c r="B397" s="1" t="str">
        <f>IFERROR(__xludf.DUMMYFUNCTION("JOIN(""|"",SORT(TRANSPOSE(SPLIT(A397,""|""))))
"),"Land Use Change|Vegetation")</f>
        <v>Land Use Change|Vegetation</v>
      </c>
    </row>
    <row r="398">
      <c r="A398" s="33" t="s">
        <v>2314</v>
      </c>
      <c r="B398" s="1" t="str">
        <f>IFERROR(__xludf.DUMMYFUNCTION("JOIN(""|"",SORT(TRANSPOSE(SPLIT(A398,""|""))))
"),"Land Use Change|Vegetation")</f>
        <v>Land Use Change|Vegetation</v>
      </c>
    </row>
    <row r="399">
      <c r="A399" s="33" t="s">
        <v>2314</v>
      </c>
      <c r="B399" s="1" t="str">
        <f>IFERROR(__xludf.DUMMYFUNCTION("JOIN(""|"",SORT(TRANSPOSE(SPLIT(A399,""|""))))
"),"Land Use Change|Vegetation")</f>
        <v>Land Use Change|Vegetation</v>
      </c>
    </row>
    <row r="400">
      <c r="A400" s="6" t="s">
        <v>2334</v>
      </c>
      <c r="B400" s="1" t="str">
        <f>IFERROR(__xludf.DUMMYFUNCTION("JOIN(""|"",SORT(TRANSPOSE(SPLIT(A400,""|""))))
"),"Catchment Erosion|Land Use Change")</f>
        <v>Catchment Erosion|Land Use Change</v>
      </c>
    </row>
    <row r="401">
      <c r="A401" s="33" t="s">
        <v>823</v>
      </c>
      <c r="B401" s="1" t="str">
        <f>IFERROR(__xludf.DUMMYFUNCTION("JOIN(""|"",SORT(TRANSPOSE(SPLIT(A401,""|""))))
"),"Vegetation")</f>
        <v>Vegetation</v>
      </c>
    </row>
    <row r="402">
      <c r="A402" s="33" t="s">
        <v>156</v>
      </c>
      <c r="B402" s="1" t="str">
        <f>IFERROR(__xludf.DUMMYFUNCTION("JOIN(""|"",SORT(TRANSPOSE(SPLIT(A402,""|""))))
"),"Fire")</f>
        <v>Fire</v>
      </c>
    </row>
    <row r="403">
      <c r="A403" s="6" t="s">
        <v>2316</v>
      </c>
      <c r="B403" s="1" t="str">
        <f>IFERROR(__xludf.DUMMYFUNCTION("JOIN(""|"",SORT(TRANSPOSE(SPLIT(A403,""|""))))
"),"Catchment Erosion|Climate")</f>
        <v>Catchment Erosion|Climate</v>
      </c>
    </row>
    <row r="404">
      <c r="A404" s="6" t="s">
        <v>173</v>
      </c>
      <c r="B404" s="1" t="str">
        <f>IFERROR(__xludf.DUMMYFUNCTION("JOIN(""|"",SORT(TRANSPOSE(SPLIT(A404,""|""))))
"),"Catchment Erosion")</f>
        <v>Catchment Erosion</v>
      </c>
    </row>
    <row r="405">
      <c r="A405" s="6" t="s">
        <v>2316</v>
      </c>
      <c r="B405" s="1" t="str">
        <f>IFERROR(__xludf.DUMMYFUNCTION("JOIN(""|"",SORT(TRANSPOSE(SPLIT(A405,""|""))))
"),"Catchment Erosion|Climate")</f>
        <v>Catchment Erosion|Climate</v>
      </c>
    </row>
    <row r="406">
      <c r="A406" s="6" t="s">
        <v>2316</v>
      </c>
      <c r="B406" s="1" t="str">
        <f>IFERROR(__xludf.DUMMYFUNCTION("JOIN(""|"",SORT(TRANSPOSE(SPLIT(A406,""|""))))
"),"Catchment Erosion|Climate")</f>
        <v>Catchment Erosion|Climate</v>
      </c>
    </row>
    <row r="407">
      <c r="A407" s="33" t="s">
        <v>467</v>
      </c>
      <c r="B407" s="1" t="str">
        <f>IFERROR(__xludf.DUMMYFUNCTION("JOIN(""|"",SORT(TRANSPOSE(SPLIT(A407,""|""))))
"),"Aquatic Vegetation")</f>
        <v>Aquatic Vegetation</v>
      </c>
    </row>
    <row r="408">
      <c r="A408" s="33" t="s">
        <v>467</v>
      </c>
      <c r="B408" s="1" t="str">
        <f>IFERROR(__xludf.DUMMYFUNCTION("JOIN(""|"",SORT(TRANSPOSE(SPLIT(A408,""|""))))
"),"Aquatic Vegetation")</f>
        <v>Aquatic Vegetation</v>
      </c>
    </row>
    <row r="409">
      <c r="A409" s="6" t="s">
        <v>2304</v>
      </c>
      <c r="B409" s="1" t="str">
        <f>IFERROR(__xludf.DUMMYFUNCTION("JOIN(""|"",SORT(TRANSPOSE(SPLIT(A409,""|""))))
"),"Climate|Water Level")</f>
        <v>Climate|Water Level</v>
      </c>
    </row>
    <row r="410">
      <c r="A410" s="33" t="s">
        <v>723</v>
      </c>
      <c r="B410" s="1" t="str">
        <f>IFERROR(__xludf.DUMMYFUNCTION("JOIN(""|"",SORT(TRANSPOSE(SPLIT(A410,""|""))))
"),"Climate")</f>
        <v>Climate</v>
      </c>
    </row>
    <row r="411">
      <c r="A411" s="33" t="s">
        <v>116</v>
      </c>
      <c r="B411" s="1" t="str">
        <f>IFERROR(__xludf.DUMMYFUNCTION("JOIN(""|"",SORT(TRANSPOSE(SPLIT(A411,""|""))))
"),"Land Use Change")</f>
        <v>Land Use Change</v>
      </c>
    </row>
    <row r="412">
      <c r="A412" s="6" t="s">
        <v>2304</v>
      </c>
      <c r="B412" s="1" t="str">
        <f>IFERROR(__xludf.DUMMYFUNCTION("JOIN(""|"",SORT(TRANSPOSE(SPLIT(A412,""|""))))
"),"Climate|Water Level")</f>
        <v>Climate|Water Level</v>
      </c>
    </row>
    <row r="413">
      <c r="A413" s="33" t="s">
        <v>2335</v>
      </c>
      <c r="B413" s="1" t="str">
        <f>IFERROR(__xludf.DUMMYFUNCTION("JOIN(""|"",SORT(TRANSPOSE(SPLIT(A413,""|""))))
"),"Flooding|Tropical Cyclones")</f>
        <v>Flooding|Tropical Cyclones</v>
      </c>
    </row>
    <row r="414">
      <c r="A414" s="33" t="s">
        <v>823</v>
      </c>
      <c r="B414" s="1" t="str">
        <f>IFERROR(__xludf.DUMMYFUNCTION("JOIN(""|"",SORT(TRANSPOSE(SPLIT(A414,""|""))))
"),"Vegetation")</f>
        <v>Vegetation</v>
      </c>
    </row>
    <row r="415">
      <c r="A415" s="33" t="s">
        <v>2307</v>
      </c>
      <c r="B415" s="1" t="str">
        <f>IFERROR(__xludf.DUMMYFUNCTION("JOIN(""|"",SORT(TRANSPOSE(SPLIT(A415,""|""))))
"),"Climate|Precipitation")</f>
        <v>Climate|Precipitation</v>
      </c>
    </row>
    <row r="416">
      <c r="A416" s="33" t="s">
        <v>156</v>
      </c>
      <c r="B416" s="1" t="str">
        <f>IFERROR(__xludf.DUMMYFUNCTION("JOIN(""|"",SORT(TRANSPOSE(SPLIT(A416,""|""))))
"),"Fire")</f>
        <v>Fire</v>
      </c>
    </row>
    <row r="417">
      <c r="A417" s="33" t="s">
        <v>823</v>
      </c>
      <c r="B417" s="1" t="str">
        <f>IFERROR(__xludf.DUMMYFUNCTION("JOIN(""|"",SORT(TRANSPOSE(SPLIT(A417,""|""))))
"),"Vegetation")</f>
        <v>Vegetation</v>
      </c>
    </row>
    <row r="418">
      <c r="A418" s="6" t="s">
        <v>72</v>
      </c>
      <c r="B418" s="1" t="str">
        <f>IFERROR(__xludf.DUMMYFUNCTION("JOIN(""|"",SORT(TRANSPOSE(SPLIT(A418,""|""))))
"),"Not Reported")</f>
        <v>Not Reported</v>
      </c>
    </row>
    <row r="419">
      <c r="A419" s="6" t="s">
        <v>173</v>
      </c>
      <c r="B419" s="1" t="str">
        <f>IFERROR(__xludf.DUMMYFUNCTION("JOIN(""|"",SORT(TRANSPOSE(SPLIT(A419,""|""))))
"),"Catchment Erosion")</f>
        <v>Catchment Erosion</v>
      </c>
    </row>
    <row r="420">
      <c r="A420" s="6" t="s">
        <v>72</v>
      </c>
      <c r="B420" s="1" t="str">
        <f>IFERROR(__xludf.DUMMYFUNCTION("JOIN(""|"",SORT(TRANSPOSE(SPLIT(A420,""|""))))
"),"Not Reported")</f>
        <v>Not Reported</v>
      </c>
    </row>
    <row r="421">
      <c r="A421" s="33" t="s">
        <v>2305</v>
      </c>
      <c r="B421" s="1" t="str">
        <f>IFERROR(__xludf.DUMMYFUNCTION("JOIN(""|"",SORT(TRANSPOSE(SPLIT(A421,""|""))))
"),"Climate|Precipitation")</f>
        <v>Climate|Precipitation</v>
      </c>
    </row>
    <row r="422">
      <c r="A422" s="33" t="s">
        <v>2305</v>
      </c>
      <c r="B422" s="1" t="str">
        <f>IFERROR(__xludf.DUMMYFUNCTION("JOIN(""|"",SORT(TRANSPOSE(SPLIT(A422,""|""))))
"),"Climate|Precipitation")</f>
        <v>Climate|Precipitation</v>
      </c>
    </row>
    <row r="423">
      <c r="A423" s="33" t="s">
        <v>2305</v>
      </c>
      <c r="B423" s="1" t="str">
        <f>IFERROR(__xludf.DUMMYFUNCTION("JOIN(""|"",SORT(TRANSPOSE(SPLIT(A423,""|""))))
"),"Climate|Precipitation")</f>
        <v>Climate|Precipitation</v>
      </c>
    </row>
    <row r="424">
      <c r="A424" s="33" t="s">
        <v>2305</v>
      </c>
      <c r="B424" s="1" t="str">
        <f>IFERROR(__xludf.DUMMYFUNCTION("JOIN(""|"",SORT(TRANSPOSE(SPLIT(A424,""|""))))
"),"Climate|Precipitation")</f>
        <v>Climate|Precipitation</v>
      </c>
    </row>
    <row r="425">
      <c r="A425" s="33" t="s">
        <v>2305</v>
      </c>
      <c r="B425" s="1" t="str">
        <f>IFERROR(__xludf.DUMMYFUNCTION("JOIN(""|"",SORT(TRANSPOSE(SPLIT(A425,""|""))))
"),"Climate|Precipitation")</f>
        <v>Climate|Precipitation</v>
      </c>
    </row>
    <row r="426">
      <c r="A426" s="33" t="s">
        <v>2336</v>
      </c>
      <c r="B426" s="1" t="str">
        <f>IFERROR(__xludf.DUMMYFUNCTION("JOIN(""|"",SORT(TRANSPOSE(SPLIT(A426,""|""))))
"),"Climate|Precipitation|Sea Level|Temperature|Vegetation")</f>
        <v>Climate|Precipitation|Sea Level|Temperature|Vegetation</v>
      </c>
    </row>
    <row r="427">
      <c r="A427" s="6" t="s">
        <v>72</v>
      </c>
      <c r="B427" s="1" t="str">
        <f>IFERROR(__xludf.DUMMYFUNCTION("JOIN(""|"",SORT(TRANSPOSE(SPLIT(A427,""|""))))
"),"Not Reported")</f>
        <v>Not Reported</v>
      </c>
    </row>
    <row r="428">
      <c r="A428" s="33" t="s">
        <v>2305</v>
      </c>
      <c r="B428" s="1" t="str">
        <f>IFERROR(__xludf.DUMMYFUNCTION("JOIN(""|"",SORT(TRANSPOSE(SPLIT(A428,""|""))))
"),"Climate|Precipitation")</f>
        <v>Climate|Precipitation</v>
      </c>
    </row>
    <row r="429">
      <c r="A429" s="33" t="s">
        <v>156</v>
      </c>
      <c r="B429" s="1" t="str">
        <f>IFERROR(__xludf.DUMMYFUNCTION("JOIN(""|"",SORT(TRANSPOSE(SPLIT(A429,""|""))))
"),"Fire")</f>
        <v>Fire</v>
      </c>
    </row>
    <row r="430">
      <c r="A430" s="33" t="s">
        <v>1736</v>
      </c>
      <c r="B430" s="1" t="str">
        <f>IFERROR(__xludf.DUMMYFUNCTION("JOIN(""|"",SORT(TRANSPOSE(SPLIT(A430,""|""))))
"),"Organic Carbon")</f>
        <v>Organic Carbon</v>
      </c>
    </row>
    <row r="431">
      <c r="A431" s="33" t="s">
        <v>2337</v>
      </c>
      <c r="B431" s="1" t="str">
        <f>IFERROR(__xludf.DUMMYFUNCTION("JOIN(""|"",SORT(TRANSPOSE(SPLIT(A431,""|""))))
"),"Climate|Precipitation|Vegetation")</f>
        <v>Climate|Precipitation|Vegetation</v>
      </c>
    </row>
    <row r="432">
      <c r="A432" s="33" t="s">
        <v>1460</v>
      </c>
      <c r="B432" s="1" t="str">
        <f>IFERROR(__xludf.DUMMYFUNCTION("JOIN(""|"",SORT(TRANSPOSE(SPLIT(A432,""|""))))
"),"Past Soils")</f>
        <v>Past Soils</v>
      </c>
    </row>
    <row r="433">
      <c r="A433" s="33" t="s">
        <v>823</v>
      </c>
      <c r="B433" s="1" t="str">
        <f>IFERROR(__xludf.DUMMYFUNCTION("JOIN(""|"",SORT(TRANSPOSE(SPLIT(A433,""|""))))
"),"Vegetation")</f>
        <v>Vegetation</v>
      </c>
    </row>
    <row r="434">
      <c r="A434" s="33" t="s">
        <v>1460</v>
      </c>
      <c r="B434" s="1" t="str">
        <f>IFERROR(__xludf.DUMMYFUNCTION("JOIN(""|"",SORT(TRANSPOSE(SPLIT(A434,""|""))))
"),"Past Soils")</f>
        <v>Past Soils</v>
      </c>
    </row>
    <row r="435">
      <c r="A435" s="6" t="s">
        <v>173</v>
      </c>
      <c r="B435" s="1" t="str">
        <f>IFERROR(__xludf.DUMMYFUNCTION("JOIN(""|"",SORT(TRANSPOSE(SPLIT(A435,""|""))))
"),"Catchment Erosion")</f>
        <v>Catchment Erosion</v>
      </c>
    </row>
    <row r="436">
      <c r="A436" s="6" t="s">
        <v>173</v>
      </c>
      <c r="B436" s="1" t="str">
        <f>IFERROR(__xludf.DUMMYFUNCTION("JOIN(""|"",SORT(TRANSPOSE(SPLIT(A436,""|""))))
"),"Catchment Erosion")</f>
        <v>Catchment Erosion</v>
      </c>
    </row>
    <row r="437">
      <c r="A437" s="6" t="s">
        <v>173</v>
      </c>
      <c r="B437" s="1" t="str">
        <f>IFERROR(__xludf.DUMMYFUNCTION("JOIN(""|"",SORT(TRANSPOSE(SPLIT(A437,""|""))))
"),"Catchment Erosion")</f>
        <v>Catchment Erosion</v>
      </c>
    </row>
    <row r="438">
      <c r="A438" s="6" t="s">
        <v>173</v>
      </c>
      <c r="B438" s="1" t="str">
        <f>IFERROR(__xludf.DUMMYFUNCTION("JOIN(""|"",SORT(TRANSPOSE(SPLIT(A438,""|""))))
"),"Catchment Erosion")</f>
        <v>Catchment Erosion</v>
      </c>
    </row>
    <row r="439">
      <c r="A439" s="6" t="s">
        <v>173</v>
      </c>
      <c r="B439" s="1" t="str">
        <f>IFERROR(__xludf.DUMMYFUNCTION("JOIN(""|"",SORT(TRANSPOSE(SPLIT(A439,""|""))))
"),"Catchment Erosion")</f>
        <v>Catchment Erosion</v>
      </c>
    </row>
    <row r="440">
      <c r="A440" s="6" t="s">
        <v>2338</v>
      </c>
      <c r="B440" s="1" t="str">
        <f>IFERROR(__xludf.DUMMYFUNCTION("JOIN(""|"",SORT(TRANSPOSE(SPLIT(A440,""|""))))
"),"Catchment Erosion|Land Use Change|Vegetation")</f>
        <v>Catchment Erosion|Land Use Change|Vegetation</v>
      </c>
    </row>
    <row r="441">
      <c r="A441" s="6" t="s">
        <v>2338</v>
      </c>
      <c r="B441" s="1" t="str">
        <f>IFERROR(__xludf.DUMMYFUNCTION("JOIN(""|"",SORT(TRANSPOSE(SPLIT(A441,""|""))))
"),"Catchment Erosion|Land Use Change|Vegetation")</f>
        <v>Catchment Erosion|Land Use Change|Vegetation</v>
      </c>
    </row>
    <row r="442">
      <c r="A442" s="6" t="s">
        <v>2338</v>
      </c>
      <c r="B442" s="1" t="str">
        <f>IFERROR(__xludf.DUMMYFUNCTION("JOIN(""|"",SORT(TRANSPOSE(SPLIT(A442,""|""))))
"),"Catchment Erosion|Land Use Change|Vegetation")</f>
        <v>Catchment Erosion|Land Use Change|Vegetation</v>
      </c>
    </row>
    <row r="443">
      <c r="A443" s="6" t="s">
        <v>2338</v>
      </c>
      <c r="B443" s="1" t="str">
        <f>IFERROR(__xludf.DUMMYFUNCTION("JOIN(""|"",SORT(TRANSPOSE(SPLIT(A443,""|""))))
"),"Catchment Erosion|Land Use Change|Vegetation")</f>
        <v>Catchment Erosion|Land Use Change|Vegetation</v>
      </c>
    </row>
    <row r="444">
      <c r="A444" s="6" t="s">
        <v>2338</v>
      </c>
      <c r="B444" s="1" t="str">
        <f>IFERROR(__xludf.DUMMYFUNCTION("JOIN(""|"",SORT(TRANSPOSE(SPLIT(A444,""|""))))
"),"Catchment Erosion|Land Use Change|Vegetation")</f>
        <v>Catchment Erosion|Land Use Change|Vegetation</v>
      </c>
    </row>
    <row r="445">
      <c r="A445" s="6" t="s">
        <v>173</v>
      </c>
      <c r="B445" s="1" t="str">
        <f>IFERROR(__xludf.DUMMYFUNCTION("JOIN(""|"",SORT(TRANSPOSE(SPLIT(A445,""|""))))
"),"Catchment Erosion")</f>
        <v>Catchment Erosion</v>
      </c>
    </row>
    <row r="446">
      <c r="A446" s="6" t="s">
        <v>173</v>
      </c>
      <c r="B446" s="1" t="str">
        <f>IFERROR(__xludf.DUMMYFUNCTION("JOIN(""|"",SORT(TRANSPOSE(SPLIT(A446,""|""))))
"),"Catchment Erosion")</f>
        <v>Catchment Erosion</v>
      </c>
    </row>
    <row r="447">
      <c r="A447" s="6" t="s">
        <v>173</v>
      </c>
      <c r="B447" s="1" t="str">
        <f>IFERROR(__xludf.DUMMYFUNCTION("JOIN(""|"",SORT(TRANSPOSE(SPLIT(A447,""|""))))
"),"Catchment Erosion")</f>
        <v>Catchment Erosion</v>
      </c>
    </row>
    <row r="448">
      <c r="A448" s="6" t="s">
        <v>173</v>
      </c>
      <c r="B448" s="1" t="str">
        <f>IFERROR(__xludf.DUMMYFUNCTION("JOIN(""|"",SORT(TRANSPOSE(SPLIT(A448,""|""))))
"),"Catchment Erosion")</f>
        <v>Catchment Erosion</v>
      </c>
    </row>
    <row r="449">
      <c r="A449" s="6" t="s">
        <v>173</v>
      </c>
      <c r="B449" s="1" t="str">
        <f>IFERROR(__xludf.DUMMYFUNCTION("JOIN(""|"",SORT(TRANSPOSE(SPLIT(A449,""|""))))
"),"Catchment Erosion")</f>
        <v>Catchment Erosion</v>
      </c>
    </row>
    <row r="450">
      <c r="A450" s="6" t="s">
        <v>2334</v>
      </c>
      <c r="B450" s="1" t="str">
        <f>IFERROR(__xludf.DUMMYFUNCTION("JOIN(""|"",SORT(TRANSPOSE(SPLIT(A450,""|""))))
"),"Catchment Erosion|Land Use Change")</f>
        <v>Catchment Erosion|Land Use Change</v>
      </c>
    </row>
    <row r="451">
      <c r="A451" s="6" t="s">
        <v>2334</v>
      </c>
      <c r="B451" s="1" t="str">
        <f>IFERROR(__xludf.DUMMYFUNCTION("JOIN(""|"",SORT(TRANSPOSE(SPLIT(A451,""|""))))
"),"Catchment Erosion|Land Use Change")</f>
        <v>Catchment Erosion|Land Use Change</v>
      </c>
    </row>
    <row r="452">
      <c r="A452" s="6" t="s">
        <v>2334</v>
      </c>
      <c r="B452" s="1" t="str">
        <f>IFERROR(__xludf.DUMMYFUNCTION("JOIN(""|"",SORT(TRANSPOSE(SPLIT(A452,""|""))))
"),"Catchment Erosion|Land Use Change")</f>
        <v>Catchment Erosion|Land Use Change</v>
      </c>
    </row>
    <row r="453">
      <c r="A453" s="6" t="s">
        <v>2334</v>
      </c>
      <c r="B453" s="1" t="str">
        <f>IFERROR(__xludf.DUMMYFUNCTION("JOIN(""|"",SORT(TRANSPOSE(SPLIT(A453,""|""))))
"),"Catchment Erosion|Land Use Change")</f>
        <v>Catchment Erosion|Land Use Change</v>
      </c>
    </row>
    <row r="454">
      <c r="A454" s="6" t="s">
        <v>2334</v>
      </c>
      <c r="B454" s="1" t="str">
        <f>IFERROR(__xludf.DUMMYFUNCTION("JOIN(""|"",SORT(TRANSPOSE(SPLIT(A454,""|""))))
"),"Catchment Erosion|Land Use Change")</f>
        <v>Catchment Erosion|Land Use Change</v>
      </c>
    </row>
    <row r="455">
      <c r="A455" s="6" t="s">
        <v>1287</v>
      </c>
      <c r="B455" s="1" t="str">
        <f>IFERROR(__xludf.DUMMYFUNCTION("JOIN(""|"",SORT(TRANSPOSE(SPLIT(A455,""|""))))
"),"Vegetation ")</f>
        <v>Vegetation </v>
      </c>
    </row>
    <row r="456">
      <c r="A456" s="33" t="s">
        <v>2307</v>
      </c>
      <c r="B456" s="1" t="str">
        <f>IFERROR(__xludf.DUMMYFUNCTION("JOIN(""|"",SORT(TRANSPOSE(SPLIT(A456,""|""))))
"),"Climate|Precipitation")</f>
        <v>Climate|Precipitation</v>
      </c>
    </row>
    <row r="457">
      <c r="A457" s="33" t="s">
        <v>2307</v>
      </c>
      <c r="B457" s="1" t="str">
        <f>IFERROR(__xludf.DUMMYFUNCTION("JOIN(""|"",SORT(TRANSPOSE(SPLIT(A457,""|""))))
"),"Climate|Precipitation")</f>
        <v>Climate|Precipitation</v>
      </c>
    </row>
    <row r="458">
      <c r="A458" s="33" t="s">
        <v>2307</v>
      </c>
      <c r="B458" s="1" t="str">
        <f>IFERROR(__xludf.DUMMYFUNCTION("JOIN(""|"",SORT(TRANSPOSE(SPLIT(A458,""|""))))
"),"Climate|Precipitation")</f>
        <v>Climate|Precipitation</v>
      </c>
    </row>
    <row r="459">
      <c r="A459" s="33" t="s">
        <v>823</v>
      </c>
      <c r="B459" s="1" t="str">
        <f>IFERROR(__xludf.DUMMYFUNCTION("JOIN(""|"",SORT(TRANSPOSE(SPLIT(A459,""|""))))
"),"Vegetation")</f>
        <v>Vegetation</v>
      </c>
    </row>
    <row r="460">
      <c r="A460" s="33" t="s">
        <v>823</v>
      </c>
      <c r="B460" s="1" t="str">
        <f>IFERROR(__xludf.DUMMYFUNCTION("JOIN(""|"",SORT(TRANSPOSE(SPLIT(A460,""|""))))
"),"Vegetation")</f>
        <v>Vegetation</v>
      </c>
    </row>
    <row r="461">
      <c r="A461" s="33" t="s">
        <v>156</v>
      </c>
      <c r="B461" s="1" t="str">
        <f>IFERROR(__xludf.DUMMYFUNCTION("JOIN(""|"",SORT(TRANSPOSE(SPLIT(A461,""|""))))
"),"Fire")</f>
        <v>Fire</v>
      </c>
    </row>
    <row r="462">
      <c r="A462" s="33" t="s">
        <v>156</v>
      </c>
      <c r="B462" s="1" t="str">
        <f>IFERROR(__xludf.DUMMYFUNCTION("JOIN(""|"",SORT(TRANSPOSE(SPLIT(A462,""|""))))
"),"Fire")</f>
        <v>Fire</v>
      </c>
    </row>
    <row r="463">
      <c r="A463" s="33" t="s">
        <v>2307</v>
      </c>
      <c r="B463" s="1" t="str">
        <f>IFERROR(__xludf.DUMMYFUNCTION("JOIN(""|"",SORT(TRANSPOSE(SPLIT(A463,""|""))))
"),"Climate|Precipitation")</f>
        <v>Climate|Precipitation</v>
      </c>
    </row>
    <row r="464">
      <c r="A464" s="33" t="s">
        <v>2301</v>
      </c>
      <c r="B464" s="1" t="str">
        <f>IFERROR(__xludf.DUMMYFUNCTION("JOIN(""|"",SORT(TRANSPOSE(SPLIT(A464,""|""))))
"),"Climate|Vegetation")</f>
        <v>Climate|Vegetation</v>
      </c>
    </row>
    <row r="465">
      <c r="A465" s="33" t="s">
        <v>2301</v>
      </c>
      <c r="B465" s="1" t="str">
        <f>IFERROR(__xludf.DUMMYFUNCTION("JOIN(""|"",SORT(TRANSPOSE(SPLIT(A465,""|""))))
"),"Climate|Vegetation")</f>
        <v>Climate|Vegetation</v>
      </c>
    </row>
    <row r="466">
      <c r="A466" s="33" t="s">
        <v>156</v>
      </c>
      <c r="B466" s="1" t="str">
        <f>IFERROR(__xludf.DUMMYFUNCTION("JOIN(""|"",SORT(TRANSPOSE(SPLIT(A466,""|""))))
"),"Fire")</f>
        <v>Fire</v>
      </c>
    </row>
    <row r="467">
      <c r="A467" s="6" t="s">
        <v>72</v>
      </c>
      <c r="B467" s="1" t="str">
        <f>IFERROR(__xludf.DUMMYFUNCTION("JOIN(""|"",SORT(TRANSPOSE(SPLIT(A467,""|""))))
"),"Not Reported")</f>
        <v>Not Reported</v>
      </c>
    </row>
    <row r="468">
      <c r="A468" s="33" t="s">
        <v>2307</v>
      </c>
      <c r="B468" s="1" t="str">
        <f>IFERROR(__xludf.DUMMYFUNCTION("JOIN(""|"",SORT(TRANSPOSE(SPLIT(A468,""|""))))
"),"Climate|Precipitation")</f>
        <v>Climate|Precipitation</v>
      </c>
    </row>
    <row r="469">
      <c r="A469" s="33" t="s">
        <v>2307</v>
      </c>
      <c r="B469" s="1" t="str">
        <f>IFERROR(__xludf.DUMMYFUNCTION("JOIN(""|"",SORT(TRANSPOSE(SPLIT(A469,""|""))))
"),"Climate|Precipitation")</f>
        <v>Climate|Precipitation</v>
      </c>
    </row>
    <row r="470">
      <c r="A470" s="33" t="s">
        <v>2307</v>
      </c>
      <c r="B470" s="1" t="str">
        <f>IFERROR(__xludf.DUMMYFUNCTION("JOIN(""|"",SORT(TRANSPOSE(SPLIT(A470,""|""))))
"),"Climate|Precipitation")</f>
        <v>Climate|Precipitation</v>
      </c>
    </row>
    <row r="471">
      <c r="A471" s="6" t="s">
        <v>2324</v>
      </c>
      <c r="B471" s="1" t="str">
        <f>IFERROR(__xludf.DUMMYFUNCTION("JOIN(""|"",SORT(TRANSPOSE(SPLIT(A471,""|""))))
"),"Catchment Erosion|Climate|Precipitation")</f>
        <v>Catchment Erosion|Climate|Precipitation</v>
      </c>
    </row>
    <row r="472">
      <c r="A472" s="33" t="s">
        <v>2317</v>
      </c>
      <c r="B472" s="1" t="str">
        <f>IFERROR(__xludf.DUMMYFUNCTION("JOIN(""|"",SORT(TRANSPOSE(SPLIT(A472,""|""))))
"),"Climate|Precipitation|Vegetation")</f>
        <v>Climate|Precipitation|Vegetation</v>
      </c>
    </row>
    <row r="473">
      <c r="A473" s="33" t="s">
        <v>2307</v>
      </c>
      <c r="B473" s="1" t="str">
        <f>IFERROR(__xludf.DUMMYFUNCTION("JOIN(""|"",SORT(TRANSPOSE(SPLIT(A473,""|""))))
"),"Climate|Precipitation")</f>
        <v>Climate|Precipitation</v>
      </c>
    </row>
    <row r="474">
      <c r="A474" s="33" t="s">
        <v>454</v>
      </c>
      <c r="B474" s="1" t="str">
        <f>IFERROR(__xludf.DUMMYFUNCTION("JOIN(""|"",SORT(TRANSPOSE(SPLIT(A474,""|""))))
"),"Productivity")</f>
        <v>Productivity</v>
      </c>
    </row>
    <row r="475">
      <c r="A475" s="6" t="s">
        <v>173</v>
      </c>
      <c r="B475" s="1" t="str">
        <f>IFERROR(__xludf.DUMMYFUNCTION("JOIN(""|"",SORT(TRANSPOSE(SPLIT(A475,""|""))))
"),"Catchment Erosion")</f>
        <v>Catchment Erosion</v>
      </c>
    </row>
    <row r="476">
      <c r="A476" s="33" t="s">
        <v>2307</v>
      </c>
      <c r="B476" s="1" t="str">
        <f>IFERROR(__xludf.DUMMYFUNCTION("JOIN(""|"",SORT(TRANSPOSE(SPLIT(A476,""|""))))
"),"Climate|Precipitation")</f>
        <v>Climate|Precipitation</v>
      </c>
    </row>
    <row r="477">
      <c r="A477" s="33" t="s">
        <v>656</v>
      </c>
      <c r="B477" s="1" t="str">
        <f>IFERROR(__xludf.DUMMYFUNCTION("JOIN(""|"",SORT(TRANSPOSE(SPLIT(A477,""|""))))
"),"Tropical Cyclones")</f>
        <v>Tropical Cyclones</v>
      </c>
    </row>
    <row r="478">
      <c r="A478" s="33" t="s">
        <v>656</v>
      </c>
      <c r="B478" s="1" t="str">
        <f>IFERROR(__xludf.DUMMYFUNCTION("JOIN(""|"",SORT(TRANSPOSE(SPLIT(A478,""|""))))
"),"Tropical Cyclones")</f>
        <v>Tropical Cyclones</v>
      </c>
    </row>
    <row r="479">
      <c r="A479" s="33" t="s">
        <v>656</v>
      </c>
      <c r="B479" s="1" t="str">
        <f>IFERROR(__xludf.DUMMYFUNCTION("JOIN(""|"",SORT(TRANSPOSE(SPLIT(A479,""|""))))
"),"Tropical Cyclones")</f>
        <v>Tropical Cyclones</v>
      </c>
    </row>
    <row r="480">
      <c r="A480" s="33" t="s">
        <v>656</v>
      </c>
      <c r="B480" s="1" t="str">
        <f>IFERROR(__xludf.DUMMYFUNCTION("JOIN(""|"",SORT(TRANSPOSE(SPLIT(A480,""|""))))
"),"Tropical Cyclones")</f>
        <v>Tropical Cyclones</v>
      </c>
    </row>
    <row r="481">
      <c r="A481" s="33" t="s">
        <v>656</v>
      </c>
      <c r="B481" s="1" t="str">
        <f>IFERROR(__xludf.DUMMYFUNCTION("JOIN(""|"",SORT(TRANSPOSE(SPLIT(A481,""|""))))
"),"Tropical Cyclones")</f>
        <v>Tropical Cyclones</v>
      </c>
    </row>
    <row r="482">
      <c r="A482" s="33" t="s">
        <v>656</v>
      </c>
      <c r="B482" s="1" t="str">
        <f>IFERROR(__xludf.DUMMYFUNCTION("JOIN(""|"",SORT(TRANSPOSE(SPLIT(A482,""|""))))
"),"Tropical Cyclones")</f>
        <v>Tropical Cyclones</v>
      </c>
    </row>
    <row r="483">
      <c r="A483" s="33" t="s">
        <v>656</v>
      </c>
      <c r="B483" s="1" t="str">
        <f>IFERROR(__xludf.DUMMYFUNCTION("JOIN(""|"",SORT(TRANSPOSE(SPLIT(A483,""|""))))
"),"Tropical Cyclones")</f>
        <v>Tropical Cyclones</v>
      </c>
    </row>
    <row r="484">
      <c r="A484" s="33" t="s">
        <v>656</v>
      </c>
      <c r="B484" s="1" t="str">
        <f>IFERROR(__xludf.DUMMYFUNCTION("JOIN(""|"",SORT(TRANSPOSE(SPLIT(A484,""|""))))
"),"Tropical Cyclones")</f>
        <v>Tropical Cyclones</v>
      </c>
    </row>
    <row r="485">
      <c r="A485" s="33" t="s">
        <v>656</v>
      </c>
      <c r="B485" s="1" t="str">
        <f>IFERROR(__xludf.DUMMYFUNCTION("JOIN(""|"",SORT(TRANSPOSE(SPLIT(A485,""|""))))
"),"Tropical Cyclones")</f>
        <v>Tropical Cyclones</v>
      </c>
    </row>
    <row r="486">
      <c r="A486" s="33" t="s">
        <v>656</v>
      </c>
      <c r="B486" s="1" t="str">
        <f>IFERROR(__xludf.DUMMYFUNCTION("JOIN(""|"",SORT(TRANSPOSE(SPLIT(A486,""|""))))
"),"Tropical Cyclones")</f>
        <v>Tropical Cyclones</v>
      </c>
    </row>
    <row r="487">
      <c r="A487" s="33" t="s">
        <v>656</v>
      </c>
      <c r="B487" s="1" t="str">
        <f>IFERROR(__xludf.DUMMYFUNCTION("JOIN(""|"",SORT(TRANSPOSE(SPLIT(A487,""|""))))
"),"Tropical Cyclones")</f>
        <v>Tropical Cyclones</v>
      </c>
    </row>
    <row r="488">
      <c r="A488" s="33" t="s">
        <v>656</v>
      </c>
      <c r="B488" s="1" t="str">
        <f>IFERROR(__xludf.DUMMYFUNCTION("JOIN(""|"",SORT(TRANSPOSE(SPLIT(A488,""|""))))
"),"Tropical Cyclones")</f>
        <v>Tropical Cyclones</v>
      </c>
    </row>
    <row r="489">
      <c r="A489" s="33" t="s">
        <v>656</v>
      </c>
      <c r="B489" s="1" t="str">
        <f>IFERROR(__xludf.DUMMYFUNCTION("JOIN(""|"",SORT(TRANSPOSE(SPLIT(A489,""|""))))
"),"Tropical Cyclones")</f>
        <v>Tropical Cyclones</v>
      </c>
    </row>
    <row r="490">
      <c r="A490" s="33" t="s">
        <v>656</v>
      </c>
      <c r="B490" s="1" t="str">
        <f>IFERROR(__xludf.DUMMYFUNCTION("JOIN(""|"",SORT(TRANSPOSE(SPLIT(A490,""|""))))
"),"Tropical Cyclones")</f>
        <v>Tropical Cyclones</v>
      </c>
    </row>
    <row r="491">
      <c r="A491" s="33" t="s">
        <v>656</v>
      </c>
      <c r="B491" s="1" t="str">
        <f>IFERROR(__xludf.DUMMYFUNCTION("JOIN(""|"",SORT(TRANSPOSE(SPLIT(A491,""|""))))
"),"Tropical Cyclones")</f>
        <v>Tropical Cyclones</v>
      </c>
    </row>
    <row r="492">
      <c r="A492" s="33" t="s">
        <v>656</v>
      </c>
      <c r="B492" s="1" t="str">
        <f>IFERROR(__xludf.DUMMYFUNCTION("JOIN(""|"",SORT(TRANSPOSE(SPLIT(A492,""|""))))
"),"Tropical Cyclones")</f>
        <v>Tropical Cyclones</v>
      </c>
    </row>
    <row r="493">
      <c r="A493" s="33" t="s">
        <v>656</v>
      </c>
      <c r="B493" s="1" t="str">
        <f>IFERROR(__xludf.DUMMYFUNCTION("JOIN(""|"",SORT(TRANSPOSE(SPLIT(A493,""|""))))
"),"Tropical Cyclones")</f>
        <v>Tropical Cyclones</v>
      </c>
    </row>
    <row r="494">
      <c r="A494" s="33" t="s">
        <v>656</v>
      </c>
      <c r="B494" s="1" t="str">
        <f>IFERROR(__xludf.DUMMYFUNCTION("JOIN(""|"",SORT(TRANSPOSE(SPLIT(A494,""|""))))
"),"Tropical Cyclones")</f>
        <v>Tropical Cyclones</v>
      </c>
    </row>
    <row r="495">
      <c r="A495" s="33" t="s">
        <v>656</v>
      </c>
      <c r="B495" s="1" t="str">
        <f>IFERROR(__xludf.DUMMYFUNCTION("JOIN(""|"",SORT(TRANSPOSE(SPLIT(A495,""|""))))
"),"Tropical Cyclones")</f>
        <v>Tropical Cyclones</v>
      </c>
    </row>
    <row r="496">
      <c r="A496" s="33" t="s">
        <v>656</v>
      </c>
      <c r="B496" s="1" t="str">
        <f>IFERROR(__xludf.DUMMYFUNCTION("JOIN(""|"",SORT(TRANSPOSE(SPLIT(A496,""|""))))
"),"Tropical Cyclones")</f>
        <v>Tropical Cyclones</v>
      </c>
    </row>
    <row r="497">
      <c r="A497" s="33" t="s">
        <v>656</v>
      </c>
      <c r="B497" s="1" t="str">
        <f>IFERROR(__xludf.DUMMYFUNCTION("JOIN(""|"",SORT(TRANSPOSE(SPLIT(A497,""|""))))
"),"Tropical Cyclones")</f>
        <v>Tropical Cyclones</v>
      </c>
    </row>
    <row r="498">
      <c r="A498" s="33" t="s">
        <v>656</v>
      </c>
      <c r="B498" s="1" t="str">
        <f>IFERROR(__xludf.DUMMYFUNCTION("JOIN(""|"",SORT(TRANSPOSE(SPLIT(A498,""|""))))
"),"Tropical Cyclones")</f>
        <v>Tropical Cyclones</v>
      </c>
    </row>
    <row r="499">
      <c r="A499" s="33" t="s">
        <v>656</v>
      </c>
      <c r="B499" s="1" t="str">
        <f>IFERROR(__xludf.DUMMYFUNCTION("JOIN(""|"",SORT(TRANSPOSE(SPLIT(A499,""|""))))
"),"Tropical Cyclones")</f>
        <v>Tropical Cyclones</v>
      </c>
    </row>
    <row r="500">
      <c r="A500" s="33" t="s">
        <v>656</v>
      </c>
      <c r="B500" s="1" t="str">
        <f>IFERROR(__xludf.DUMMYFUNCTION("JOIN(""|"",SORT(TRANSPOSE(SPLIT(A500,""|""))))
"),"Tropical Cyclones")</f>
        <v>Tropical Cyclones</v>
      </c>
    </row>
    <row r="501">
      <c r="A501" s="33" t="s">
        <v>656</v>
      </c>
      <c r="B501" s="1" t="str">
        <f>IFERROR(__xludf.DUMMYFUNCTION("JOIN(""|"",SORT(TRANSPOSE(SPLIT(A501,""|""))))
"),"Tropical Cyclones")</f>
        <v>Tropical Cyclones</v>
      </c>
    </row>
    <row r="502">
      <c r="A502" s="33" t="s">
        <v>656</v>
      </c>
      <c r="B502" s="1" t="str">
        <f>IFERROR(__xludf.DUMMYFUNCTION("JOIN(""|"",SORT(TRANSPOSE(SPLIT(A502,""|""))))
"),"Tropical Cyclones")</f>
        <v>Tropical Cyclones</v>
      </c>
    </row>
    <row r="503">
      <c r="A503" s="6" t="s">
        <v>2311</v>
      </c>
      <c r="B503" s="1" t="str">
        <f>IFERROR(__xludf.DUMMYFUNCTION("JOIN(""|"",SORT(TRANSPOSE(SPLIT(A503,""|""))))
"),"Climate|Precipitation|Water Level")</f>
        <v>Climate|Precipitation|Water Level</v>
      </c>
    </row>
    <row r="504">
      <c r="A504" s="6" t="s">
        <v>2311</v>
      </c>
      <c r="B504" s="1" t="str">
        <f>IFERROR(__xludf.DUMMYFUNCTION("JOIN(""|"",SORT(TRANSPOSE(SPLIT(A504,""|""))))
"),"Climate|Precipitation|Water Level")</f>
        <v>Climate|Precipitation|Water Level</v>
      </c>
    </row>
    <row r="505">
      <c r="A505" s="33" t="s">
        <v>1533</v>
      </c>
      <c r="B505" s="1" t="str">
        <f>IFERROR(__xludf.DUMMYFUNCTION("JOIN(""|"",SORT(TRANSPOSE(SPLIT(A505,""|""))))
"),"Salinity")</f>
        <v>Salinity</v>
      </c>
    </row>
    <row r="506">
      <c r="A506" s="6" t="s">
        <v>173</v>
      </c>
      <c r="B506" s="1" t="str">
        <f>IFERROR(__xludf.DUMMYFUNCTION("JOIN(""|"",SORT(TRANSPOSE(SPLIT(A506,""|""))))
"),"Catchment Erosion")</f>
        <v>Catchment Erosion</v>
      </c>
    </row>
    <row r="507">
      <c r="A507" s="6" t="s">
        <v>173</v>
      </c>
      <c r="B507" s="1" t="str">
        <f>IFERROR(__xludf.DUMMYFUNCTION("JOIN(""|"",SORT(TRANSPOSE(SPLIT(A507,""|""))))
"),"Catchment Erosion")</f>
        <v>Catchment Erosion</v>
      </c>
    </row>
    <row r="508">
      <c r="A508" s="6" t="s">
        <v>173</v>
      </c>
      <c r="B508" s="1" t="str">
        <f>IFERROR(__xludf.DUMMYFUNCTION("JOIN(""|"",SORT(TRANSPOSE(SPLIT(A508,""|""))))
"),"Catchment Erosion")</f>
        <v>Catchment Erosion</v>
      </c>
    </row>
    <row r="509">
      <c r="A509" s="6" t="s">
        <v>173</v>
      </c>
      <c r="B509" s="1" t="str">
        <f>IFERROR(__xludf.DUMMYFUNCTION("JOIN(""|"",SORT(TRANSPOSE(SPLIT(A509,""|""))))
"),"Catchment Erosion")</f>
        <v>Catchment Erosion</v>
      </c>
    </row>
    <row r="510">
      <c r="A510" s="6" t="s">
        <v>173</v>
      </c>
      <c r="B510" s="1" t="str">
        <f>IFERROR(__xludf.DUMMYFUNCTION("JOIN(""|"",SORT(TRANSPOSE(SPLIT(A510,""|""))))
"),"Catchment Erosion")</f>
        <v>Catchment Erosion</v>
      </c>
    </row>
    <row r="511">
      <c r="A511" s="33" t="s">
        <v>823</v>
      </c>
      <c r="B511" s="1" t="str">
        <f>IFERROR(__xludf.DUMMYFUNCTION("JOIN(""|"",SORT(TRANSPOSE(SPLIT(A511,""|""))))
"),"Vegetation")</f>
        <v>Vegetation</v>
      </c>
    </row>
    <row r="512">
      <c r="A512" s="33" t="s">
        <v>823</v>
      </c>
      <c r="B512" s="1" t="str">
        <f>IFERROR(__xludf.DUMMYFUNCTION("JOIN(""|"",SORT(TRANSPOSE(SPLIT(A512,""|""))))
"),"Vegetation")</f>
        <v>Vegetation</v>
      </c>
    </row>
    <row r="513">
      <c r="A513" s="33" t="s">
        <v>823</v>
      </c>
      <c r="B513" s="1" t="str">
        <f>IFERROR(__xludf.DUMMYFUNCTION("JOIN(""|"",SORT(TRANSPOSE(SPLIT(A513,""|""))))
"),"Vegetation")</f>
        <v>Vegetation</v>
      </c>
    </row>
    <row r="514">
      <c r="A514" s="33" t="s">
        <v>823</v>
      </c>
      <c r="B514" s="1" t="str">
        <f>IFERROR(__xludf.DUMMYFUNCTION("JOIN(""|"",SORT(TRANSPOSE(SPLIT(A514,""|""))))
"),"Vegetation")</f>
        <v>Vegetation</v>
      </c>
    </row>
    <row r="515">
      <c r="A515" s="33" t="s">
        <v>823</v>
      </c>
      <c r="B515" s="1" t="str">
        <f>IFERROR(__xludf.DUMMYFUNCTION("JOIN(""|"",SORT(TRANSPOSE(SPLIT(A515,""|""))))
"),"Vegetation")</f>
        <v>Vegetation</v>
      </c>
    </row>
    <row r="516">
      <c r="A516" s="33"/>
      <c r="B516" s="1" t="str">
        <f>IFERROR(__xludf.DUMMYFUNCTION("JOIN(""|"",SORT(TRANSPOSE(SPLIT(A516,""|""))))
"),"#VALUE!")</f>
        <v>#VALUE!</v>
      </c>
    </row>
    <row r="517">
      <c r="A517" s="33"/>
      <c r="B517" s="1" t="str">
        <f>IFERROR(__xludf.DUMMYFUNCTION("JOIN(""|"",SORT(TRANSPOSE(SPLIT(A517,""|""))))
"),"#VALUE!")</f>
        <v>#VALUE!</v>
      </c>
    </row>
    <row r="518">
      <c r="A518" s="33"/>
      <c r="B518" s="1" t="str">
        <f>IFERROR(__xludf.DUMMYFUNCTION("JOIN(""|"",SORT(TRANSPOSE(SPLIT(A518,""|""))))
"),"#VALUE!")</f>
        <v>#VALUE!</v>
      </c>
    </row>
    <row r="519">
      <c r="A519" s="33"/>
      <c r="B519" s="1" t="str">
        <f>IFERROR(__xludf.DUMMYFUNCTION("JOIN(""|"",SORT(TRANSPOSE(SPLIT(A519,""|""))))
"),"#VALUE!")</f>
        <v>#VALUE!</v>
      </c>
    </row>
    <row r="520">
      <c r="A520" s="33"/>
      <c r="B520" s="1" t="str">
        <f>IFERROR(__xludf.DUMMYFUNCTION("JOIN(""|"",SORT(TRANSPOSE(SPLIT(A520,""|""))))
"),"#VALUE!")</f>
        <v>#VALUE!</v>
      </c>
    </row>
    <row r="521">
      <c r="A521" s="33" t="s">
        <v>156</v>
      </c>
      <c r="B521" s="1" t="str">
        <f>IFERROR(__xludf.DUMMYFUNCTION("JOIN(""|"",SORT(TRANSPOSE(SPLIT(A521,""|""))))
"),"Fire")</f>
        <v>Fire</v>
      </c>
    </row>
    <row r="522">
      <c r="A522" s="33" t="s">
        <v>156</v>
      </c>
      <c r="B522" s="1" t="str">
        <f>IFERROR(__xludf.DUMMYFUNCTION("JOIN(""|"",SORT(TRANSPOSE(SPLIT(A522,""|""))))
"),"Fire")</f>
        <v>Fire</v>
      </c>
    </row>
    <row r="523">
      <c r="A523" s="33" t="s">
        <v>823</v>
      </c>
      <c r="B523" s="1" t="str">
        <f>IFERROR(__xludf.DUMMYFUNCTION("JOIN(""|"",SORT(TRANSPOSE(SPLIT(A523,""|""))))
"),"Vegetation")</f>
        <v>Vegetation</v>
      </c>
    </row>
    <row r="524">
      <c r="A524" s="6" t="s">
        <v>173</v>
      </c>
      <c r="B524" s="1" t="str">
        <f>IFERROR(__xludf.DUMMYFUNCTION("JOIN(""|"",SORT(TRANSPOSE(SPLIT(A524,""|""))))
"),"Catchment Erosion")</f>
        <v>Catchment Erosion</v>
      </c>
    </row>
    <row r="525">
      <c r="A525" s="6" t="s">
        <v>173</v>
      </c>
      <c r="B525" s="1" t="str">
        <f>IFERROR(__xludf.DUMMYFUNCTION("JOIN(""|"",SORT(TRANSPOSE(SPLIT(A525,""|""))))
"),"Catchment Erosion")</f>
        <v>Catchment Erosion</v>
      </c>
    </row>
    <row r="526">
      <c r="A526" s="6" t="s">
        <v>173</v>
      </c>
      <c r="B526" s="1" t="str">
        <f>IFERROR(__xludf.DUMMYFUNCTION("JOIN(""|"",SORT(TRANSPOSE(SPLIT(A526,""|""))))
"),"Catchment Erosion")</f>
        <v>Catchment Erosion</v>
      </c>
    </row>
    <row r="527">
      <c r="A527" s="6" t="s">
        <v>173</v>
      </c>
      <c r="B527" s="1" t="str">
        <f>IFERROR(__xludf.DUMMYFUNCTION("JOIN(""|"",SORT(TRANSPOSE(SPLIT(A527,""|""))))
"),"Catchment Erosion")</f>
        <v>Catchment Erosion</v>
      </c>
    </row>
    <row r="528">
      <c r="A528" s="6" t="s">
        <v>173</v>
      </c>
      <c r="B528" s="1" t="str">
        <f>IFERROR(__xludf.DUMMYFUNCTION("JOIN(""|"",SORT(TRANSPOSE(SPLIT(A528,""|""))))
"),"Catchment Erosion")</f>
        <v>Catchment Erosion</v>
      </c>
    </row>
    <row r="529">
      <c r="A529" s="33" t="s">
        <v>823</v>
      </c>
      <c r="B529" s="1" t="str">
        <f>IFERROR(__xludf.DUMMYFUNCTION("JOIN(""|"",SORT(TRANSPOSE(SPLIT(A529,""|""))))
"),"Vegetation")</f>
        <v>Vegetation</v>
      </c>
    </row>
    <row r="530">
      <c r="A530" s="6" t="s">
        <v>173</v>
      </c>
      <c r="B530" s="1" t="str">
        <f>IFERROR(__xludf.DUMMYFUNCTION("JOIN(""|"",SORT(TRANSPOSE(SPLIT(A530,""|""))))
"),"Catchment Erosion")</f>
        <v>Catchment Erosion</v>
      </c>
    </row>
    <row r="531">
      <c r="A531" s="6" t="s">
        <v>173</v>
      </c>
      <c r="B531" s="1" t="str">
        <f>IFERROR(__xludf.DUMMYFUNCTION("JOIN(""|"",SORT(TRANSPOSE(SPLIT(A531,""|""))))
"),"Catchment Erosion")</f>
        <v>Catchment Erosion</v>
      </c>
    </row>
    <row r="532">
      <c r="A532" s="6" t="s">
        <v>2339</v>
      </c>
      <c r="B532" s="1" t="str">
        <f>IFERROR(__xludf.DUMMYFUNCTION("JOIN(""|"",SORT(TRANSPOSE(SPLIT(A532,""|""))))
"),"Catchment Erosion|Vegetation")</f>
        <v>Catchment Erosion|Vegetation</v>
      </c>
    </row>
    <row r="533">
      <c r="A533" s="6" t="s">
        <v>72</v>
      </c>
      <c r="B533" s="1" t="str">
        <f>IFERROR(__xludf.DUMMYFUNCTION("JOIN(""|"",SORT(TRANSPOSE(SPLIT(A533,""|""))))
"),"Not Reported")</f>
        <v>Not Reported</v>
      </c>
    </row>
    <row r="534">
      <c r="A534" s="33"/>
      <c r="B534" s="1" t="str">
        <f>IFERROR(__xludf.DUMMYFUNCTION("JOIN(""|"",SORT(TRANSPOSE(SPLIT(A534,""|""))))
"),"#VALUE!")</f>
        <v>#VALUE!</v>
      </c>
    </row>
    <row r="535">
      <c r="A535" s="33"/>
      <c r="B535" s="1" t="str">
        <f>IFERROR(__xludf.DUMMYFUNCTION("JOIN(""|"",SORT(TRANSPOSE(SPLIT(A535,""|""))))
"),"#VALUE!")</f>
        <v>#VALUE!</v>
      </c>
    </row>
    <row r="536">
      <c r="A536" s="33"/>
      <c r="B536" s="1" t="str">
        <f>IFERROR(__xludf.DUMMYFUNCTION("JOIN(""|"",SORT(TRANSPOSE(SPLIT(A536,""|""))))
"),"#VALUE!")</f>
        <v>#VALUE!</v>
      </c>
    </row>
    <row r="537">
      <c r="A537" s="33" t="s">
        <v>2307</v>
      </c>
      <c r="B537" s="1" t="str">
        <f>IFERROR(__xludf.DUMMYFUNCTION("JOIN(""|"",SORT(TRANSPOSE(SPLIT(A537,""|""))))
"),"Climate|Precipitation")</f>
        <v>Climate|Precipitation</v>
      </c>
    </row>
    <row r="538">
      <c r="A538" s="33" t="s">
        <v>2340</v>
      </c>
      <c r="B538" s="1" t="str">
        <f>IFERROR(__xludf.DUMMYFUNCTION("JOIN(""|"",SORT(TRANSPOSE(SPLIT(A538,""|""))))
"),"Climate|Temperature")</f>
        <v>Climate|Temperature</v>
      </c>
    </row>
    <row r="539">
      <c r="A539" s="6" t="s">
        <v>72</v>
      </c>
      <c r="B539" s="1" t="str">
        <f>IFERROR(__xludf.DUMMYFUNCTION("JOIN(""|"",SORT(TRANSPOSE(SPLIT(A539,""|""))))
"),"Not Reported")</f>
        <v>Not Reported</v>
      </c>
    </row>
    <row r="540">
      <c r="A540" s="33" t="s">
        <v>2307</v>
      </c>
      <c r="B540" s="1" t="str">
        <f>IFERROR(__xludf.DUMMYFUNCTION("JOIN(""|"",SORT(TRANSPOSE(SPLIT(A540,""|""))))
"),"Climate|Precipitation")</f>
        <v>Climate|Precipitation</v>
      </c>
    </row>
    <row r="541">
      <c r="A541" s="33" t="s">
        <v>2307</v>
      </c>
      <c r="B541" s="1" t="str">
        <f>IFERROR(__xludf.DUMMYFUNCTION("JOIN(""|"",SORT(TRANSPOSE(SPLIT(A541,""|""))))
"),"Climate|Precipitation")</f>
        <v>Climate|Precipitation</v>
      </c>
    </row>
    <row r="542">
      <c r="A542" s="33" t="s">
        <v>2306</v>
      </c>
      <c r="B542" s="1" t="str">
        <f>IFERROR(__xludf.DUMMYFUNCTION("JOIN(""|"",SORT(TRANSPOSE(SPLIT(A542,""|""))))
"),"Temperature|Vegetation")</f>
        <v>Temperature|Vegetation</v>
      </c>
    </row>
    <row r="543">
      <c r="A543" s="6" t="s">
        <v>72</v>
      </c>
      <c r="B543" s="1" t="str">
        <f>IFERROR(__xludf.DUMMYFUNCTION("JOIN(""|"",SORT(TRANSPOSE(SPLIT(A543,""|""))))
"),"Not Reported")</f>
        <v>Not Reported</v>
      </c>
    </row>
    <row r="544">
      <c r="A544" s="6" t="s">
        <v>72</v>
      </c>
      <c r="B544" s="1" t="str">
        <f>IFERROR(__xludf.DUMMYFUNCTION("JOIN(""|"",SORT(TRANSPOSE(SPLIT(A544,""|""))))
"),"Not Reported")</f>
        <v>Not Reported</v>
      </c>
    </row>
    <row r="545">
      <c r="A545" s="33" t="s">
        <v>823</v>
      </c>
      <c r="B545" s="1" t="str">
        <f>IFERROR(__xludf.DUMMYFUNCTION("JOIN(""|"",SORT(TRANSPOSE(SPLIT(A545,""|""))))
"),"Vegetation")</f>
        <v>Vegetation</v>
      </c>
    </row>
    <row r="546">
      <c r="A546" s="33" t="s">
        <v>2305</v>
      </c>
      <c r="B546" s="1" t="str">
        <f>IFERROR(__xludf.DUMMYFUNCTION("JOIN(""|"",SORT(TRANSPOSE(SPLIT(A546,""|""))))
"),"Climate|Precipitation")</f>
        <v>Climate|Precipitation</v>
      </c>
    </row>
    <row r="547">
      <c r="A547" s="6" t="s">
        <v>2341</v>
      </c>
      <c r="B547" s="1" t="str">
        <f>IFERROR(__xludf.DUMMYFUNCTION("JOIN(""|"",SORT(TRANSPOSE(SPLIT(A547,""|""))))
"),"Catchment Erosion|Climate|Land Use Change|Precipitation")</f>
        <v>Catchment Erosion|Climate|Land Use Change|Precipitation</v>
      </c>
    </row>
    <row r="548">
      <c r="A548" s="6" t="s">
        <v>2341</v>
      </c>
      <c r="B548" s="1" t="str">
        <f>IFERROR(__xludf.DUMMYFUNCTION("JOIN(""|"",SORT(TRANSPOSE(SPLIT(A548,""|""))))
"),"Catchment Erosion|Climate|Land Use Change|Precipitation")</f>
        <v>Catchment Erosion|Climate|Land Use Change|Precipitation</v>
      </c>
    </row>
    <row r="549">
      <c r="A549" s="6" t="s">
        <v>2341</v>
      </c>
      <c r="B549" s="1" t="str">
        <f>IFERROR(__xludf.DUMMYFUNCTION("JOIN(""|"",SORT(TRANSPOSE(SPLIT(A549,""|""))))
"),"Catchment Erosion|Climate|Land Use Change|Precipitation")</f>
        <v>Catchment Erosion|Climate|Land Use Change|Precipitation</v>
      </c>
    </row>
    <row r="550">
      <c r="A550" s="33" t="s">
        <v>156</v>
      </c>
      <c r="B550" s="1" t="str">
        <f>IFERROR(__xludf.DUMMYFUNCTION("JOIN(""|"",SORT(TRANSPOSE(SPLIT(A550,""|""))))
"),"Fire")</f>
        <v>Fire</v>
      </c>
    </row>
    <row r="551">
      <c r="A551" s="33" t="s">
        <v>823</v>
      </c>
      <c r="B551" s="1" t="str">
        <f>IFERROR(__xludf.DUMMYFUNCTION("JOIN(""|"",SORT(TRANSPOSE(SPLIT(A551,""|""))))
"),"Vegetation")</f>
        <v>Vegetation</v>
      </c>
    </row>
    <row r="552">
      <c r="A552" s="33" t="s">
        <v>156</v>
      </c>
      <c r="B552" s="1" t="str">
        <f>IFERROR(__xludf.DUMMYFUNCTION("JOIN(""|"",SORT(TRANSPOSE(SPLIT(A552,""|""))))
"),"Fire")</f>
        <v>Fire</v>
      </c>
    </row>
    <row r="553">
      <c r="A553" s="33" t="s">
        <v>823</v>
      </c>
      <c r="B553" s="1" t="str">
        <f>IFERROR(__xludf.DUMMYFUNCTION("JOIN(""|"",SORT(TRANSPOSE(SPLIT(A553,""|""))))
"),"Vegetation")</f>
        <v>Vegetation</v>
      </c>
    </row>
    <row r="554">
      <c r="A554" s="33" t="s">
        <v>116</v>
      </c>
      <c r="B554" s="1" t="str">
        <f>IFERROR(__xludf.DUMMYFUNCTION("JOIN(""|"",SORT(TRANSPOSE(SPLIT(A554,""|""))))
"),"Land Use Change")</f>
        <v>Land Use Change</v>
      </c>
    </row>
    <row r="555">
      <c r="A555" s="33" t="s">
        <v>116</v>
      </c>
      <c r="B555" s="1" t="str">
        <f>IFERROR(__xludf.DUMMYFUNCTION("JOIN(""|"",SORT(TRANSPOSE(SPLIT(A555,""|""))))
"),"Land Use Change")</f>
        <v>Land Use Change</v>
      </c>
    </row>
    <row r="556">
      <c r="A556" s="33" t="s">
        <v>116</v>
      </c>
      <c r="B556" s="1" t="str">
        <f>IFERROR(__xludf.DUMMYFUNCTION("JOIN(""|"",SORT(TRANSPOSE(SPLIT(A556,""|""))))
"),"Land Use Change")</f>
        <v>Land Use Change</v>
      </c>
    </row>
    <row r="557">
      <c r="A557" s="33" t="s">
        <v>116</v>
      </c>
      <c r="B557" s="1" t="str">
        <f>IFERROR(__xludf.DUMMYFUNCTION("JOIN(""|"",SORT(TRANSPOSE(SPLIT(A557,""|""))))
"),"Land Use Change")</f>
        <v>Land Use Change</v>
      </c>
    </row>
    <row r="558">
      <c r="A558" s="6" t="s">
        <v>2342</v>
      </c>
      <c r="B558" s="1" t="str">
        <f>IFERROR(__xludf.DUMMYFUNCTION("JOIN(""|"",SORT(TRANSPOSE(SPLIT(A558,""|""))))
"),"Trophic Status|Water Level")</f>
        <v>Trophic Status|Water Level</v>
      </c>
    </row>
    <row r="559">
      <c r="A559" s="33" t="s">
        <v>156</v>
      </c>
      <c r="B559" s="1" t="str">
        <f>IFERROR(__xludf.DUMMYFUNCTION("JOIN(""|"",SORT(TRANSPOSE(SPLIT(A559,""|""))))
"),"Fire")</f>
        <v>Fire</v>
      </c>
    </row>
    <row r="560">
      <c r="A560" s="6" t="s">
        <v>72</v>
      </c>
      <c r="B560" s="1" t="str">
        <f>IFERROR(__xludf.DUMMYFUNCTION("JOIN(""|"",SORT(TRANSPOSE(SPLIT(A560,""|""))))
"),"Not Reported")</f>
        <v>Not Reported</v>
      </c>
    </row>
    <row r="561">
      <c r="A561" s="6" t="s">
        <v>1287</v>
      </c>
      <c r="B561" s="1" t="str">
        <f>IFERROR(__xludf.DUMMYFUNCTION("JOIN(""|"",SORT(TRANSPOSE(SPLIT(A561,""|""))))
"),"Vegetation ")</f>
        <v>Vegetation </v>
      </c>
    </row>
    <row r="562">
      <c r="A562" s="33" t="s">
        <v>2277</v>
      </c>
      <c r="B562" s="1" t="str">
        <f>IFERROR(__xludf.DUMMYFUNCTION("JOIN(""|"",SORT(TRANSPOSE(SPLIT(A562,""|""))))
"),"Fire ")</f>
        <v>Fire </v>
      </c>
    </row>
    <row r="563">
      <c r="A563" s="33" t="s">
        <v>156</v>
      </c>
      <c r="B563" s="1" t="str">
        <f>IFERROR(__xludf.DUMMYFUNCTION("JOIN(""|"",SORT(TRANSPOSE(SPLIT(A563,""|""))))
"),"Fire")</f>
        <v>Fire</v>
      </c>
    </row>
    <row r="564">
      <c r="A564" s="33" t="s">
        <v>353</v>
      </c>
      <c r="B564" s="1" t="str">
        <f>IFERROR(__xludf.DUMMYFUNCTION("JOIN(""|"",SORT(TRANSPOSE(SPLIT(A564,""|""))))
"),"Herbivorous animals")</f>
        <v>Herbivorous animals</v>
      </c>
    </row>
    <row r="565">
      <c r="A565" s="33" t="s">
        <v>823</v>
      </c>
      <c r="B565" s="1" t="str">
        <f>IFERROR(__xludf.DUMMYFUNCTION("JOIN(""|"",SORT(TRANSPOSE(SPLIT(A565,""|""))))
"),"Vegetation")</f>
        <v>Vegetation</v>
      </c>
    </row>
    <row r="566">
      <c r="A566" s="6" t="s">
        <v>150</v>
      </c>
      <c r="B566" s="1" t="str">
        <f>IFERROR(__xludf.DUMMYFUNCTION("JOIN(""|"",SORT(TRANSPOSE(SPLIT(A566,""|""))))
"),"Water Level")</f>
        <v>Water Level</v>
      </c>
    </row>
    <row r="567">
      <c r="A567" s="33" t="s">
        <v>156</v>
      </c>
      <c r="B567" s="1" t="str">
        <f>IFERROR(__xludf.DUMMYFUNCTION("JOIN(""|"",SORT(TRANSPOSE(SPLIT(A567,""|""))))
"),"Fire")</f>
        <v>Fire</v>
      </c>
    </row>
    <row r="568">
      <c r="A568" s="33" t="s">
        <v>353</v>
      </c>
      <c r="B568" s="1" t="str">
        <f>IFERROR(__xludf.DUMMYFUNCTION("JOIN(""|"",SORT(TRANSPOSE(SPLIT(A568,""|""))))
"),"Herbivorous animals")</f>
        <v>Herbivorous animals</v>
      </c>
    </row>
    <row r="569">
      <c r="A569" s="33"/>
      <c r="B569" s="1" t="str">
        <f>IFERROR(__xludf.DUMMYFUNCTION("JOIN(""|"",SORT(TRANSPOSE(SPLIT(A569,""|""))))
"),"#VALUE!")</f>
        <v>#VALUE!</v>
      </c>
    </row>
    <row r="570">
      <c r="A570" s="15"/>
      <c r="B570" s="1" t="str">
        <f>IFERROR(__xludf.DUMMYFUNCTION("JOIN(""|"",SORT(TRANSPOSE(SPLIT(A570,""|""))))
"),"#VALUE!")</f>
        <v>#VALUE!</v>
      </c>
    </row>
    <row r="571">
      <c r="A571" s="33" t="s">
        <v>823</v>
      </c>
      <c r="B571" s="1" t="str">
        <f>IFERROR(__xludf.DUMMYFUNCTION("JOIN(""|"",SORT(TRANSPOSE(SPLIT(A571,""|""))))
"),"Vegetation")</f>
        <v>Vegetation</v>
      </c>
    </row>
    <row r="572">
      <c r="A572" s="33" t="s">
        <v>156</v>
      </c>
      <c r="B572" s="1" t="str">
        <f>IFERROR(__xludf.DUMMYFUNCTION("JOIN(""|"",SORT(TRANSPOSE(SPLIT(A572,""|""))))
"),"Fire")</f>
        <v>Fire</v>
      </c>
    </row>
    <row r="573">
      <c r="A573" s="33"/>
      <c r="B573" s="1" t="str">
        <f>IFERROR(__xludf.DUMMYFUNCTION("JOIN(""|"",SORT(TRANSPOSE(SPLIT(A573,""|""))))
"),"#VALUE!")</f>
        <v>#VALUE!</v>
      </c>
    </row>
    <row r="574">
      <c r="A574" s="33"/>
      <c r="B574" s="1" t="str">
        <f>IFERROR(__xludf.DUMMYFUNCTION("JOIN(""|"",SORT(TRANSPOSE(SPLIT(A574,""|""))))
"),"#VALUE!")</f>
        <v>#VALUE!</v>
      </c>
    </row>
    <row r="575">
      <c r="A575" s="33"/>
      <c r="B575" s="1" t="str">
        <f>IFERROR(__xludf.DUMMYFUNCTION("JOIN(""|"",SORT(TRANSPOSE(SPLIT(A575,""|""))))
"),"#VALUE!")</f>
        <v>#VALUE!</v>
      </c>
    </row>
    <row r="576">
      <c r="A576" s="33" t="s">
        <v>823</v>
      </c>
      <c r="B576" s="1" t="str">
        <f>IFERROR(__xludf.DUMMYFUNCTION("JOIN(""|"",SORT(TRANSPOSE(SPLIT(A576,""|""))))
"),"Vegetation")</f>
        <v>Vegetation</v>
      </c>
    </row>
    <row r="577">
      <c r="A577" s="33" t="s">
        <v>156</v>
      </c>
      <c r="B577" s="1" t="str">
        <f>IFERROR(__xludf.DUMMYFUNCTION("JOIN(""|"",SORT(TRANSPOSE(SPLIT(A577,""|""))))
"),"Fire")</f>
        <v>Fire</v>
      </c>
    </row>
    <row r="578">
      <c r="A578" s="6" t="s">
        <v>173</v>
      </c>
      <c r="B578" s="1" t="str">
        <f>IFERROR(__xludf.DUMMYFUNCTION("JOIN(""|"",SORT(TRANSPOSE(SPLIT(A578,""|""))))
"),"Catchment Erosion")</f>
        <v>Catchment Erosion</v>
      </c>
    </row>
    <row r="579">
      <c r="A579" s="6" t="s">
        <v>173</v>
      </c>
      <c r="B579" s="1" t="str">
        <f>IFERROR(__xludf.DUMMYFUNCTION("JOIN(""|"",SORT(TRANSPOSE(SPLIT(A579,""|""))))
"),"Catchment Erosion")</f>
        <v>Catchment Erosion</v>
      </c>
    </row>
    <row r="580">
      <c r="A580" s="6" t="s">
        <v>2334</v>
      </c>
      <c r="B580" s="1" t="str">
        <f>IFERROR(__xludf.DUMMYFUNCTION("JOIN(""|"",SORT(TRANSPOSE(SPLIT(A580,""|""))))
"),"Catchment Erosion|Land Use Change")</f>
        <v>Catchment Erosion|Land Use Change</v>
      </c>
    </row>
    <row r="581">
      <c r="A581" s="6" t="s">
        <v>173</v>
      </c>
      <c r="B581" s="1" t="str">
        <f>IFERROR(__xludf.DUMMYFUNCTION("JOIN(""|"",SORT(TRANSPOSE(SPLIT(A581,""|""))))
"),"Catchment Erosion")</f>
        <v>Catchment Erosion</v>
      </c>
    </row>
    <row r="582">
      <c r="A582" s="33" t="s">
        <v>823</v>
      </c>
      <c r="B582" s="1" t="str">
        <f>IFERROR(__xludf.DUMMYFUNCTION("JOIN(""|"",SORT(TRANSPOSE(SPLIT(A582,""|""))))
"),"Vegetation")</f>
        <v>Vegetation</v>
      </c>
    </row>
    <row r="583">
      <c r="A583" s="33" t="s">
        <v>156</v>
      </c>
      <c r="B583" s="1" t="str">
        <f>IFERROR(__xludf.DUMMYFUNCTION("JOIN(""|"",SORT(TRANSPOSE(SPLIT(A583,""|""))))
"),"Fire")</f>
        <v>Fire</v>
      </c>
    </row>
    <row r="584">
      <c r="A584" s="33" t="s">
        <v>156</v>
      </c>
      <c r="B584" s="1" t="str">
        <f>IFERROR(__xludf.DUMMYFUNCTION("JOIN(""|"",SORT(TRANSPOSE(SPLIT(A584,""|""))))
"),"Fire")</f>
        <v>Fire</v>
      </c>
    </row>
    <row r="585">
      <c r="A585" s="33" t="s">
        <v>823</v>
      </c>
      <c r="B585" s="1" t="str">
        <f>IFERROR(__xludf.DUMMYFUNCTION("JOIN(""|"",SORT(TRANSPOSE(SPLIT(A585,""|""))))
"),"Vegetation")</f>
        <v>Vegetation</v>
      </c>
    </row>
    <row r="586">
      <c r="A586" s="33" t="s">
        <v>823</v>
      </c>
      <c r="B586" s="1" t="str">
        <f>IFERROR(__xludf.DUMMYFUNCTION("JOIN(""|"",SORT(TRANSPOSE(SPLIT(A586,""|""))))
"),"Vegetation")</f>
        <v>Vegetation</v>
      </c>
    </row>
    <row r="587">
      <c r="A587" s="6" t="s">
        <v>173</v>
      </c>
      <c r="B587" s="1" t="str">
        <f>IFERROR(__xludf.DUMMYFUNCTION("JOIN(""|"",SORT(TRANSPOSE(SPLIT(A587,""|""))))
"),"Catchment Erosion")</f>
        <v>Catchment Erosion</v>
      </c>
    </row>
    <row r="588">
      <c r="A588" s="6" t="s">
        <v>173</v>
      </c>
      <c r="B588" s="1" t="str">
        <f>IFERROR(__xludf.DUMMYFUNCTION("JOIN(""|"",SORT(TRANSPOSE(SPLIT(A588,""|""))))
"),"Catchment Erosion")</f>
        <v>Catchment Erosion</v>
      </c>
    </row>
    <row r="589">
      <c r="A589" s="6" t="s">
        <v>173</v>
      </c>
      <c r="B589" s="1" t="str">
        <f>IFERROR(__xludf.DUMMYFUNCTION("JOIN(""|"",SORT(TRANSPOSE(SPLIT(A589,""|""))))
"),"Catchment Erosion")</f>
        <v>Catchment Erosion</v>
      </c>
    </row>
    <row r="590">
      <c r="A590" s="33" t="s">
        <v>823</v>
      </c>
      <c r="B590" s="1" t="str">
        <f>IFERROR(__xludf.DUMMYFUNCTION("JOIN(""|"",SORT(TRANSPOSE(SPLIT(A590,""|""))))
"),"Vegetation")</f>
        <v>Vegetation</v>
      </c>
    </row>
    <row r="591">
      <c r="A591" s="6" t="s">
        <v>173</v>
      </c>
      <c r="B591" s="1" t="str">
        <f>IFERROR(__xludf.DUMMYFUNCTION("JOIN(""|"",SORT(TRANSPOSE(SPLIT(A591,""|""))))
"),"Catchment Erosion")</f>
        <v>Catchment Erosion</v>
      </c>
    </row>
    <row r="592">
      <c r="A592" s="6" t="s">
        <v>173</v>
      </c>
      <c r="B592" s="1" t="str">
        <f>IFERROR(__xludf.DUMMYFUNCTION("JOIN(""|"",SORT(TRANSPOSE(SPLIT(A592,""|""))))
"),"Catchment Erosion")</f>
        <v>Catchment Erosion</v>
      </c>
    </row>
    <row r="593">
      <c r="A593" s="6" t="s">
        <v>173</v>
      </c>
      <c r="B593" s="1" t="str">
        <f>IFERROR(__xludf.DUMMYFUNCTION("JOIN(""|"",SORT(TRANSPOSE(SPLIT(A593,""|""))))
"),"Catchment Erosion")</f>
        <v>Catchment Erosion</v>
      </c>
    </row>
    <row r="594">
      <c r="A594" s="6" t="s">
        <v>173</v>
      </c>
      <c r="B594" s="1" t="str">
        <f>IFERROR(__xludf.DUMMYFUNCTION("JOIN(""|"",SORT(TRANSPOSE(SPLIT(A594,""|""))))
"),"Catchment Erosion")</f>
        <v>Catchment Erosion</v>
      </c>
    </row>
    <row r="595">
      <c r="A595" s="33" t="s">
        <v>823</v>
      </c>
      <c r="B595" s="1" t="str">
        <f>IFERROR(__xludf.DUMMYFUNCTION("JOIN(""|"",SORT(TRANSPOSE(SPLIT(A595,""|""))))
"),"Vegetation")</f>
        <v>Vegetation</v>
      </c>
    </row>
    <row r="596">
      <c r="A596" s="6" t="s">
        <v>173</v>
      </c>
      <c r="B596" s="1" t="str">
        <f>IFERROR(__xludf.DUMMYFUNCTION("JOIN(""|"",SORT(TRANSPOSE(SPLIT(A596,""|""))))
"),"Catchment Erosion")</f>
        <v>Catchment Erosion</v>
      </c>
    </row>
    <row r="597">
      <c r="A597" s="33" t="s">
        <v>823</v>
      </c>
      <c r="B597" s="1" t="str">
        <f>IFERROR(__xludf.DUMMYFUNCTION("JOIN(""|"",SORT(TRANSPOSE(SPLIT(A597,""|""))))
"),"Vegetation")</f>
        <v>Vegetation</v>
      </c>
    </row>
    <row r="598">
      <c r="A598" s="33" t="s">
        <v>823</v>
      </c>
      <c r="B598" s="1" t="str">
        <f>IFERROR(__xludf.DUMMYFUNCTION("JOIN(""|"",SORT(TRANSPOSE(SPLIT(A598,""|""))))
"),"Vegetation")</f>
        <v>Vegetation</v>
      </c>
    </row>
    <row r="599">
      <c r="A599" s="33" t="s">
        <v>156</v>
      </c>
      <c r="B599" s="1" t="str">
        <f>IFERROR(__xludf.DUMMYFUNCTION("JOIN(""|"",SORT(TRANSPOSE(SPLIT(A599,""|""))))
"),"Fire")</f>
        <v>Fire</v>
      </c>
    </row>
    <row r="600">
      <c r="A600" s="33" t="s">
        <v>156</v>
      </c>
      <c r="B600" s="1" t="str">
        <f>IFERROR(__xludf.DUMMYFUNCTION("JOIN(""|"",SORT(TRANSPOSE(SPLIT(A600,""|""))))
"),"Fire")</f>
        <v>Fire</v>
      </c>
    </row>
    <row r="601">
      <c r="A601" s="6" t="s">
        <v>2343</v>
      </c>
      <c r="B601" s="1" t="str">
        <f>IFERROR(__xludf.DUMMYFUNCTION("JOIN(""|"",SORT(TRANSPOSE(SPLIT(A601,""|""))))
"),"Salinity|Sea Level|Water Level")</f>
        <v>Salinity|Sea Level|Water Level</v>
      </c>
    </row>
    <row r="602">
      <c r="A602" s="6" t="s">
        <v>2343</v>
      </c>
      <c r="B602" s="1" t="str">
        <f>IFERROR(__xludf.DUMMYFUNCTION("JOIN(""|"",SORT(TRANSPOSE(SPLIT(A602,""|""))))
"),"Salinity|Sea Level|Water Level")</f>
        <v>Salinity|Sea Level|Water Level</v>
      </c>
    </row>
    <row r="603">
      <c r="A603" s="33" t="s">
        <v>1825</v>
      </c>
      <c r="B603" s="1" t="str">
        <f>IFERROR(__xludf.DUMMYFUNCTION("JOIN(""|"",SORT(TRANSPOSE(SPLIT(A603,""|""))))
"),"Trophic Status")</f>
        <v>Trophic Status</v>
      </c>
    </row>
    <row r="604">
      <c r="A604" s="33" t="s">
        <v>1825</v>
      </c>
      <c r="B604" s="1" t="str">
        <f>IFERROR(__xludf.DUMMYFUNCTION("JOIN(""|"",SORT(TRANSPOSE(SPLIT(A604,""|""))))
"),"Trophic Status")</f>
        <v>Trophic Status</v>
      </c>
    </row>
    <row r="605">
      <c r="A605" s="33" t="s">
        <v>1825</v>
      </c>
      <c r="B605" s="1" t="str">
        <f>IFERROR(__xludf.DUMMYFUNCTION("JOIN(""|"",SORT(TRANSPOSE(SPLIT(A605,""|""))))
"),"Trophic Status")</f>
        <v>Trophic Status</v>
      </c>
    </row>
    <row r="606">
      <c r="A606" s="6" t="s">
        <v>72</v>
      </c>
      <c r="B606" s="1" t="str">
        <f>IFERROR(__xludf.DUMMYFUNCTION("JOIN(""|"",SORT(TRANSPOSE(SPLIT(A606,""|""))))
"),"Not Reported")</f>
        <v>Not Reported</v>
      </c>
    </row>
    <row r="607">
      <c r="A607" s="33"/>
      <c r="B607" s="1" t="str">
        <f>IFERROR(__xludf.DUMMYFUNCTION("JOIN(""|"",SORT(TRANSPOSE(SPLIT(A607,""|""))))
"),"#VALUE!")</f>
        <v>#VALUE!</v>
      </c>
    </row>
    <row r="608">
      <c r="A608" s="33"/>
      <c r="B608" s="1" t="str">
        <f>IFERROR(__xludf.DUMMYFUNCTION("JOIN(""|"",SORT(TRANSPOSE(SPLIT(A608,""|""))))
"),"#VALUE!")</f>
        <v>#VALUE!</v>
      </c>
    </row>
    <row r="609">
      <c r="A609" s="33" t="s">
        <v>1296</v>
      </c>
      <c r="B609" s="1" t="str">
        <f>IFERROR(__xludf.DUMMYFUNCTION("JOIN(""|"",SORT(TRANSPOSE(SPLIT(A609,""|""))))
"),"Temperature")</f>
        <v>Temperature</v>
      </c>
    </row>
    <row r="610">
      <c r="A610" s="33" t="s">
        <v>156</v>
      </c>
      <c r="B610" s="1" t="str">
        <f>IFERROR(__xludf.DUMMYFUNCTION("JOIN(""|"",SORT(TRANSPOSE(SPLIT(A610,""|""))))
"),"Fire")</f>
        <v>Fire</v>
      </c>
    </row>
    <row r="611">
      <c r="A611" s="6" t="s">
        <v>173</v>
      </c>
      <c r="B611" s="1" t="str">
        <f>IFERROR(__xludf.DUMMYFUNCTION("JOIN(""|"",SORT(TRANSPOSE(SPLIT(A611,""|""))))
"),"Catchment Erosion")</f>
        <v>Catchment Erosion</v>
      </c>
    </row>
    <row r="612">
      <c r="A612" s="33" t="s">
        <v>823</v>
      </c>
      <c r="B612" s="1" t="str">
        <f>IFERROR(__xludf.DUMMYFUNCTION("JOIN(""|"",SORT(TRANSPOSE(SPLIT(A612,""|""))))
"),"Vegetation")</f>
        <v>Vegetation</v>
      </c>
    </row>
    <row r="613">
      <c r="A613" s="6" t="s">
        <v>173</v>
      </c>
      <c r="B613" s="1" t="str">
        <f>IFERROR(__xludf.DUMMYFUNCTION("JOIN(""|"",SORT(TRANSPOSE(SPLIT(A613,""|""))))
"),"Catchment Erosion")</f>
        <v>Catchment Erosion</v>
      </c>
    </row>
    <row r="614">
      <c r="A614" s="33" t="s">
        <v>1296</v>
      </c>
      <c r="B614" s="1" t="str">
        <f>IFERROR(__xludf.DUMMYFUNCTION("JOIN(""|"",SORT(TRANSPOSE(SPLIT(A614,""|""))))
"),"Temperature")</f>
        <v>Temperature</v>
      </c>
    </row>
    <row r="615">
      <c r="A615" s="6" t="s">
        <v>2344</v>
      </c>
      <c r="B615" s="1" t="str">
        <f>IFERROR(__xludf.DUMMYFUNCTION("JOIN(""|"",SORT(TRANSPOSE(SPLIT(A615,""|""))))
"),"Catchment Erosion|Trophic Status")</f>
        <v>Catchment Erosion|Trophic Status</v>
      </c>
    </row>
    <row r="616">
      <c r="A616" s="33" t="s">
        <v>1825</v>
      </c>
      <c r="B616" s="1" t="str">
        <f>IFERROR(__xludf.DUMMYFUNCTION("JOIN(""|"",SORT(TRANSPOSE(SPLIT(A616,""|""))))
"),"Trophic Status")</f>
        <v>Trophic Status</v>
      </c>
    </row>
    <row r="617">
      <c r="A617" s="6" t="s">
        <v>2328</v>
      </c>
      <c r="B617" s="1" t="str">
        <f>IFERROR(__xludf.DUMMYFUNCTION("JOIN(""|"",SORT(TRANSPOSE(SPLIT(A617,""|""))))
"),"Catchment Erosion|Precipitation")</f>
        <v>Catchment Erosion|Precipitation</v>
      </c>
    </row>
    <row r="618">
      <c r="A618" s="33" t="s">
        <v>2345</v>
      </c>
      <c r="B618" s="1" t="str">
        <f>IFERROR(__xludf.DUMMYFUNCTION("JOIN(""|"",SORT(TRANSPOSE(SPLIT(A618,""|""))))
")," Productivity|Water Level")</f>
        <v> Productivity|Water Level</v>
      </c>
    </row>
    <row r="619">
      <c r="A619" s="33" t="s">
        <v>823</v>
      </c>
      <c r="B619" s="1" t="str">
        <f>IFERROR(__xludf.DUMMYFUNCTION("JOIN(""|"",SORT(TRANSPOSE(SPLIT(A619,""|""))))
"),"Vegetation")</f>
        <v>Vegetation</v>
      </c>
    </row>
    <row r="620">
      <c r="A620" s="33" t="s">
        <v>156</v>
      </c>
      <c r="B620" s="1" t="str">
        <f>IFERROR(__xludf.DUMMYFUNCTION("JOIN(""|"",SORT(TRANSPOSE(SPLIT(A620,""|""))))
"),"Fire")</f>
        <v>Fire</v>
      </c>
    </row>
    <row r="621">
      <c r="A621" s="33" t="s">
        <v>156</v>
      </c>
      <c r="B621" s="1" t="str">
        <f>IFERROR(__xludf.DUMMYFUNCTION("JOIN(""|"",SORT(TRANSPOSE(SPLIT(A621,""|""))))
"),"Fire")</f>
        <v>Fire</v>
      </c>
    </row>
    <row r="622">
      <c r="A622" s="33" t="s">
        <v>353</v>
      </c>
      <c r="B622" s="1" t="str">
        <f>IFERROR(__xludf.DUMMYFUNCTION("JOIN(""|"",SORT(TRANSPOSE(SPLIT(A622,""|""))))
"),"Herbivorous animals")</f>
        <v>Herbivorous animals</v>
      </c>
    </row>
    <row r="623">
      <c r="A623" s="33" t="s">
        <v>156</v>
      </c>
      <c r="B623" s="1" t="str">
        <f>IFERROR(__xludf.DUMMYFUNCTION("JOIN(""|"",SORT(TRANSPOSE(SPLIT(A623,""|""))))
"),"Fire")</f>
        <v>Fire</v>
      </c>
    </row>
    <row r="624">
      <c r="A624" s="33" t="s">
        <v>2314</v>
      </c>
      <c r="B624" s="1" t="str">
        <f>IFERROR(__xludf.DUMMYFUNCTION("JOIN(""|"",SORT(TRANSPOSE(SPLIT(A624,""|""))))
"),"Land Use Change|Vegetation")</f>
        <v>Land Use Change|Vegetation</v>
      </c>
    </row>
    <row r="625">
      <c r="A625" s="33" t="s">
        <v>2314</v>
      </c>
      <c r="B625" s="1" t="str">
        <f>IFERROR(__xludf.DUMMYFUNCTION("JOIN(""|"",SORT(TRANSPOSE(SPLIT(A625,""|""))))
"),"Land Use Change|Vegetation")</f>
        <v>Land Use Change|Vegetation</v>
      </c>
    </row>
    <row r="626">
      <c r="A626" s="33" t="s">
        <v>156</v>
      </c>
      <c r="B626" s="1" t="str">
        <f>IFERROR(__xludf.DUMMYFUNCTION("JOIN(""|"",SORT(TRANSPOSE(SPLIT(A626,""|""))))
"),"Fire")</f>
        <v>Fire</v>
      </c>
    </row>
    <row r="627">
      <c r="A627" s="33" t="s">
        <v>2314</v>
      </c>
      <c r="B627" s="1" t="str">
        <f>IFERROR(__xludf.DUMMYFUNCTION("JOIN(""|"",SORT(TRANSPOSE(SPLIT(A627,""|""))))
"),"Land Use Change|Vegetation")</f>
        <v>Land Use Change|Vegetation</v>
      </c>
    </row>
    <row r="628">
      <c r="A628" s="33" t="s">
        <v>2314</v>
      </c>
      <c r="B628" s="1" t="str">
        <f>IFERROR(__xludf.DUMMYFUNCTION("JOIN(""|"",SORT(TRANSPOSE(SPLIT(A628,""|""))))
"),"Land Use Change|Vegetation")</f>
        <v>Land Use Change|Vegetation</v>
      </c>
    </row>
    <row r="629">
      <c r="A629" s="33" t="s">
        <v>116</v>
      </c>
      <c r="B629" s="1" t="str">
        <f>IFERROR(__xludf.DUMMYFUNCTION("JOIN(""|"",SORT(TRANSPOSE(SPLIT(A629,""|""))))
"),"Land Use Change")</f>
        <v>Land Use Change</v>
      </c>
    </row>
    <row r="630">
      <c r="A630" s="33" t="s">
        <v>116</v>
      </c>
      <c r="B630" s="1" t="str">
        <f>IFERROR(__xludf.DUMMYFUNCTION("JOIN(""|"",SORT(TRANSPOSE(SPLIT(A630,""|""))))
"),"Land Use Change")</f>
        <v>Land Use Change</v>
      </c>
    </row>
    <row r="631">
      <c r="A631" s="33" t="s">
        <v>2314</v>
      </c>
      <c r="B631" s="1" t="str">
        <f>IFERROR(__xludf.DUMMYFUNCTION("JOIN(""|"",SORT(TRANSPOSE(SPLIT(A631,""|""))))
"),"Land Use Change|Vegetation")</f>
        <v>Land Use Change|Vegetation</v>
      </c>
    </row>
    <row r="632">
      <c r="A632" s="33" t="s">
        <v>2314</v>
      </c>
      <c r="B632" s="1" t="str">
        <f>IFERROR(__xludf.DUMMYFUNCTION("JOIN(""|"",SORT(TRANSPOSE(SPLIT(A632,""|""))))
"),"Land Use Change|Vegetation")</f>
        <v>Land Use Change|Vegetation</v>
      </c>
    </row>
    <row r="633">
      <c r="A633" s="33" t="s">
        <v>2305</v>
      </c>
      <c r="B633" s="1" t="str">
        <f>IFERROR(__xludf.DUMMYFUNCTION("JOIN(""|"",SORT(TRANSPOSE(SPLIT(A633,""|""))))
"),"Climate|Precipitation")</f>
        <v>Climate|Precipitation</v>
      </c>
    </row>
    <row r="634">
      <c r="A634" s="33" t="s">
        <v>2305</v>
      </c>
      <c r="B634" s="1" t="str">
        <f>IFERROR(__xludf.DUMMYFUNCTION("JOIN(""|"",SORT(TRANSPOSE(SPLIT(A634,""|""))))
"),"Climate|Precipitation")</f>
        <v>Climate|Precipitation</v>
      </c>
    </row>
    <row r="635">
      <c r="A635" s="33" t="s">
        <v>2305</v>
      </c>
      <c r="B635" s="1" t="str">
        <f>IFERROR(__xludf.DUMMYFUNCTION("JOIN(""|"",SORT(TRANSPOSE(SPLIT(A635,""|""))))
"),"Climate|Precipitation")</f>
        <v>Climate|Precipitation</v>
      </c>
    </row>
    <row r="636">
      <c r="A636" s="33" t="s">
        <v>116</v>
      </c>
      <c r="B636" s="1" t="str">
        <f>IFERROR(__xludf.DUMMYFUNCTION("JOIN(""|"",SORT(TRANSPOSE(SPLIT(A636,""|""))))
"),"Land Use Change")</f>
        <v>Land Use Change</v>
      </c>
    </row>
    <row r="637">
      <c r="A637" s="33" t="s">
        <v>116</v>
      </c>
      <c r="B637" s="1" t="str">
        <f>IFERROR(__xludf.DUMMYFUNCTION("JOIN(""|"",SORT(TRANSPOSE(SPLIT(A637,""|""))))
"),"Land Use Change")</f>
        <v>Land Use Change</v>
      </c>
    </row>
    <row r="638">
      <c r="A638" s="33" t="s">
        <v>156</v>
      </c>
      <c r="B638" s="1" t="str">
        <f>IFERROR(__xludf.DUMMYFUNCTION("JOIN(""|"",SORT(TRANSPOSE(SPLIT(A638,""|""))))
"),"Fire")</f>
        <v>Fire</v>
      </c>
    </row>
    <row r="639">
      <c r="A639" s="14" t="s">
        <v>173</v>
      </c>
      <c r="B639" s="1" t="str">
        <f>IFERROR(__xludf.DUMMYFUNCTION("JOIN(""|"",SORT(TRANSPOSE(SPLIT(A639,""|""))))
"),"Catchment Erosion")</f>
        <v>Catchment Erosion</v>
      </c>
    </row>
    <row r="640">
      <c r="A640" s="33" t="s">
        <v>823</v>
      </c>
      <c r="B640" s="1" t="str">
        <f>IFERROR(__xludf.DUMMYFUNCTION("JOIN(""|"",SORT(TRANSPOSE(SPLIT(A640,""|""))))
"),"Vegetation")</f>
        <v>Vegetation</v>
      </c>
    </row>
    <row r="641">
      <c r="A641" s="33" t="s">
        <v>156</v>
      </c>
      <c r="B641" s="1" t="str">
        <f>IFERROR(__xludf.DUMMYFUNCTION("JOIN(""|"",SORT(TRANSPOSE(SPLIT(A641,""|""))))
"),"Fire")</f>
        <v>Fire</v>
      </c>
    </row>
    <row r="642">
      <c r="A642" s="33" t="s">
        <v>156</v>
      </c>
      <c r="B642" s="1" t="str">
        <f>IFERROR(__xludf.DUMMYFUNCTION("JOIN(""|"",SORT(TRANSPOSE(SPLIT(A642,""|""))))
"),"Fire")</f>
        <v>Fire</v>
      </c>
    </row>
    <row r="643">
      <c r="A643" s="33" t="s">
        <v>156</v>
      </c>
      <c r="B643" s="1" t="str">
        <f>IFERROR(__xludf.DUMMYFUNCTION("JOIN(""|"",SORT(TRANSPOSE(SPLIT(A643,""|""))))
"),"Fire")</f>
        <v>Fire</v>
      </c>
    </row>
    <row r="644">
      <c r="A644" s="77"/>
    </row>
    <row r="645">
      <c r="A645" s="77"/>
    </row>
    <row r="646">
      <c r="A646" s="77"/>
    </row>
    <row r="647">
      <c r="A647" s="77"/>
    </row>
    <row r="648">
      <c r="A648" s="77"/>
    </row>
    <row r="649">
      <c r="A649" s="77"/>
    </row>
    <row r="650">
      <c r="A650" s="77"/>
    </row>
    <row r="651">
      <c r="A651" s="77"/>
    </row>
    <row r="652">
      <c r="A652" s="77"/>
    </row>
    <row r="653">
      <c r="A653" s="77"/>
    </row>
    <row r="654">
      <c r="A654" s="77"/>
    </row>
    <row r="655">
      <c r="A655" s="77"/>
    </row>
    <row r="656">
      <c r="A656" s="77"/>
    </row>
    <row r="657">
      <c r="A657" s="77"/>
    </row>
    <row r="658">
      <c r="A658" s="77"/>
    </row>
    <row r="659">
      <c r="A659" s="77"/>
    </row>
    <row r="660">
      <c r="A660" s="77"/>
    </row>
    <row r="661">
      <c r="A661" s="77"/>
    </row>
    <row r="662">
      <c r="A662" s="77"/>
    </row>
    <row r="663">
      <c r="A663" s="77"/>
    </row>
    <row r="664">
      <c r="A664" s="77"/>
    </row>
    <row r="665">
      <c r="A665" s="77"/>
    </row>
    <row r="666">
      <c r="A666" s="77"/>
    </row>
    <row r="667">
      <c r="A667" s="77"/>
    </row>
    <row r="668">
      <c r="A668" s="77"/>
    </row>
    <row r="669">
      <c r="A669" s="77"/>
    </row>
    <row r="670">
      <c r="A670" s="77"/>
    </row>
    <row r="671">
      <c r="A671" s="77"/>
    </row>
    <row r="672">
      <c r="A672" s="77"/>
    </row>
    <row r="673">
      <c r="A673" s="77"/>
    </row>
    <row r="674">
      <c r="A674" s="77"/>
    </row>
    <row r="675">
      <c r="A675" s="77"/>
    </row>
    <row r="676">
      <c r="A676" s="77"/>
    </row>
    <row r="677">
      <c r="A677" s="77"/>
    </row>
    <row r="678">
      <c r="A678" s="77"/>
    </row>
    <row r="679">
      <c r="A679" s="77"/>
    </row>
    <row r="680">
      <c r="A680" s="77"/>
    </row>
    <row r="681">
      <c r="A681" s="77"/>
    </row>
    <row r="682">
      <c r="A682" s="77"/>
    </row>
    <row r="683">
      <c r="A683" s="77"/>
    </row>
    <row r="684">
      <c r="A684" s="77"/>
    </row>
    <row r="685">
      <c r="A685" s="77"/>
    </row>
    <row r="686">
      <c r="A686" s="77"/>
    </row>
    <row r="687">
      <c r="A687" s="77"/>
    </row>
    <row r="688">
      <c r="A688" s="77"/>
    </row>
    <row r="689">
      <c r="A689" s="77"/>
    </row>
    <row r="690">
      <c r="A690" s="77"/>
    </row>
    <row r="691">
      <c r="A691" s="77"/>
    </row>
    <row r="692">
      <c r="A692" s="77"/>
    </row>
    <row r="693">
      <c r="A693" s="77"/>
    </row>
    <row r="694">
      <c r="A694" s="77"/>
    </row>
    <row r="695">
      <c r="A695" s="77"/>
    </row>
    <row r="696">
      <c r="A696" s="77"/>
    </row>
    <row r="697">
      <c r="A697" s="77"/>
    </row>
    <row r="698">
      <c r="A698" s="77"/>
    </row>
    <row r="699">
      <c r="A699" s="77"/>
    </row>
    <row r="700">
      <c r="A700" s="77"/>
    </row>
    <row r="701">
      <c r="A701" s="77"/>
    </row>
    <row r="702">
      <c r="A702" s="77"/>
    </row>
    <row r="703">
      <c r="A703" s="77"/>
    </row>
    <row r="704">
      <c r="A704" s="77"/>
    </row>
    <row r="705">
      <c r="A705" s="77"/>
    </row>
    <row r="706">
      <c r="A706" s="77"/>
    </row>
    <row r="707">
      <c r="A707" s="77"/>
    </row>
    <row r="708">
      <c r="A708" s="77"/>
    </row>
    <row r="709">
      <c r="A709" s="77"/>
    </row>
    <row r="710">
      <c r="A710" s="77"/>
    </row>
    <row r="711">
      <c r="A711" s="77"/>
    </row>
    <row r="712">
      <c r="A712" s="77"/>
    </row>
    <row r="713">
      <c r="A713" s="77"/>
    </row>
    <row r="714">
      <c r="A714" s="77"/>
    </row>
    <row r="715">
      <c r="A715" s="77"/>
    </row>
    <row r="716">
      <c r="A716" s="77"/>
    </row>
    <row r="717">
      <c r="A717" s="77"/>
    </row>
    <row r="718">
      <c r="A718" s="77"/>
    </row>
    <row r="719">
      <c r="A719" s="77"/>
    </row>
    <row r="720">
      <c r="A720" s="77"/>
    </row>
    <row r="721">
      <c r="A721" s="77"/>
    </row>
    <row r="722">
      <c r="A722" s="77"/>
    </row>
    <row r="723">
      <c r="A723" s="77"/>
    </row>
    <row r="724">
      <c r="A724" s="77"/>
    </row>
    <row r="725">
      <c r="A725" s="77"/>
    </row>
    <row r="726">
      <c r="A726" s="77"/>
    </row>
    <row r="727">
      <c r="A727" s="77"/>
    </row>
    <row r="728">
      <c r="A728" s="77"/>
    </row>
    <row r="729">
      <c r="A729" s="77"/>
    </row>
    <row r="730">
      <c r="A730" s="77"/>
    </row>
    <row r="731">
      <c r="A731" s="77"/>
    </row>
    <row r="732">
      <c r="A732" s="77"/>
    </row>
    <row r="733">
      <c r="A733" s="77"/>
    </row>
    <row r="734">
      <c r="A734" s="77"/>
    </row>
    <row r="735">
      <c r="A735" s="77"/>
    </row>
    <row r="736">
      <c r="A736" s="77"/>
    </row>
    <row r="737">
      <c r="A737" s="77"/>
    </row>
    <row r="738">
      <c r="A738" s="77"/>
    </row>
    <row r="739">
      <c r="A739" s="77"/>
    </row>
    <row r="740">
      <c r="A740" s="77"/>
    </row>
    <row r="741">
      <c r="A741" s="77"/>
    </row>
    <row r="742">
      <c r="A742" s="77"/>
    </row>
    <row r="743">
      <c r="A743" s="77"/>
    </row>
    <row r="744">
      <c r="A744" s="77"/>
    </row>
    <row r="745">
      <c r="A745" s="77"/>
    </row>
    <row r="746">
      <c r="A746" s="77"/>
    </row>
    <row r="747">
      <c r="A747" s="77"/>
    </row>
    <row r="748">
      <c r="A748" s="77"/>
    </row>
    <row r="749">
      <c r="A749" s="77"/>
    </row>
    <row r="750">
      <c r="A750" s="77"/>
    </row>
    <row r="751">
      <c r="A751" s="77"/>
    </row>
    <row r="752">
      <c r="A752" s="77"/>
    </row>
    <row r="753">
      <c r="A753" s="77"/>
    </row>
    <row r="754">
      <c r="A754" s="77"/>
    </row>
    <row r="755">
      <c r="A755" s="77"/>
    </row>
    <row r="756">
      <c r="A756" s="77"/>
    </row>
    <row r="757">
      <c r="A757" s="77"/>
    </row>
    <row r="758">
      <c r="A758" s="77"/>
    </row>
    <row r="759">
      <c r="A759" s="77"/>
    </row>
    <row r="760">
      <c r="A760" s="77"/>
    </row>
    <row r="761">
      <c r="A761" s="77"/>
    </row>
    <row r="762">
      <c r="A762" s="77"/>
    </row>
    <row r="763">
      <c r="A763" s="77"/>
    </row>
    <row r="764">
      <c r="A764" s="77"/>
    </row>
    <row r="765">
      <c r="A765" s="77"/>
    </row>
    <row r="766">
      <c r="A766" s="77"/>
    </row>
    <row r="767">
      <c r="A767" s="77"/>
    </row>
    <row r="768">
      <c r="A768" s="77"/>
    </row>
    <row r="769">
      <c r="A769" s="77"/>
    </row>
    <row r="770">
      <c r="A770" s="77"/>
    </row>
    <row r="771">
      <c r="A771" s="77"/>
    </row>
    <row r="772">
      <c r="A772" s="77"/>
    </row>
    <row r="773">
      <c r="A773" s="77"/>
    </row>
    <row r="774">
      <c r="A774" s="77"/>
    </row>
    <row r="775">
      <c r="A775" s="77"/>
    </row>
    <row r="776">
      <c r="A776" s="77"/>
    </row>
    <row r="777">
      <c r="A777" s="77"/>
    </row>
    <row r="778">
      <c r="A778" s="77"/>
    </row>
    <row r="779">
      <c r="A779" s="77"/>
    </row>
    <row r="780">
      <c r="A780" s="77"/>
    </row>
    <row r="781">
      <c r="A781" s="77"/>
    </row>
    <row r="782">
      <c r="A782" s="77"/>
    </row>
    <row r="783">
      <c r="A783" s="77"/>
    </row>
    <row r="784">
      <c r="A784" s="77"/>
    </row>
    <row r="785">
      <c r="A785" s="77"/>
    </row>
    <row r="786">
      <c r="A786" s="77"/>
    </row>
    <row r="787">
      <c r="A787" s="77"/>
    </row>
    <row r="788">
      <c r="A788" s="77"/>
    </row>
    <row r="789">
      <c r="A789" s="77"/>
    </row>
    <row r="790">
      <c r="A790" s="77"/>
    </row>
    <row r="791">
      <c r="A791" s="77"/>
    </row>
    <row r="792">
      <c r="A792" s="77"/>
    </row>
    <row r="793">
      <c r="A793" s="77"/>
    </row>
    <row r="794">
      <c r="A794" s="77"/>
    </row>
    <row r="795">
      <c r="A795" s="77"/>
    </row>
    <row r="796">
      <c r="A796" s="77"/>
    </row>
    <row r="797">
      <c r="A797" s="77"/>
    </row>
    <row r="798">
      <c r="A798" s="77"/>
    </row>
    <row r="799">
      <c r="A799" s="77"/>
    </row>
    <row r="800">
      <c r="A800" s="77"/>
    </row>
    <row r="801">
      <c r="A801" s="77"/>
    </row>
    <row r="802">
      <c r="A802" s="77"/>
    </row>
    <row r="803">
      <c r="A803" s="77"/>
    </row>
    <row r="804">
      <c r="A804" s="77"/>
    </row>
    <row r="805">
      <c r="A805" s="77"/>
    </row>
    <row r="806">
      <c r="A806" s="77"/>
    </row>
    <row r="807">
      <c r="A807" s="77"/>
    </row>
    <row r="808">
      <c r="A808" s="77"/>
    </row>
    <row r="809">
      <c r="A809" s="77"/>
    </row>
    <row r="810">
      <c r="A810" s="77"/>
    </row>
    <row r="811">
      <c r="A811" s="77"/>
    </row>
    <row r="812">
      <c r="A812" s="77"/>
    </row>
    <row r="813">
      <c r="A813" s="77"/>
    </row>
    <row r="814">
      <c r="A814" s="77"/>
    </row>
    <row r="815">
      <c r="A815" s="77"/>
    </row>
    <row r="816">
      <c r="A816" s="77"/>
    </row>
    <row r="817">
      <c r="A817" s="77"/>
    </row>
    <row r="818">
      <c r="A818" s="77"/>
    </row>
    <row r="819">
      <c r="A819" s="77"/>
    </row>
    <row r="820">
      <c r="A820" s="77"/>
    </row>
    <row r="821">
      <c r="A821" s="77"/>
    </row>
    <row r="822">
      <c r="A822" s="77"/>
    </row>
    <row r="823">
      <c r="A823" s="77"/>
    </row>
    <row r="824">
      <c r="A824" s="77"/>
    </row>
    <row r="825">
      <c r="A825" s="77"/>
    </row>
    <row r="826">
      <c r="A826" s="77"/>
    </row>
    <row r="827">
      <c r="A827" s="77"/>
    </row>
    <row r="828">
      <c r="A828" s="77"/>
    </row>
    <row r="829">
      <c r="A829" s="77"/>
    </row>
    <row r="830">
      <c r="A830" s="77"/>
    </row>
    <row r="831">
      <c r="A831" s="77"/>
    </row>
    <row r="832">
      <c r="A832" s="77"/>
    </row>
    <row r="833">
      <c r="A833" s="77"/>
    </row>
    <row r="834">
      <c r="A834" s="77"/>
    </row>
    <row r="835">
      <c r="A835" s="77"/>
    </row>
    <row r="836">
      <c r="A836" s="77"/>
    </row>
    <row r="837">
      <c r="A837" s="77"/>
    </row>
    <row r="838">
      <c r="A838" s="77"/>
    </row>
    <row r="839">
      <c r="A839" s="77"/>
    </row>
    <row r="840">
      <c r="A840" s="77"/>
    </row>
    <row r="841">
      <c r="A841" s="77"/>
    </row>
    <row r="842">
      <c r="A842" s="77"/>
    </row>
    <row r="843">
      <c r="A843" s="77"/>
    </row>
    <row r="844">
      <c r="A844" s="77"/>
    </row>
    <row r="845">
      <c r="A845" s="77"/>
    </row>
    <row r="846">
      <c r="A846" s="77"/>
    </row>
    <row r="847">
      <c r="A847" s="77"/>
    </row>
    <row r="848">
      <c r="A848" s="77"/>
    </row>
    <row r="849">
      <c r="A849" s="77"/>
    </row>
    <row r="850">
      <c r="A850" s="77"/>
    </row>
    <row r="851">
      <c r="A851" s="77"/>
    </row>
    <row r="852">
      <c r="A852" s="77"/>
    </row>
    <row r="853">
      <c r="A853" s="77"/>
    </row>
    <row r="854">
      <c r="A854" s="77"/>
    </row>
    <row r="855">
      <c r="A855" s="77"/>
    </row>
    <row r="856">
      <c r="A856" s="77"/>
    </row>
    <row r="857">
      <c r="A857" s="77"/>
    </row>
    <row r="858">
      <c r="A858" s="77"/>
    </row>
    <row r="859">
      <c r="A859" s="77"/>
    </row>
    <row r="860">
      <c r="A860" s="77"/>
    </row>
    <row r="861">
      <c r="A861" s="77"/>
    </row>
    <row r="862">
      <c r="A862" s="77"/>
    </row>
    <row r="863">
      <c r="A863" s="77"/>
    </row>
    <row r="864">
      <c r="A864" s="77"/>
    </row>
    <row r="865">
      <c r="A865" s="77"/>
    </row>
    <row r="866">
      <c r="A866" s="77"/>
    </row>
    <row r="867">
      <c r="A867" s="77"/>
    </row>
    <row r="868">
      <c r="A868" s="77"/>
    </row>
    <row r="869">
      <c r="A869" s="77"/>
    </row>
    <row r="870">
      <c r="A870" s="77"/>
    </row>
    <row r="871">
      <c r="A871" s="77"/>
    </row>
    <row r="872">
      <c r="A872" s="77"/>
    </row>
    <row r="873">
      <c r="A873" s="77"/>
    </row>
    <row r="874">
      <c r="A874" s="77"/>
    </row>
    <row r="875">
      <c r="A875" s="77"/>
    </row>
    <row r="876">
      <c r="A876" s="77"/>
    </row>
    <row r="877">
      <c r="A877" s="77"/>
    </row>
    <row r="878">
      <c r="A878" s="77"/>
    </row>
    <row r="879">
      <c r="A879" s="77"/>
    </row>
    <row r="880">
      <c r="A880" s="77"/>
    </row>
    <row r="881">
      <c r="A881" s="77"/>
    </row>
    <row r="882">
      <c r="A882" s="77"/>
    </row>
    <row r="883">
      <c r="A883" s="77"/>
    </row>
    <row r="884">
      <c r="A884" s="77"/>
    </row>
    <row r="885">
      <c r="A885" s="77"/>
    </row>
    <row r="886">
      <c r="A886" s="77"/>
    </row>
    <row r="887">
      <c r="A887" s="77"/>
    </row>
    <row r="888">
      <c r="A888" s="77"/>
    </row>
    <row r="889">
      <c r="A889" s="77"/>
    </row>
    <row r="890">
      <c r="A890" s="77"/>
    </row>
    <row r="891">
      <c r="A891" s="77"/>
    </row>
    <row r="892">
      <c r="A892" s="77"/>
    </row>
    <row r="893">
      <c r="A893" s="77"/>
    </row>
    <row r="894">
      <c r="A894" s="77"/>
    </row>
    <row r="895">
      <c r="A895" s="77"/>
    </row>
    <row r="896">
      <c r="A896" s="77"/>
    </row>
    <row r="897">
      <c r="A897" s="77"/>
    </row>
    <row r="898">
      <c r="A898" s="77"/>
    </row>
    <row r="899">
      <c r="A899" s="77"/>
    </row>
    <row r="900">
      <c r="A900" s="77"/>
    </row>
    <row r="901">
      <c r="A901" s="77"/>
    </row>
    <row r="902">
      <c r="A902" s="77"/>
    </row>
    <row r="903">
      <c r="A903" s="77"/>
    </row>
    <row r="904">
      <c r="A904" s="77"/>
    </row>
    <row r="905">
      <c r="A905" s="77"/>
    </row>
    <row r="906">
      <c r="A906" s="77"/>
    </row>
    <row r="907">
      <c r="A907" s="77"/>
    </row>
    <row r="908">
      <c r="A908" s="77"/>
    </row>
    <row r="909">
      <c r="A909" s="77"/>
    </row>
    <row r="910">
      <c r="A910" s="77"/>
    </row>
    <row r="911">
      <c r="A911" s="77"/>
    </row>
    <row r="912">
      <c r="A912" s="77"/>
    </row>
    <row r="913">
      <c r="A913" s="77"/>
    </row>
    <row r="914">
      <c r="A914" s="77"/>
    </row>
    <row r="915">
      <c r="A915" s="77"/>
    </row>
    <row r="916">
      <c r="A916" s="77"/>
    </row>
    <row r="917">
      <c r="A917" s="77"/>
    </row>
    <row r="918">
      <c r="A918" s="77"/>
    </row>
    <row r="919">
      <c r="A919" s="77"/>
    </row>
    <row r="920">
      <c r="A920" s="77"/>
    </row>
    <row r="921">
      <c r="A921" s="77"/>
    </row>
    <row r="922">
      <c r="A922" s="77"/>
    </row>
    <row r="923">
      <c r="A923" s="77"/>
    </row>
    <row r="924">
      <c r="A924" s="77"/>
    </row>
    <row r="925">
      <c r="A925" s="77"/>
    </row>
    <row r="926">
      <c r="A926" s="77"/>
    </row>
    <row r="927">
      <c r="A927" s="77"/>
    </row>
    <row r="928">
      <c r="A928" s="77"/>
    </row>
    <row r="929">
      <c r="A929" s="77"/>
    </row>
    <row r="930">
      <c r="A930" s="77"/>
    </row>
    <row r="931">
      <c r="A931" s="77"/>
    </row>
    <row r="932">
      <c r="A932" s="77"/>
    </row>
    <row r="933">
      <c r="A933" s="77"/>
    </row>
    <row r="934">
      <c r="A934" s="77"/>
    </row>
    <row r="935">
      <c r="A935" s="77"/>
    </row>
    <row r="936">
      <c r="A936" s="77"/>
    </row>
    <row r="937">
      <c r="A937" s="77"/>
    </row>
    <row r="938">
      <c r="A938" s="77"/>
    </row>
    <row r="939">
      <c r="A939" s="77"/>
    </row>
    <row r="940">
      <c r="A940" s="77"/>
    </row>
    <row r="941">
      <c r="A941" s="77"/>
    </row>
    <row r="942">
      <c r="A942" s="77"/>
    </row>
    <row r="943">
      <c r="A943" s="77"/>
    </row>
    <row r="944">
      <c r="A944" s="77"/>
    </row>
    <row r="945">
      <c r="A945" s="77"/>
    </row>
    <row r="946">
      <c r="A946" s="77"/>
    </row>
    <row r="947">
      <c r="A947" s="77"/>
    </row>
    <row r="948">
      <c r="A948" s="77"/>
    </row>
    <row r="949">
      <c r="A949" s="77"/>
    </row>
    <row r="950">
      <c r="A950" s="77"/>
    </row>
    <row r="951">
      <c r="A951" s="77"/>
    </row>
    <row r="952">
      <c r="A952" s="77"/>
    </row>
    <row r="953">
      <c r="A953" s="77"/>
    </row>
    <row r="954">
      <c r="A954" s="77"/>
    </row>
    <row r="955">
      <c r="A955" s="77"/>
    </row>
    <row r="956">
      <c r="A956" s="77"/>
    </row>
    <row r="957">
      <c r="A957" s="77"/>
    </row>
    <row r="958">
      <c r="A958" s="77"/>
    </row>
    <row r="959">
      <c r="A959" s="77"/>
    </row>
    <row r="960">
      <c r="A960" s="77"/>
    </row>
    <row r="961">
      <c r="A961" s="77"/>
    </row>
    <row r="962">
      <c r="A962" s="77"/>
    </row>
    <row r="963">
      <c r="A963" s="77"/>
    </row>
    <row r="964">
      <c r="A964" s="77"/>
    </row>
    <row r="965">
      <c r="A965" s="77"/>
    </row>
    <row r="966">
      <c r="A966" s="77"/>
    </row>
    <row r="967">
      <c r="A967" s="77"/>
    </row>
    <row r="968">
      <c r="A968" s="77"/>
    </row>
    <row r="969">
      <c r="A969" s="77"/>
    </row>
    <row r="970">
      <c r="A970" s="77"/>
    </row>
    <row r="971">
      <c r="A971" s="77"/>
    </row>
    <row r="972">
      <c r="A972" s="77"/>
    </row>
    <row r="973">
      <c r="A973" s="77"/>
    </row>
    <row r="974">
      <c r="A974" s="77"/>
    </row>
    <row r="975">
      <c r="A975" s="77"/>
    </row>
    <row r="976">
      <c r="A976" s="77"/>
    </row>
    <row r="977">
      <c r="A977" s="77"/>
    </row>
    <row r="978">
      <c r="A978" s="77"/>
    </row>
    <row r="979">
      <c r="A979" s="77"/>
    </row>
    <row r="980">
      <c r="A980" s="77"/>
    </row>
    <row r="981">
      <c r="A981" s="77"/>
    </row>
    <row r="982">
      <c r="A982" s="77"/>
    </row>
    <row r="983">
      <c r="A983" s="77"/>
    </row>
    <row r="984">
      <c r="A984" s="77"/>
    </row>
    <row r="985">
      <c r="A985" s="77"/>
    </row>
    <row r="986">
      <c r="A986" s="77"/>
    </row>
    <row r="987">
      <c r="A987" s="77"/>
    </row>
    <row r="988">
      <c r="A988" s="77"/>
    </row>
    <row r="989">
      <c r="A989" s="77"/>
    </row>
    <row r="990">
      <c r="A990" s="77"/>
    </row>
    <row r="991">
      <c r="A991" s="77"/>
    </row>
    <row r="992">
      <c r="A992" s="77"/>
    </row>
    <row r="993">
      <c r="A993" s="77"/>
    </row>
    <row r="994">
      <c r="A994" s="77"/>
    </row>
    <row r="995">
      <c r="A995" s="77"/>
    </row>
    <row r="996">
      <c r="A996" s="77"/>
    </row>
    <row r="997">
      <c r="A997" s="77"/>
    </row>
    <row r="998">
      <c r="A998" s="77"/>
    </row>
    <row r="999">
      <c r="A999" s="77"/>
    </row>
    <row r="1000">
      <c r="A1000" s="77"/>
    </row>
    <row r="1001">
      <c r="A1001" s="77"/>
    </row>
    <row r="1002">
      <c r="A1002" s="77"/>
    </row>
    <row r="1003">
      <c r="A1003" s="77"/>
    </row>
    <row r="1004">
      <c r="A1004" s="77"/>
    </row>
    <row r="1005">
      <c r="A1005" s="77"/>
    </row>
    <row r="1006">
      <c r="A1006" s="77"/>
    </row>
    <row r="1007">
      <c r="A1007" s="77"/>
    </row>
    <row r="1008">
      <c r="A1008" s="77"/>
    </row>
    <row r="1009">
      <c r="A1009" s="77"/>
    </row>
    <row r="1010">
      <c r="A1010" s="77"/>
    </row>
    <row r="1011">
      <c r="A1011" s="77"/>
    </row>
    <row r="1012">
      <c r="A1012" s="77"/>
    </row>
    <row r="1013">
      <c r="A1013" s="77"/>
    </row>
    <row r="1014">
      <c r="A1014" s="77"/>
    </row>
    <row r="1015">
      <c r="A1015" s="77"/>
    </row>
    <row r="1016">
      <c r="A1016" s="77"/>
    </row>
    <row r="1017">
      <c r="A1017" s="77"/>
    </row>
    <row r="1018">
      <c r="A1018" s="77"/>
    </row>
    <row r="1019">
      <c r="A1019" s="77"/>
    </row>
    <row r="1020">
      <c r="A1020" s="77"/>
    </row>
    <row r="1021">
      <c r="A1021" s="77"/>
    </row>
    <row r="1022">
      <c r="A1022" s="77"/>
    </row>
    <row r="1023">
      <c r="A1023" s="77"/>
    </row>
    <row r="1024">
      <c r="A1024" s="77"/>
    </row>
    <row r="1025">
      <c r="A1025" s="77"/>
    </row>
    <row r="1026">
      <c r="A1026" s="77"/>
    </row>
    <row r="1027">
      <c r="A1027" s="77"/>
    </row>
    <row r="1028">
      <c r="A1028" s="77"/>
    </row>
    <row r="1029">
      <c r="A1029" s="77"/>
    </row>
  </sheetData>
  <drawing r:id="rId1"/>
</worksheet>
</file>