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UoB\Manuscripts\PhD in-progress-papers\MSN\Isotherm_Kinetic_models\"/>
    </mc:Choice>
  </mc:AlternateContent>
  <bookViews>
    <workbookView xWindow="-120" yWindow="-120" windowWidth="29040" windowHeight="15840" activeTab="1"/>
  </bookViews>
  <sheets>
    <sheet name="Sheet1" sheetId="1" r:id="rId1"/>
    <sheet name="Cooh" sheetId="2" r:id="rId2"/>
    <sheet name="MSN" sheetId="3" r:id="rId3"/>
    <sheet name="SH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2" l="1"/>
  <c r="T13" i="2" l="1"/>
  <c r="T12" i="2"/>
  <c r="Y4" i="2"/>
  <c r="Y5" i="2"/>
  <c r="Y6" i="2"/>
  <c r="Y7" i="2"/>
  <c r="Y3" i="2"/>
  <c r="X4" i="2"/>
  <c r="X5" i="2"/>
  <c r="X6" i="2"/>
  <c r="X7" i="2"/>
  <c r="X3" i="2"/>
  <c r="P13" i="2"/>
  <c r="P12" i="2"/>
  <c r="M12" i="2"/>
  <c r="M11" i="2"/>
  <c r="I13" i="2"/>
  <c r="I12" i="2"/>
  <c r="I10" i="2"/>
  <c r="W4" i="2"/>
  <c r="W5" i="2"/>
  <c r="W6" i="2"/>
  <c r="W7" i="2"/>
  <c r="W3" i="2"/>
  <c r="V4" i="2"/>
  <c r="V5" i="2"/>
  <c r="V6" i="2"/>
  <c r="V7" i="2"/>
  <c r="V3" i="2"/>
  <c r="U4" i="2"/>
  <c r="AD21" i="2"/>
  <c r="U7" i="4"/>
  <c r="T7" i="4"/>
  <c r="U6" i="4"/>
  <c r="T6" i="4"/>
  <c r="U5" i="4"/>
  <c r="T5" i="4"/>
  <c r="U4" i="4"/>
  <c r="T4" i="4"/>
  <c r="U3" i="4"/>
  <c r="T3" i="4"/>
  <c r="T7" i="3"/>
  <c r="S7" i="3"/>
  <c r="T6" i="3"/>
  <c r="S6" i="3"/>
  <c r="T5" i="3"/>
  <c r="S5" i="3"/>
  <c r="T4" i="3"/>
  <c r="S4" i="3"/>
  <c r="T3" i="3"/>
  <c r="S3" i="3"/>
  <c r="S4" i="2"/>
  <c r="S5" i="2"/>
  <c r="S6" i="2"/>
  <c r="S7" i="2"/>
  <c r="S3" i="2"/>
  <c r="R4" i="2"/>
  <c r="R5" i="2"/>
  <c r="R6" i="2"/>
  <c r="R7" i="2"/>
  <c r="R3" i="2"/>
  <c r="U2" i="2"/>
  <c r="X26" i="4"/>
  <c r="X25" i="4"/>
  <c r="W3" i="4"/>
  <c r="U30" i="4"/>
  <c r="N30" i="4"/>
  <c r="O30" i="4" s="1"/>
  <c r="P30" i="4" s="1"/>
  <c r="U29" i="4"/>
  <c r="N29" i="4"/>
  <c r="O29" i="4" s="1"/>
  <c r="P29" i="4" s="1"/>
  <c r="U28" i="4"/>
  <c r="N28" i="4"/>
  <c r="O28" i="4" s="1"/>
  <c r="P28" i="4" s="1"/>
  <c r="U27" i="4"/>
  <c r="N27" i="4"/>
  <c r="O27" i="4" s="1"/>
  <c r="P27" i="4" s="1"/>
  <c r="U26" i="4"/>
  <c r="N26" i="4"/>
  <c r="O26" i="4" s="1"/>
  <c r="P26" i="4" s="1"/>
  <c r="U25" i="4"/>
  <c r="N25" i="4"/>
  <c r="O25" i="4" s="1"/>
  <c r="P25" i="4" s="1"/>
  <c r="U24" i="4"/>
  <c r="N24" i="4"/>
  <c r="O24" i="4" s="1"/>
  <c r="P24" i="4" s="1"/>
  <c r="U23" i="4"/>
  <c r="N23" i="4"/>
  <c r="O23" i="4" s="1"/>
  <c r="P23" i="4" s="1"/>
  <c r="N7" i="4"/>
  <c r="N6" i="4"/>
  <c r="O6" i="4" s="1"/>
  <c r="P6" i="4" s="1"/>
  <c r="N5" i="4"/>
  <c r="N4" i="4"/>
  <c r="O4" i="4" s="1"/>
  <c r="P4" i="4" s="1"/>
  <c r="R3" i="4"/>
  <c r="O3" i="4"/>
  <c r="P3" i="4" s="1"/>
  <c r="W26" i="3"/>
  <c r="W25" i="3"/>
  <c r="W4" i="3"/>
  <c r="T30" i="3"/>
  <c r="M30" i="3"/>
  <c r="N30" i="3" s="1"/>
  <c r="O30" i="3" s="1"/>
  <c r="T29" i="3"/>
  <c r="N29" i="3"/>
  <c r="O29" i="3" s="1"/>
  <c r="S29" i="3" s="1"/>
  <c r="M29" i="3"/>
  <c r="T28" i="3"/>
  <c r="M28" i="3"/>
  <c r="N28" i="3" s="1"/>
  <c r="O28" i="3" s="1"/>
  <c r="T27" i="3"/>
  <c r="M27" i="3"/>
  <c r="N27" i="3" s="1"/>
  <c r="O27" i="3" s="1"/>
  <c r="T26" i="3"/>
  <c r="M26" i="3"/>
  <c r="N26" i="3" s="1"/>
  <c r="O26" i="3" s="1"/>
  <c r="T25" i="3"/>
  <c r="M25" i="3"/>
  <c r="N25" i="3" s="1"/>
  <c r="O25" i="3" s="1"/>
  <c r="T24" i="3"/>
  <c r="M24" i="3"/>
  <c r="N24" i="3" s="1"/>
  <c r="O24" i="3" s="1"/>
  <c r="T23" i="3"/>
  <c r="M23" i="3"/>
  <c r="N23" i="3" s="1"/>
  <c r="O23" i="3" s="1"/>
  <c r="S23" i="3" s="1"/>
  <c r="M7" i="3"/>
  <c r="N7" i="3" s="1"/>
  <c r="O7" i="3" s="1"/>
  <c r="R7" i="3" s="1"/>
  <c r="M6" i="3"/>
  <c r="M5" i="3"/>
  <c r="N5" i="3" s="1"/>
  <c r="O5" i="3" s="1"/>
  <c r="R5" i="3" s="1"/>
  <c r="M4" i="3"/>
  <c r="Q3" i="3"/>
  <c r="O3" i="3"/>
  <c r="R3" i="3" s="1"/>
  <c r="N3" i="3"/>
  <c r="V26" i="2"/>
  <c r="S24" i="2"/>
  <c r="S25" i="2"/>
  <c r="S26" i="2"/>
  <c r="S27" i="2"/>
  <c r="S28" i="2"/>
  <c r="S29" i="2"/>
  <c r="S30" i="2"/>
  <c r="S23" i="2"/>
  <c r="M29" i="2"/>
  <c r="N29" i="2" s="1"/>
  <c r="P29" i="2" s="1"/>
  <c r="Q29" i="2" s="1"/>
  <c r="L24" i="2"/>
  <c r="M24" i="2" s="1"/>
  <c r="N24" i="2" s="1"/>
  <c r="L25" i="2"/>
  <c r="M25" i="2" s="1"/>
  <c r="N25" i="2" s="1"/>
  <c r="P25" i="2" s="1"/>
  <c r="Q25" i="2" s="1"/>
  <c r="L26" i="2"/>
  <c r="M26" i="2" s="1"/>
  <c r="N26" i="2" s="1"/>
  <c r="L27" i="2"/>
  <c r="M27" i="2" s="1"/>
  <c r="N27" i="2" s="1"/>
  <c r="L28" i="2"/>
  <c r="M28" i="2" s="1"/>
  <c r="N28" i="2" s="1"/>
  <c r="L29" i="2"/>
  <c r="L30" i="2"/>
  <c r="M30" i="2" s="1"/>
  <c r="N30" i="2" s="1"/>
  <c r="L23" i="2"/>
  <c r="M23" i="2" s="1"/>
  <c r="N23" i="2" s="1"/>
  <c r="P6" i="2"/>
  <c r="P7" i="2"/>
  <c r="P3" i="2"/>
  <c r="M6" i="2"/>
  <c r="N6" i="2" s="1"/>
  <c r="M7" i="2"/>
  <c r="N7" i="2" s="1"/>
  <c r="Q7" i="2" s="1"/>
  <c r="M3" i="2"/>
  <c r="N3" i="2" s="1"/>
  <c r="O3" i="2" s="1"/>
  <c r="L4" i="2"/>
  <c r="P4" i="2" s="1"/>
  <c r="L5" i="2"/>
  <c r="L6" i="2"/>
  <c r="L7" i="2"/>
  <c r="W69" i="1"/>
  <c r="W68" i="1"/>
  <c r="Z62" i="1"/>
  <c r="Z43" i="1"/>
  <c r="Z44" i="1"/>
  <c r="AA44" i="1" s="1"/>
  <c r="Z45" i="1"/>
  <c r="AA45" i="1" s="1"/>
  <c r="Z46" i="1"/>
  <c r="Z42" i="1"/>
  <c r="AA42" i="1"/>
  <c r="X64" i="1"/>
  <c r="X61" i="1"/>
  <c r="X63" i="1"/>
  <c r="X65" i="1"/>
  <c r="S45" i="1"/>
  <c r="S44" i="1"/>
  <c r="AA43" i="1"/>
  <c r="AA46" i="1"/>
  <c r="T43" i="1"/>
  <c r="T44" i="1"/>
  <c r="T45" i="1"/>
  <c r="T46" i="1"/>
  <c r="T42" i="1"/>
  <c r="S46" i="1"/>
  <c r="S43" i="1"/>
  <c r="S42" i="1"/>
  <c r="Q43" i="1"/>
  <c r="Q44" i="1"/>
  <c r="Q45" i="1"/>
  <c r="Q46" i="1"/>
  <c r="Q42" i="1"/>
  <c r="P43" i="1"/>
  <c r="P44" i="1"/>
  <c r="P45" i="1"/>
  <c r="P46" i="1"/>
  <c r="P42" i="1"/>
  <c r="AD77" i="1"/>
  <c r="T79" i="1"/>
  <c r="AD78" i="1"/>
  <c r="T80" i="1"/>
  <c r="T81" i="1"/>
  <c r="T82" i="1"/>
  <c r="T83" i="1"/>
  <c r="P80" i="1"/>
  <c r="Q80" i="1" s="1"/>
  <c r="P81" i="1"/>
  <c r="Q81" i="1"/>
  <c r="R81" i="1"/>
  <c r="S81" i="1"/>
  <c r="P82" i="1"/>
  <c r="Q82" i="1"/>
  <c r="R82" i="1"/>
  <c r="S82" i="1"/>
  <c r="P83" i="1"/>
  <c r="Q83" i="1"/>
  <c r="R83" i="1"/>
  <c r="S83" i="1"/>
  <c r="S79" i="1"/>
  <c r="R79" i="1"/>
  <c r="Q79" i="1"/>
  <c r="P79" i="1"/>
  <c r="AE46" i="1"/>
  <c r="W77" i="1"/>
  <c r="W76" i="1"/>
  <c r="W75" i="1"/>
  <c r="N69" i="1"/>
  <c r="O69" i="1" s="1"/>
  <c r="P69" i="1" s="1"/>
  <c r="N70" i="1"/>
  <c r="O70" i="1"/>
  <c r="P70" i="1" s="1"/>
  <c r="R70" i="1" s="1"/>
  <c r="N71" i="1"/>
  <c r="O71" i="1"/>
  <c r="P71" i="1" s="1"/>
  <c r="N72" i="1"/>
  <c r="O72" i="1" s="1"/>
  <c r="N73" i="1"/>
  <c r="O73" i="1" s="1"/>
  <c r="P73" i="1" s="1"/>
  <c r="N74" i="1"/>
  <c r="O74" i="1"/>
  <c r="P74" i="1" s="1"/>
  <c r="R74" i="1" s="1"/>
  <c r="N75" i="1"/>
  <c r="O75" i="1"/>
  <c r="P75" i="1" s="1"/>
  <c r="N68" i="1"/>
  <c r="O68" i="1" s="1"/>
  <c r="P68" i="1" s="1"/>
  <c r="S68" i="1" s="1"/>
  <c r="U50" i="1"/>
  <c r="R43" i="1"/>
  <c r="R44" i="1"/>
  <c r="R45" i="1"/>
  <c r="R42" i="1"/>
  <c r="W43" i="1"/>
  <c r="X43" i="1" s="1"/>
  <c r="Y43" i="1" s="1"/>
  <c r="W44" i="1"/>
  <c r="X44" i="1" s="1"/>
  <c r="Y44" i="1" s="1"/>
  <c r="W45" i="1"/>
  <c r="W46" i="1"/>
  <c r="W42" i="1"/>
  <c r="X42" i="1"/>
  <c r="Y42" i="1" s="1"/>
  <c r="X45" i="1"/>
  <c r="Y45" i="1" s="1"/>
  <c r="X46" i="1"/>
  <c r="Y46" i="1" s="1"/>
  <c r="P51" i="1"/>
  <c r="P52" i="1"/>
  <c r="P53" i="1"/>
  <c r="P54" i="1"/>
  <c r="P55" i="1"/>
  <c r="P59" i="1"/>
  <c r="P60" i="1"/>
  <c r="P61" i="1"/>
  <c r="P62" i="1"/>
  <c r="P63" i="1"/>
  <c r="O63" i="1"/>
  <c r="O62" i="1"/>
  <c r="O61" i="1"/>
  <c r="O60" i="1"/>
  <c r="O59" i="1"/>
  <c r="O55" i="1"/>
  <c r="O54" i="1"/>
  <c r="O53" i="1"/>
  <c r="O52" i="1"/>
  <c r="O51" i="1"/>
  <c r="O43" i="1"/>
  <c r="O44" i="1"/>
  <c r="O45" i="1"/>
  <c r="O46" i="1"/>
  <c r="O42" i="1"/>
  <c r="N63" i="1"/>
  <c r="N62" i="1"/>
  <c r="N61" i="1"/>
  <c r="N60" i="1"/>
  <c r="N59" i="1"/>
  <c r="N55" i="1"/>
  <c r="N54" i="1"/>
  <c r="N53" i="1"/>
  <c r="N52" i="1"/>
  <c r="N51" i="1"/>
  <c r="N43" i="1"/>
  <c r="N44" i="1"/>
  <c r="N45" i="1"/>
  <c r="N46" i="1"/>
  <c r="N42" i="1"/>
  <c r="S4" i="4" l="1"/>
  <c r="Q4" i="4"/>
  <c r="T23" i="4"/>
  <c r="R23" i="4"/>
  <c r="S23" i="4" s="1"/>
  <c r="R25" i="4"/>
  <c r="S25" i="4" s="1"/>
  <c r="T25" i="4"/>
  <c r="Q3" i="4"/>
  <c r="S3" i="4"/>
  <c r="R28" i="4"/>
  <c r="S28" i="4" s="1"/>
  <c r="T28" i="4"/>
  <c r="T30" i="4"/>
  <c r="R30" i="4"/>
  <c r="S30" i="4" s="1"/>
  <c r="S6" i="4"/>
  <c r="Q6" i="4"/>
  <c r="T24" i="4"/>
  <c r="R24" i="4"/>
  <c r="S24" i="4" s="1"/>
  <c r="R27" i="4"/>
  <c r="S27" i="4" s="1"/>
  <c r="T27" i="4"/>
  <c r="R26" i="4"/>
  <c r="S26" i="4" s="1"/>
  <c r="T26" i="4"/>
  <c r="T29" i="4"/>
  <c r="R29" i="4"/>
  <c r="S29" i="4" s="1"/>
  <c r="R5" i="4"/>
  <c r="R7" i="4"/>
  <c r="O5" i="4"/>
  <c r="P5" i="4" s="1"/>
  <c r="S5" i="4" s="1"/>
  <c r="O7" i="4"/>
  <c r="P7" i="4" s="1"/>
  <c r="S7" i="4" s="1"/>
  <c r="R4" i="4"/>
  <c r="R6" i="4"/>
  <c r="Q25" i="3"/>
  <c r="R25" i="3" s="1"/>
  <c r="S25" i="3"/>
  <c r="Q28" i="3"/>
  <c r="R28" i="3" s="1"/>
  <c r="S28" i="3"/>
  <c r="S24" i="3"/>
  <c r="Q24" i="3"/>
  <c r="R24" i="3" s="1"/>
  <c r="Q27" i="3"/>
  <c r="R27" i="3" s="1"/>
  <c r="S27" i="3"/>
  <c r="Q26" i="3"/>
  <c r="R26" i="3" s="1"/>
  <c r="S26" i="3"/>
  <c r="Q30" i="3"/>
  <c r="R30" i="3" s="1"/>
  <c r="S30" i="3"/>
  <c r="Q23" i="3"/>
  <c r="R23" i="3" s="1"/>
  <c r="Q29" i="3"/>
  <c r="R29" i="3" s="1"/>
  <c r="Q4" i="3"/>
  <c r="Q6" i="3"/>
  <c r="P3" i="3"/>
  <c r="N4" i="3"/>
  <c r="O4" i="3" s="1"/>
  <c r="R4" i="3" s="1"/>
  <c r="P5" i="3"/>
  <c r="N6" i="3"/>
  <c r="O6" i="3" s="1"/>
  <c r="R6" i="3" s="1"/>
  <c r="P7" i="3"/>
  <c r="Q5" i="3"/>
  <c r="Q7" i="3"/>
  <c r="R28" i="2"/>
  <c r="P28" i="2"/>
  <c r="Q28" i="2" s="1"/>
  <c r="P24" i="2"/>
  <c r="Q24" i="2" s="1"/>
  <c r="R24" i="2"/>
  <c r="R27" i="2"/>
  <c r="P27" i="2"/>
  <c r="Q27" i="2" s="1"/>
  <c r="R30" i="2"/>
  <c r="P30" i="2"/>
  <c r="Q30" i="2" s="1"/>
  <c r="R26" i="2"/>
  <c r="P26" i="2"/>
  <c r="Q26" i="2" s="1"/>
  <c r="R25" i="2"/>
  <c r="R29" i="2"/>
  <c r="R23" i="2"/>
  <c r="P23" i="2"/>
  <c r="Q23" i="2" s="1"/>
  <c r="Q6" i="2"/>
  <c r="O6" i="2"/>
  <c r="O7" i="2"/>
  <c r="M4" i="2"/>
  <c r="N4" i="2" s="1"/>
  <c r="Q4" i="2" s="1"/>
  <c r="O4" i="2"/>
  <c r="P5" i="2"/>
  <c r="M5" i="2"/>
  <c r="N5" i="2" s="1"/>
  <c r="Q5" i="2" s="1"/>
  <c r="Q3" i="2"/>
  <c r="R46" i="1"/>
  <c r="R80" i="1"/>
  <c r="S80" i="1" s="1"/>
  <c r="Q68" i="1"/>
  <c r="P72" i="1"/>
  <c r="R72" i="1" s="1"/>
  <c r="Q72" i="1"/>
  <c r="Q74" i="1"/>
  <c r="Q70" i="1"/>
  <c r="R75" i="1"/>
  <c r="S75" i="1"/>
  <c r="R71" i="1"/>
  <c r="S71" i="1"/>
  <c r="R73" i="1"/>
  <c r="S73" i="1"/>
  <c r="R69" i="1"/>
  <c r="S69" i="1"/>
  <c r="Q75" i="1"/>
  <c r="S74" i="1"/>
  <c r="Q73" i="1"/>
  <c r="Q71" i="1"/>
  <c r="S70" i="1"/>
  <c r="Q69" i="1"/>
  <c r="R68" i="1"/>
  <c r="Q7" i="4" l="1"/>
  <c r="Q5" i="4"/>
  <c r="P6" i="3"/>
  <c r="P4" i="3"/>
  <c r="O5" i="2"/>
  <c r="S72" i="1"/>
</calcChain>
</file>

<file path=xl/sharedStrings.xml><?xml version="1.0" encoding="utf-8"?>
<sst xmlns="http://schemas.openxmlformats.org/spreadsheetml/2006/main" count="566" uniqueCount="87">
  <si>
    <t>Time</t>
  </si>
  <si>
    <t>Functional group</t>
  </si>
  <si>
    <t>Dose</t>
  </si>
  <si>
    <t>Initial_conc</t>
  </si>
  <si>
    <t>pH</t>
  </si>
  <si>
    <t>Removal_eff</t>
  </si>
  <si>
    <t>MSN</t>
  </si>
  <si>
    <t>SH</t>
  </si>
  <si>
    <t>COOH</t>
  </si>
  <si>
    <t>Rem eff (%)</t>
  </si>
  <si>
    <t>Qe</t>
  </si>
  <si>
    <t>Ci</t>
  </si>
  <si>
    <t>Cf</t>
  </si>
  <si>
    <t>Ce</t>
  </si>
  <si>
    <t>Qe= Ce/dose</t>
  </si>
  <si>
    <t>Ce/Qe</t>
  </si>
  <si>
    <t xml:space="preserve">Slope </t>
  </si>
  <si>
    <t>1/Qm</t>
  </si>
  <si>
    <t>Qm</t>
  </si>
  <si>
    <t>Initial conc</t>
  </si>
  <si>
    <t>1/Ce</t>
  </si>
  <si>
    <t>1/Qe</t>
  </si>
  <si>
    <t>KL = -0.0719</t>
  </si>
  <si>
    <t>Qm = 1.0266/.0719</t>
  </si>
  <si>
    <t>t/qe</t>
  </si>
  <si>
    <t>Slope</t>
  </si>
  <si>
    <t>qm2</t>
  </si>
  <si>
    <t>K2</t>
  </si>
  <si>
    <t>Conc</t>
  </si>
  <si>
    <t>dose</t>
  </si>
  <si>
    <t>Cads</t>
  </si>
  <si>
    <t>Qe= Cads/dose</t>
  </si>
  <si>
    <t>Rem eff (%</t>
  </si>
  <si>
    <t>Qe = Cads/dose</t>
  </si>
  <si>
    <t>ln Ce</t>
  </si>
  <si>
    <t>ln Qe</t>
  </si>
  <si>
    <t>MSN-COOH</t>
  </si>
  <si>
    <t>MSN-SH</t>
  </si>
  <si>
    <t>Kinetic</t>
  </si>
  <si>
    <t>time (t)</t>
  </si>
  <si>
    <t>rem eff</t>
  </si>
  <si>
    <t>Qt</t>
  </si>
  <si>
    <t>Qe - Qt</t>
  </si>
  <si>
    <t>ln(Qe - Qt)</t>
  </si>
  <si>
    <t>t / Qt</t>
  </si>
  <si>
    <t>t ^1/2</t>
  </si>
  <si>
    <t>Langmuir Qm</t>
  </si>
  <si>
    <t>qe =Qm</t>
  </si>
  <si>
    <t>Qe/pso</t>
  </si>
  <si>
    <t>Qe/pfo</t>
  </si>
  <si>
    <t>Qe/Ce</t>
  </si>
  <si>
    <t>b</t>
  </si>
  <si>
    <t>qs</t>
  </si>
  <si>
    <t>RL</t>
  </si>
  <si>
    <t>KL</t>
  </si>
  <si>
    <t>Langmuir</t>
  </si>
  <si>
    <t>R2</t>
  </si>
  <si>
    <t>1/slope x Qm</t>
  </si>
  <si>
    <t>1/(1+(KL*Ci)</t>
  </si>
  <si>
    <t>1/slope</t>
  </si>
  <si>
    <t>Freundlich</t>
  </si>
  <si>
    <t>KF</t>
  </si>
  <si>
    <t>n</t>
  </si>
  <si>
    <t>EXP(intercept)</t>
  </si>
  <si>
    <t>Temkin</t>
  </si>
  <si>
    <t>B</t>
  </si>
  <si>
    <t>AT</t>
  </si>
  <si>
    <t>slope</t>
  </si>
  <si>
    <t>EXP(intercept/B)</t>
  </si>
  <si>
    <t>RT/B</t>
  </si>
  <si>
    <t>R=8.314</t>
  </si>
  <si>
    <t>T=293 (20C)</t>
  </si>
  <si>
    <t>£</t>
  </si>
  <si>
    <t>£-sq</t>
  </si>
  <si>
    <t>D - R</t>
  </si>
  <si>
    <t>ß</t>
  </si>
  <si>
    <t>E (kJ /mol)</t>
  </si>
  <si>
    <t>exp(intercept)</t>
  </si>
  <si>
    <t>1/(2*ß)^0.5</t>
  </si>
  <si>
    <t>3.846 kJ/mol</t>
  </si>
  <si>
    <t>t</t>
  </si>
  <si>
    <t>Qe_COOH</t>
  </si>
  <si>
    <t>Ce_COOH</t>
  </si>
  <si>
    <t>Ce_MSN</t>
  </si>
  <si>
    <t>Qe_MSN</t>
  </si>
  <si>
    <t>Ce_SH</t>
  </si>
  <si>
    <t>Qe_SH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</si>
</sst>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1" fillId="5" borderId="0" xfId="0" applyFont="1" applyFill="1"/>
    <xf numFmtId="0" fontId="0" fillId="5" borderId="0" xfId="0" applyFill="1"/>
    <xf numFmtId="11" fontId="0" fillId="0" borderId="0" xfId="0" applyNumberFormat="1"/>
    <xf numFmtId="0" fontId="2" fillId="0" borderId="0" xfId="0" applyFont="1"/>
    <xf numFmtId="16" fontId="0" fillId="0" borderId="0" xfId="0" applyNumberFormat="1"/>
    <xf numFmtId="11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Sheet1!$AA$41</c:f>
              <c:strCache>
                <c:ptCount val="1"/>
                <c:pt idx="0">
                  <c:v>Ce/Qe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Sheet1!$X$42:$X$46</c:f>
              <c:numCache>
                <c:formatCode>General</c:formatCode>
                <c:ptCount val="5"/>
                <c:pt idx="0">
                  <c:v>0</c:v>
                </c:pt>
                <c:pt idx="1">
                  <c:v>5.5142344000000065E-2</c:v>
                </c:pt>
                <c:pt idx="2">
                  <c:v>0.13773249099999951</c:v>
                </c:pt>
                <c:pt idx="3">
                  <c:v>2.173471095</c:v>
                </c:pt>
                <c:pt idx="4">
                  <c:v>14.114980199999998</c:v>
                </c:pt>
              </c:numCache>
            </c:numRef>
          </c:xVal>
          <c:yVal>
            <c:numRef>
              <c:f>Sheet1!$AA$42:$AA$46</c:f>
              <c:numCache>
                <c:formatCode>General</c:formatCode>
                <c:ptCount val="5"/>
                <c:pt idx="0">
                  <c:v>0</c:v>
                </c:pt>
                <c:pt idx="1">
                  <c:v>2.7878630607845382E-3</c:v>
                </c:pt>
                <c:pt idx="2">
                  <c:v>3.4914001996576623E-3</c:v>
                </c:pt>
                <c:pt idx="3">
                  <c:v>2.3804222534727078E-2</c:v>
                </c:pt>
                <c:pt idx="4">
                  <c:v>9.8334766698387033E-2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1-4078-B56A-E04003BE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1296"/>
        <c:axId val="198156176"/>
      </c:scatterChart>
      <c:valAx>
        <c:axId val="1981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6176"/>
        <c:crosses val="autoZero"/>
        <c:crossBetween val="midCat"/>
      </c:valAx>
      <c:valAx>
        <c:axId val="198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MSN!$P$2</c:f>
              <c:strCache>
                <c:ptCount val="1"/>
                <c:pt idx="0">
                  <c:v>Ce/Qe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MSN!$M$3:$M$7</c:f>
              <c:numCache>
                <c:formatCode>General</c:formatCode>
                <c:ptCount val="5"/>
                <c:pt idx="0">
                  <c:v>1E-3</c:v>
                </c:pt>
                <c:pt idx="1">
                  <c:v>8.3354706499999764E-2</c:v>
                </c:pt>
                <c:pt idx="2">
                  <c:v>0.55224397599999975</c:v>
                </c:pt>
                <c:pt idx="3">
                  <c:v>4.7373896825000017</c:v>
                </c:pt>
                <c:pt idx="4">
                  <c:v>21.966209965000004</c:v>
                </c:pt>
              </c:numCache>
            </c:numRef>
          </c:xVal>
          <c:yVal>
            <c:numRef>
              <c:f>MSN!$P$3:$P$7</c:f>
              <c:numCache>
                <c:formatCode>General</c:formatCode>
                <c:ptCount val="5"/>
                <c:pt idx="0">
                  <c:v>2.5025025025025025E-4</c:v>
                </c:pt>
                <c:pt idx="1">
                  <c:v>4.2383933314346462E-3</c:v>
                </c:pt>
                <c:pt idx="2">
                  <c:v>1.4613098988721296E-2</c:v>
                </c:pt>
                <c:pt idx="3">
                  <c:v>5.8449893773169365E-2</c:v>
                </c:pt>
                <c:pt idx="4">
                  <c:v>0.19589047661389472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F-40C6-8271-896A46FA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0496"/>
        <c:axId val="198148496"/>
      </c:scatterChart>
      <c:valAx>
        <c:axId val="1981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8496"/>
        <c:crosses val="autoZero"/>
        <c:crossBetween val="midCat"/>
      </c:valAx>
      <c:valAx>
        <c:axId val="19814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MSN!$S$22</c:f>
              <c:strCache>
                <c:ptCount val="1"/>
                <c:pt idx="0">
                  <c:v>t / Qt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MSN!$J$23:$J$30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MSN!$S$23:$S$30</c:f>
              <c:numCache>
                <c:formatCode>General</c:formatCode>
                <c:ptCount val="8"/>
                <c:pt idx="0">
                  <c:v>0.19422341752630773</c:v>
                </c:pt>
                <c:pt idx="1">
                  <c:v>0.37017982044489994</c:v>
                </c:pt>
                <c:pt idx="2">
                  <c:v>0.48209209906037059</c:v>
                </c:pt>
                <c:pt idx="3">
                  <c:v>0.79142034541605344</c:v>
                </c:pt>
                <c:pt idx="4">
                  <c:v>1.4535416105193322</c:v>
                </c:pt>
                <c:pt idx="5">
                  <c:v>2.072949116424994</c:v>
                </c:pt>
                <c:pt idx="6">
                  <c:v>2.654118813334835</c:v>
                </c:pt>
                <c:pt idx="7">
                  <c:v>3.5390340401941969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C-40B4-A4A4-FCEFE7F4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79184"/>
        <c:axId val="1220080144"/>
      </c:scatterChart>
      <c:valAx>
        <c:axId val="12200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80144"/>
        <c:crosses val="autoZero"/>
        <c:crossBetween val="midCat"/>
      </c:valAx>
      <c:valAx>
        <c:axId val="1220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MSN!$R$22</c:f>
              <c:strCache>
                <c:ptCount val="1"/>
                <c:pt idx="0">
                  <c:v>ln(Qe - Qt)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06581156154106E-2"/>
                  <c:y val="-0.39046095069247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MSN!$J$23:$J$30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MSN!$R$23:$R$30</c:f>
              <c:numCache>
                <c:formatCode>General</c:formatCode>
                <c:ptCount val="8"/>
                <c:pt idx="0">
                  <c:v>4.4908692832388315</c:v>
                </c:pt>
                <c:pt idx="1">
                  <c:v>4.4765251415244558</c:v>
                </c:pt>
                <c:pt idx="2">
                  <c:v>4.4287684320145297</c:v>
                </c:pt>
                <c:pt idx="3">
                  <c:v>4.3442724403160504</c:v>
                </c:pt>
                <c:pt idx="4">
                  <c:v>4.2995143753224712</c:v>
                </c:pt>
                <c:pt idx="5">
                  <c:v>4.2700623372462774</c:v>
                </c:pt>
                <c:pt idx="6">
                  <c:v>4.2446271120426964</c:v>
                </c:pt>
                <c:pt idx="7">
                  <c:v>4.2843869752374628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6-4C8E-B724-05FABDD9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60448"/>
        <c:axId val="2008560928"/>
      </c:scatterChart>
      <c:valAx>
        <c:axId val="20085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60928"/>
        <c:crosses val="autoZero"/>
        <c:crossBetween val="midCat"/>
      </c:valAx>
      <c:valAx>
        <c:axId val="200856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58222463571365"/>
          <c:y val="9.6694395618585213E-2"/>
          <c:w val="0.79287754547922884"/>
          <c:h val="0.73253349402243539"/>
        </c:manualLayout>
      </c:layout>
      <c:scatterChart>
        <c:scatterStyle val="lineMarker"/>
        <c:varyColors val="0"/>
        <c:ser>
          <c:idx val="0"/>
          <c:order val="0"/>
          <c:tx>
            <c:strRef>
              <c:f>MSN!$U$22</c:f>
              <c:strCache>
                <c:ptCount val="1"/>
                <c:pt idx="0">
                  <c:v>Qt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78459589103092E-2"/>
                  <c:y val="0.31063095677098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MSN!$T$23:$T$30</c:f>
              <c:numCache>
                <c:formatCode>General</c:formatCode>
                <c:ptCount val="8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5.4772255750516612</c:v>
                </c:pt>
                <c:pt idx="4">
                  <c:v>7.745966692414834</c:v>
                </c:pt>
                <c:pt idx="5">
                  <c:v>9.4868329805051381</c:v>
                </c:pt>
                <c:pt idx="6">
                  <c:v>10.954451150103322</c:v>
                </c:pt>
                <c:pt idx="7">
                  <c:v>12.24744871391589</c:v>
                </c:pt>
              </c:numCache>
            </c:numRef>
          </c:xVal>
          <c:yVal>
            <c:numRef>
              <c:f>MSN!$U$23:$U$30</c:f>
              <c:numCache>
                <c:formatCode>General</c:formatCode>
                <c:ptCount val="8"/>
                <c:pt idx="0">
                  <c:v>25.743548660000002</c:v>
                </c:pt>
                <c:pt idx="1">
                  <c:v>27.013898240000003</c:v>
                </c:pt>
                <c:pt idx="2">
                  <c:v>31.114386710000005</c:v>
                </c:pt>
                <c:pt idx="3">
                  <c:v>37.906531180000002</c:v>
                </c:pt>
                <c:pt idx="4">
                  <c:v>41.278488049999993</c:v>
                </c:pt>
                <c:pt idx="5">
                  <c:v>43.416405779999998</c:v>
                </c:pt>
                <c:pt idx="6">
                  <c:v>45.212746090000003</c:v>
                </c:pt>
                <c:pt idx="7">
                  <c:v>42.384446799999999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8-465C-A818-1FF71EC6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330544"/>
        <c:axId val="2003331984"/>
      </c:scatterChart>
      <c:valAx>
        <c:axId val="20033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1984"/>
        <c:crosses val="autoZero"/>
        <c:crossBetween val="midCat"/>
      </c:valAx>
      <c:valAx>
        <c:axId val="200333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SH!$Q$2</c:f>
              <c:strCache>
                <c:ptCount val="1"/>
                <c:pt idx="0">
                  <c:v>Ce/Qe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SH!$N$3:$N$7</c:f>
              <c:numCache>
                <c:formatCode>General</c:formatCode>
                <c:ptCount val="5"/>
                <c:pt idx="0">
                  <c:v>1E-3</c:v>
                </c:pt>
                <c:pt idx="1">
                  <c:v>5.6282237500000498E-2</c:v>
                </c:pt>
                <c:pt idx="2">
                  <c:v>0.40172971900000043</c:v>
                </c:pt>
                <c:pt idx="3">
                  <c:v>2.7706823575000001</c:v>
                </c:pt>
                <c:pt idx="4">
                  <c:v>18.934827524999999</c:v>
                </c:pt>
              </c:numCache>
            </c:numRef>
          </c:xVal>
          <c:yVal>
            <c:numRef>
              <c:f>SH!$Q$3:$Q$7</c:f>
              <c:numCache>
                <c:formatCode>General</c:formatCode>
                <c:ptCount val="5"/>
                <c:pt idx="0">
                  <c:v>2.5025025025025025E-4</c:v>
                </c:pt>
                <c:pt idx="1">
                  <c:v>2.846149406369985E-3</c:v>
                </c:pt>
                <c:pt idx="2">
                  <c:v>1.0463596753345074E-2</c:v>
                </c:pt>
                <c:pt idx="3">
                  <c:v>3.1160227251001642E-2</c:v>
                </c:pt>
                <c:pt idx="4">
                  <c:v>0.15237986800361389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F-46F5-BC9D-9C6CB8A8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58128"/>
        <c:axId val="203604752"/>
      </c:scatterChart>
      <c:valAx>
        <c:axId val="19847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4752"/>
        <c:crosses val="autoZero"/>
        <c:crossBetween val="midCat"/>
      </c:valAx>
      <c:valAx>
        <c:axId val="2036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3963254593176"/>
          <c:y val="0.18125122350051334"/>
          <c:w val="0.75494925634295718"/>
          <c:h val="0.62906048728108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SH!$T$22</c:f>
              <c:strCache>
                <c:ptCount val="1"/>
                <c:pt idx="0">
                  <c:v>t / Qt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59798775153102"/>
                  <c:y val="0.31926143532842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SH!$K$23:$K$30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SH!$T$23:$T$30</c:f>
              <c:numCache>
                <c:formatCode>General</c:formatCode>
                <c:ptCount val="8"/>
                <c:pt idx="0">
                  <c:v>0.16265858191053675</c:v>
                </c:pt>
                <c:pt idx="1">
                  <c:v>0.25471279535020325</c:v>
                </c:pt>
                <c:pt idx="2">
                  <c:v>0.31163448300740099</c:v>
                </c:pt>
                <c:pt idx="3">
                  <c:v>0.48662820298306064</c:v>
                </c:pt>
                <c:pt idx="4">
                  <c:v>0.78697316695669017</c:v>
                </c:pt>
                <c:pt idx="5">
                  <c:v>1.0769083192844173</c:v>
                </c:pt>
                <c:pt idx="6">
                  <c:v>1.3518144027398078</c:v>
                </c:pt>
                <c:pt idx="7">
                  <c:v>1.6418294624093037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3-4B1A-8E4E-22DCF73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112480"/>
        <c:axId val="1996113920"/>
      </c:scatterChart>
      <c:valAx>
        <c:axId val="19961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13920"/>
        <c:crosses val="autoZero"/>
        <c:crossBetween val="midCat"/>
      </c:valAx>
      <c:valAx>
        <c:axId val="19961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8005249343833"/>
          <c:y val="0.15611645181171954"/>
          <c:w val="0.7795014289880432"/>
          <c:h val="0.64437321496888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SH!$S$22</c:f>
              <c:strCache>
                <c:ptCount val="1"/>
                <c:pt idx="0">
                  <c:v>ln(Qe - Qt)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30183727034121E-3"/>
                  <c:y val="0.1903503162855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SH!$K$23:$K$30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SH!$S$23:$S$30</c:f>
              <c:numCache>
                <c:formatCode>General</c:formatCode>
                <c:ptCount val="8"/>
                <c:pt idx="0">
                  <c:v>4.5795022377374934</c:v>
                </c:pt>
                <c:pt idx="1">
                  <c:v>4.4880204000617683</c:v>
                </c:pt>
                <c:pt idx="2">
                  <c:v>4.3829235743032404</c:v>
                </c:pt>
                <c:pt idx="3">
                  <c:v>4.1980495880124487</c:v>
                </c:pt>
                <c:pt idx="4">
                  <c:v>3.9505438331418183</c:v>
                </c:pt>
                <c:pt idx="5">
                  <c:v>3.7984628799969431</c:v>
                </c:pt>
                <c:pt idx="6">
                  <c:v>3.6746668724136167</c:v>
                </c:pt>
                <c:pt idx="7">
                  <c:v>3.6066819666523351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2-4A3B-A48E-30E37F96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6816"/>
        <c:axId val="180897296"/>
      </c:scatterChart>
      <c:valAx>
        <c:axId val="1808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7296"/>
        <c:crosses val="autoZero"/>
        <c:crossBetween val="midCat"/>
      </c:valAx>
      <c:valAx>
        <c:axId val="1808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98154397366996"/>
          <c:y val="0.14574022749489815"/>
          <c:w val="0.68924773292227359"/>
          <c:h val="0.66800982246110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SH!$V$22</c:f>
              <c:strCache>
                <c:ptCount val="1"/>
                <c:pt idx="0">
                  <c:v>Qt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68009018781052"/>
                  <c:y val="0.34001675984387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SH!$U$23:$U$30</c:f>
              <c:numCache>
                <c:formatCode>General</c:formatCode>
                <c:ptCount val="8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5.4772255750516612</c:v>
                </c:pt>
                <c:pt idx="4">
                  <c:v>7.745966692414834</c:v>
                </c:pt>
                <c:pt idx="5">
                  <c:v>9.4868329805051381</c:v>
                </c:pt>
                <c:pt idx="6">
                  <c:v>10.954451150103322</c:v>
                </c:pt>
                <c:pt idx="7">
                  <c:v>12.24744871391589</c:v>
                </c:pt>
              </c:numCache>
            </c:numRef>
          </c:xVal>
          <c:yVal>
            <c:numRef>
              <c:f>SH!$V$23:$V$30</c:f>
              <c:numCache>
                <c:formatCode>General</c:formatCode>
                <c:ptCount val="8"/>
                <c:pt idx="0">
                  <c:v>30.739232700000002</c:v>
                </c:pt>
                <c:pt idx="1">
                  <c:v>39.259904419999998</c:v>
                </c:pt>
                <c:pt idx="2">
                  <c:v>48.133312640000007</c:v>
                </c:pt>
                <c:pt idx="3">
                  <c:v>61.648708020000001</c:v>
                </c:pt>
                <c:pt idx="4">
                  <c:v>76.241481309999998</c:v>
                </c:pt>
                <c:pt idx="5">
                  <c:v>83.572573809999994</c:v>
                </c:pt>
                <c:pt idx="6">
                  <c:v>88.769582389999997</c:v>
                </c:pt>
                <c:pt idx="7">
                  <c:v>91.361498519999998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73E-9B2D-20A40CF8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67760"/>
        <c:axId val="1987665360"/>
      </c:scatterChart>
      <c:valAx>
        <c:axId val="19876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65360"/>
        <c:crosses val="autoZero"/>
        <c:crossBetween val="midCat"/>
      </c:valAx>
      <c:valAx>
        <c:axId val="19876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SH!$U$2</c:f>
              <c:strCache>
                <c:ptCount val="1"/>
                <c:pt idx="0">
                  <c:v>Qe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163167104111987E-2"/>
                  <c:y val="-0.35607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SH!$T$4:$T$7</c:f>
              <c:numCache>
                <c:formatCode>General</c:formatCode>
                <c:ptCount val="4"/>
                <c:pt idx="0">
                  <c:v>351.35189943363258</c:v>
                </c:pt>
                <c:pt idx="1">
                  <c:v>95.569432153462259</c:v>
                </c:pt>
                <c:pt idx="2">
                  <c:v>32.092192137907311</c:v>
                </c:pt>
                <c:pt idx="3">
                  <c:v>6.562546700567319</c:v>
                </c:pt>
              </c:numCache>
            </c:numRef>
          </c:xVal>
          <c:yVal>
            <c:numRef>
              <c:f>SH!$U$4:$U$7</c:f>
              <c:numCache>
                <c:formatCode>General</c:formatCode>
                <c:ptCount val="4"/>
                <c:pt idx="0">
                  <c:v>19.774871049999998</c:v>
                </c:pt>
                <c:pt idx="1">
                  <c:v>38.393081123999998</c:v>
                </c:pt>
                <c:pt idx="2">
                  <c:v>88.917270569999999</c:v>
                </c:pt>
                <c:pt idx="3">
                  <c:v>124.2606899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7-434B-96DE-A9821F1D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7776"/>
        <c:axId val="180895856"/>
      </c:scatterChart>
      <c:valAx>
        <c:axId val="1808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5856"/>
        <c:crosses val="autoZero"/>
        <c:crossBetween val="midCat"/>
      </c:valAx>
      <c:valAx>
        <c:axId val="1808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SH!$T$22</c:f>
              <c:strCache>
                <c:ptCount val="1"/>
                <c:pt idx="0">
                  <c:v>t / Qt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SH!$K$23:$K$30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SH!$T$23:$T$30</c:f>
              <c:numCache>
                <c:formatCode>General</c:formatCode>
                <c:ptCount val="8"/>
                <c:pt idx="0">
                  <c:v>0.16265858191053675</c:v>
                </c:pt>
                <c:pt idx="1">
                  <c:v>0.25471279535020325</c:v>
                </c:pt>
                <c:pt idx="2">
                  <c:v>0.31163448300740099</c:v>
                </c:pt>
                <c:pt idx="3">
                  <c:v>0.48662820298306064</c:v>
                </c:pt>
                <c:pt idx="4">
                  <c:v>0.78697316695669017</c:v>
                </c:pt>
                <c:pt idx="5">
                  <c:v>1.0769083192844173</c:v>
                </c:pt>
                <c:pt idx="6">
                  <c:v>1.3518144027398078</c:v>
                </c:pt>
                <c:pt idx="7">
                  <c:v>1.6418294624093037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0-4F07-8D42-D0EEE822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94416"/>
        <c:axId val="1746095248"/>
      </c:scatterChart>
      <c:valAx>
        <c:axId val="1746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95248"/>
        <c:crosses val="autoZero"/>
        <c:crossBetween val="midCat"/>
      </c:valAx>
      <c:valAx>
        <c:axId val="17460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9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Cooh!$R$22</c:f>
              <c:strCache>
                <c:ptCount val="1"/>
                <c:pt idx="0">
                  <c:v>t / Qt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39413823272091"/>
                  <c:y val="4.2129629629629626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Cooh!$I$23:$I$30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Cooh!$R$23:$R$30</c:f>
              <c:numCache>
                <c:formatCode>General</c:formatCode>
                <c:ptCount val="8"/>
                <c:pt idx="0">
                  <c:v>6.1024913986958182E-2</c:v>
                </c:pt>
                <c:pt idx="1">
                  <c:v>0.11671129716396157</c:v>
                </c:pt>
                <c:pt idx="2">
                  <c:v>0.17015582869884741</c:v>
                </c:pt>
                <c:pt idx="3">
                  <c:v>0.33119626200028635</c:v>
                </c:pt>
                <c:pt idx="4">
                  <c:v>0.64852048410440188</c:v>
                </c:pt>
                <c:pt idx="5">
                  <c:v>0.97566499354303537</c:v>
                </c:pt>
                <c:pt idx="6">
                  <c:v>1.2827410953986762</c:v>
                </c:pt>
                <c:pt idx="7">
                  <c:v>1.6144204164513702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9-45AC-B69A-3AE0A12E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6496"/>
        <c:axId val="1216235536"/>
      </c:scatterChart>
      <c:valAx>
        <c:axId val="121623649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35536"/>
        <c:crosses val="autoZero"/>
        <c:crossBetween val="midCat"/>
      </c:valAx>
      <c:valAx>
        <c:axId val="12162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Cooh!$Q$22</c:f>
              <c:strCache>
                <c:ptCount val="1"/>
                <c:pt idx="0">
                  <c:v>ln(Qe - Qt)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866141732283465E-2"/>
                  <c:y val="-0.26348024205307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Cooh!$I$23:$I$30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Cooh!$Q$23:$Q$30</c:f>
              <c:numCache>
                <c:formatCode>General</c:formatCode>
                <c:ptCount val="8"/>
                <c:pt idx="0">
                  <c:v>4.1763092794974117</c:v>
                </c:pt>
                <c:pt idx="1">
                  <c:v>4.1170399214665911</c:v>
                </c:pt>
                <c:pt idx="2">
                  <c:v>4.0759142927320235</c:v>
                </c:pt>
                <c:pt idx="3">
                  <c:v>4.0338523776562996</c:v>
                </c:pt>
                <c:pt idx="4">
                  <c:v>3.9989439041414063</c:v>
                </c:pt>
                <c:pt idx="5">
                  <c:v>4.0039460508183504</c:v>
                </c:pt>
                <c:pt idx="6">
                  <c:v>3.9798523834389932</c:v>
                </c:pt>
                <c:pt idx="7">
                  <c:v>3.991687777077475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0-4000-A6F7-04FA44AF7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1456"/>
        <c:axId val="198142736"/>
      </c:scatterChart>
      <c:valAx>
        <c:axId val="198161456"/>
        <c:scaling>
          <c:orientation val="minMax"/>
          <c:max val="1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2736"/>
        <c:crosses val="autoZero"/>
        <c:crossBetween val="midCat"/>
      </c:valAx>
      <c:valAx>
        <c:axId val="19814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Cooh!$T$22</c:f>
              <c:strCache>
                <c:ptCount val="1"/>
                <c:pt idx="0">
                  <c:v>Qt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90750969561642E-3"/>
                  <c:y val="0.3760669084633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Cooh!$S$23:$S$30</c:f>
              <c:numCache>
                <c:formatCode>General</c:formatCode>
                <c:ptCount val="8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5.4772255750516612</c:v>
                </c:pt>
                <c:pt idx="4">
                  <c:v>7.745966692414834</c:v>
                </c:pt>
                <c:pt idx="5">
                  <c:v>9.4868329805051381</c:v>
                </c:pt>
                <c:pt idx="6">
                  <c:v>10.954451150103322</c:v>
                </c:pt>
                <c:pt idx="7">
                  <c:v>12.24744871391589</c:v>
                </c:pt>
              </c:numCache>
            </c:numRef>
          </c:xVal>
          <c:yVal>
            <c:numRef>
              <c:f>Cooh!$T$23:$T$30</c:f>
              <c:numCache>
                <c:formatCode>General</c:formatCode>
                <c:ptCount val="8"/>
                <c:pt idx="0">
                  <c:v>81.933749239999997</c:v>
                </c:pt>
                <c:pt idx="1">
                  <c:v>85.681508500000007</c:v>
                </c:pt>
                <c:pt idx="2">
                  <c:v>88.154488240000006</c:v>
                </c:pt>
                <c:pt idx="3">
                  <c:v>90.580732459999993</c:v>
                </c:pt>
                <c:pt idx="4">
                  <c:v>92.518280410000003</c:v>
                </c:pt>
                <c:pt idx="5">
                  <c:v>92.244777250000013</c:v>
                </c:pt>
                <c:pt idx="6">
                  <c:v>93.549665189999999</c:v>
                </c:pt>
                <c:pt idx="7">
                  <c:v>92.912600999999995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5-4B78-9640-62C66D16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96800"/>
        <c:axId val="1992399680"/>
      </c:scatterChart>
      <c:valAx>
        <c:axId val="19923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99680"/>
        <c:crosses val="autoZero"/>
        <c:crossBetween val="midCat"/>
      </c:valAx>
      <c:valAx>
        <c:axId val="199239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Langmuir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3810657388755"/>
          <c:y val="0.10308639991429643"/>
          <c:w val="0.79244235410171049"/>
          <c:h val="0.73257548034953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Cooh!$O$2</c:f>
              <c:strCache>
                <c:ptCount val="1"/>
                <c:pt idx="0">
                  <c:v>Ce/Qe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Cooh!$L$4:$L$7</c:f>
              <c:numCache>
                <c:formatCode>General</c:formatCode>
                <c:ptCount val="4"/>
                <c:pt idx="0">
                  <c:v>5.5142344000000065E-2</c:v>
                </c:pt>
                <c:pt idx="1">
                  <c:v>0.13773249099999951</c:v>
                </c:pt>
                <c:pt idx="2">
                  <c:v>2.173471095</c:v>
                </c:pt>
                <c:pt idx="3">
                  <c:v>14.114980199999998</c:v>
                </c:pt>
              </c:numCache>
            </c:numRef>
          </c:xVal>
          <c:yVal>
            <c:numRef>
              <c:f>Cooh!$O$4:$O$7</c:f>
              <c:numCache>
                <c:formatCode>General</c:formatCode>
                <c:ptCount val="4"/>
                <c:pt idx="0">
                  <c:v>2.7878630607845382E-3</c:v>
                </c:pt>
                <c:pt idx="1">
                  <c:v>3.4914001996576623E-3</c:v>
                </c:pt>
                <c:pt idx="2">
                  <c:v>2.3804222534727078E-2</c:v>
                </c:pt>
                <c:pt idx="3">
                  <c:v>9.8334766698387033E-2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5-4A92-8D0F-B56B9316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11392"/>
        <c:axId val="2009725104"/>
      </c:scatterChart>
      <c:valAx>
        <c:axId val="19905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25104"/>
        <c:crosses val="autoZero"/>
        <c:crossBetween val="midCat"/>
      </c:valAx>
      <c:valAx>
        <c:axId val="200972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Freundlich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70264521600499E-2"/>
          <c:y val="0.13019643855040935"/>
          <c:w val="0.88174611506894973"/>
          <c:h val="0.71213449923394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Cooh!$Q$2</c:f>
              <c:strCache>
                <c:ptCount val="1"/>
                <c:pt idx="0">
                  <c:v>ln Qe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96370312150214"/>
                  <c:y val="0.35081653929800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Cooh!$P$4:$P$7</c:f>
              <c:numCache>
                <c:formatCode>General</c:formatCode>
                <c:ptCount val="4"/>
                <c:pt idx="0">
                  <c:v>-2.8978373643153983</c:v>
                </c:pt>
                <c:pt idx="1">
                  <c:v>-1.9824419461059459</c:v>
                </c:pt>
                <c:pt idx="2">
                  <c:v>0.77632547253150241</c:v>
                </c:pt>
                <c:pt idx="3">
                  <c:v>2.6472366589414507</c:v>
                </c:pt>
              </c:numCache>
            </c:numRef>
          </c:xVal>
          <c:yVal>
            <c:numRef>
              <c:f>Cooh!$Q$4:$Q$7</c:f>
              <c:numCache>
                <c:formatCode>General</c:formatCode>
                <c:ptCount val="4"/>
                <c:pt idx="0">
                  <c:v>2.9846425403404191</c:v>
                </c:pt>
                <c:pt idx="1">
                  <c:v>3.6750104737820912</c:v>
                </c:pt>
                <c:pt idx="2">
                  <c:v>4.5142177691473133</c:v>
                </c:pt>
                <c:pt idx="3">
                  <c:v>4.9666142937643487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2-4664-B339-71702A74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1344"/>
        <c:axId val="197593744"/>
      </c:scatterChart>
      <c:valAx>
        <c:axId val="1975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3744"/>
        <c:crosses val="autoZero"/>
        <c:crossBetween val="midCat"/>
      </c:valAx>
      <c:valAx>
        <c:axId val="1975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Scatchard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1387432803194"/>
          <c:y val="0.12847325376819901"/>
          <c:w val="0.81460180083721834"/>
          <c:h val="0.80118300350157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Cooh!$R$2</c:f>
              <c:strCache>
                <c:ptCount val="1"/>
                <c:pt idx="0">
                  <c:v>Qe/Ce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02099737532809E-3"/>
                  <c:y val="-0.4738615485564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Cooh!$N$4:$N$7</c:f>
              <c:numCache>
                <c:formatCode>General</c:formatCode>
                <c:ptCount val="4"/>
                <c:pt idx="0">
                  <c:v>19.779430624</c:v>
                </c:pt>
                <c:pt idx="1">
                  <c:v>39.449070036000002</c:v>
                </c:pt>
                <c:pt idx="2">
                  <c:v>91.30611562</c:v>
                </c:pt>
                <c:pt idx="3">
                  <c:v>143.54007920000001</c:v>
                </c:pt>
              </c:numCache>
            </c:numRef>
          </c:xVal>
          <c:yVal>
            <c:numRef>
              <c:f>Cooh!$R$4:$R$7</c:f>
              <c:numCache>
                <c:formatCode>General</c:formatCode>
                <c:ptCount val="4"/>
                <c:pt idx="0">
                  <c:v>358.6976756737069</c:v>
                </c:pt>
                <c:pt idx="1">
                  <c:v>286.41803941526143</c:v>
                </c:pt>
                <c:pt idx="2">
                  <c:v>42.009353531338313</c:v>
                </c:pt>
                <c:pt idx="3">
                  <c:v>10.169343291037704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908-AF41-0551EA3C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68240"/>
        <c:axId val="1987666320"/>
      </c:scatterChart>
      <c:valAx>
        <c:axId val="1987668240"/>
        <c:scaling>
          <c:orientation val="minMax"/>
          <c:max val="1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66320"/>
        <c:crosses val="autoZero"/>
        <c:crossBetween val="midCat"/>
      </c:valAx>
      <c:valAx>
        <c:axId val="198766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</a:p>
        </c:rich>
      </c:tx>
      <c:layout>
        <c:manualLayout>
          <c:xMode val="edge"/>
          <c:yMode val="edge"/>
          <c:x val="0.14098199487683655"/>
          <c:y val="5.2305816611633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86440862928581E-2"/>
          <c:y val="9.5945813224959806E-2"/>
          <c:w val="0.86624787528843117"/>
          <c:h val="0.74819831288242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Cooh!$S$2</c:f>
              <c:strCache>
                <c:ptCount val="1"/>
                <c:pt idx="0">
                  <c:v>Qe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82102285471515"/>
                  <c:y val="0.39319901279477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Cooh!$P$4:$P$7</c:f>
              <c:numCache>
                <c:formatCode>General</c:formatCode>
                <c:ptCount val="4"/>
                <c:pt idx="0">
                  <c:v>-2.8978373643153983</c:v>
                </c:pt>
                <c:pt idx="1">
                  <c:v>-1.9824419461059459</c:v>
                </c:pt>
                <c:pt idx="2">
                  <c:v>0.77632547253150241</c:v>
                </c:pt>
                <c:pt idx="3">
                  <c:v>2.6472366589414507</c:v>
                </c:pt>
              </c:numCache>
            </c:numRef>
          </c:xVal>
          <c:yVal>
            <c:numRef>
              <c:f>Cooh!$S$4:$S$7</c:f>
              <c:numCache>
                <c:formatCode>General</c:formatCode>
                <c:ptCount val="4"/>
                <c:pt idx="0">
                  <c:v>19.779430624</c:v>
                </c:pt>
                <c:pt idx="1">
                  <c:v>39.449070036000002</c:v>
                </c:pt>
                <c:pt idx="2">
                  <c:v>91.30611562</c:v>
                </c:pt>
                <c:pt idx="3">
                  <c:v>143.54007920000001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F-4888-8CD5-5F0F0149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48784"/>
        <c:axId val="1746449744"/>
      </c:scatterChart>
      <c:valAx>
        <c:axId val="17464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49744"/>
        <c:crosses val="autoZero"/>
        <c:crossBetween val="midCat"/>
      </c:valAx>
      <c:valAx>
        <c:axId val="174644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Cooh!$Z$2</c:f>
              <c:strCache>
                <c:ptCount val="1"/>
                <c:pt idx="0">
                  <c:v>ln Qe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94181977252843E-2"/>
                  <c:y val="-0.2668715368912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Cooh!$Y$4:$Y$7</c:f>
              <c:numCache>
                <c:formatCode>General</c:formatCode>
                <c:ptCount val="4"/>
                <c:pt idx="0">
                  <c:v>51694542.392204531</c:v>
                </c:pt>
                <c:pt idx="1">
                  <c:v>26456286.802206911</c:v>
                </c:pt>
                <c:pt idx="2">
                  <c:v>850135.58197351615</c:v>
                </c:pt>
                <c:pt idx="3">
                  <c:v>27803.397137448657</c:v>
                </c:pt>
              </c:numCache>
            </c:numRef>
          </c:xVal>
          <c:yVal>
            <c:numRef>
              <c:f>Cooh!$Z$4:$Z$7</c:f>
              <c:numCache>
                <c:formatCode>General</c:formatCode>
                <c:ptCount val="4"/>
                <c:pt idx="0">
                  <c:v>2.9846425403404191</c:v>
                </c:pt>
                <c:pt idx="1">
                  <c:v>3.6750104737820912</c:v>
                </c:pt>
                <c:pt idx="2">
                  <c:v>4.5142177691473133</c:v>
                </c:pt>
                <c:pt idx="3">
                  <c:v>4.9666142937643487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1-49D1-85B2-9639B0102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2144"/>
        <c:axId val="198459264"/>
      </c:scatterChart>
      <c:valAx>
        <c:axId val="198462144"/>
        <c:scaling>
          <c:orientation val="minMax"/>
          <c:max val="60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9264"/>
        <c:crosses val="autoZero"/>
        <c:crossBetween val="midCat"/>
      </c:valAx>
      <c:valAx>
        <c:axId val="198459264"/>
        <c:scaling>
          <c:orientation val="minMax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46</xdr:row>
      <xdr:rowOff>61912</xdr:rowOff>
    </xdr:from>
    <xdr:to>
      <xdr:col>18</xdr:col>
      <xdr:colOff>171450</xdr:colOff>
      <xdr:row>60</xdr:row>
      <xdr:rowOff>138112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522916-0CDE-2670-9E88-DBFE04AFC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31</xdr:row>
      <xdr:rowOff>19050</xdr:rowOff>
    </xdr:from>
    <xdr:to>
      <xdr:col>24</xdr:col>
      <xdr:colOff>781050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10604-5C1E-3FAB-1526-4D48E871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428624</xdr:colOff>
      <xdr:row>23</xdr:row>
      <xdr:rowOff>85725</xdr:rowOff>
    </xdr:from>
    <xdr:to>
      <xdr:col>27</xdr:col>
      <xdr:colOff>352425</xdr:colOff>
      <xdr:row>33</xdr:row>
      <xdr:rowOff>166686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00C60-8EC5-F1DD-F041-F07A566DD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342901</xdr:colOff>
      <xdr:row>39</xdr:row>
      <xdr:rowOff>57149</xdr:rowOff>
    </xdr:from>
    <xdr:to>
      <xdr:col>27</xdr:col>
      <xdr:colOff>457201</xdr:colOff>
      <xdr:row>50</xdr:row>
      <xdr:rowOff>52386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ECCE80-A609-4C81-D87F-744046CC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12</xdr:row>
      <xdr:rowOff>180975</xdr:rowOff>
    </xdr:from>
    <xdr:to>
      <xdr:col>10</xdr:col>
      <xdr:colOff>152400</xdr:colOff>
      <xdr:row>20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38834-0CD4-7D3C-EDBF-2D6577EE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352426</xdr:colOff>
      <xdr:row>12</xdr:row>
      <xdr:rowOff>171450</xdr:rowOff>
    </xdr:from>
    <xdr:to>
      <xdr:col>14</xdr:col>
      <xdr:colOff>114300</xdr:colOff>
      <xdr:row>20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00A4CA-075C-27AA-1FC5-C52019F22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333374</xdr:colOff>
      <xdr:row>14</xdr:row>
      <xdr:rowOff>133349</xdr:rowOff>
    </xdr:from>
    <xdr:to>
      <xdr:col>26</xdr:col>
      <xdr:colOff>142875</xdr:colOff>
      <xdr:row>24</xdr:row>
      <xdr:rowOff>52386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E78A81-E3F1-86CE-7685-FEA4880C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233363</xdr:colOff>
      <xdr:row>14</xdr:row>
      <xdr:rowOff>66676</xdr:rowOff>
    </xdr:from>
    <xdr:to>
      <xdr:col>17</xdr:col>
      <xdr:colOff>457201</xdr:colOff>
      <xdr:row>20</xdr:row>
      <xdr:rowOff>142876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7ECA40-B958-C7DA-7E75-1BC993F3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561976</xdr:colOff>
      <xdr:row>14</xdr:row>
      <xdr:rowOff>157163</xdr:rowOff>
    </xdr:from>
    <xdr:to>
      <xdr:col>21</xdr:col>
      <xdr:colOff>219076</xdr:colOff>
      <xdr:row>21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94103A-DA59-A1B7-B14B-9C2F49F2C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114300</xdr:colOff>
      <xdr:row>1</xdr:row>
      <xdr:rowOff>100012</xdr:rowOff>
    </xdr:from>
    <xdr:to>
      <xdr:col>26</xdr:col>
      <xdr:colOff>400050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C9862-6ABF-ECAB-A266-3C7199643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171450</xdr:colOff>
      <xdr:row>16</xdr:row>
      <xdr:rowOff>23812</xdr:rowOff>
    </xdr:from>
    <xdr:to>
      <xdr:col>28</xdr:col>
      <xdr:colOff>152400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BFE9B-B71E-7A4D-0E50-87E96EBF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380999</xdr:colOff>
      <xdr:row>25</xdr:row>
      <xdr:rowOff>142874</xdr:rowOff>
    </xdr:from>
    <xdr:to>
      <xdr:col>28</xdr:col>
      <xdr:colOff>28574</xdr:colOff>
      <xdr:row>37</xdr:row>
      <xdr:rowOff>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8B4F2-AF64-A591-7DA9-AC7DAB92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295275</xdr:colOff>
      <xdr:row>31</xdr:row>
      <xdr:rowOff>142875</xdr:rowOff>
    </xdr:from>
    <xdr:to>
      <xdr:col>28</xdr:col>
      <xdr:colOff>9525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13070-21F2-039B-6F07-8667D61BE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390524</xdr:colOff>
      <xdr:row>2</xdr:row>
      <xdr:rowOff>38100</xdr:rowOff>
    </xdr:from>
    <xdr:to>
      <xdr:col>30</xdr:col>
      <xdr:colOff>247649</xdr:colOff>
      <xdr:row>11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A92EC-9743-17DC-4D0D-9312AEA81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18</xdr:row>
      <xdr:rowOff>176212</xdr:rowOff>
    </xdr:from>
    <xdr:to>
      <xdr:col>28</xdr:col>
      <xdr:colOff>485775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8D6AA-E002-B66A-EAB1-997DBBE7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209550</xdr:colOff>
      <xdr:row>26</xdr:row>
      <xdr:rowOff>147637</xdr:rowOff>
    </xdr:from>
    <xdr:to>
      <xdr:col>28</xdr:col>
      <xdr:colOff>523875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8F868-8788-36DD-9812-A3E89756B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161925</xdr:colOff>
      <xdr:row>29</xdr:row>
      <xdr:rowOff>38099</xdr:rowOff>
    </xdr:from>
    <xdr:to>
      <xdr:col>26</xdr:col>
      <xdr:colOff>314324</xdr:colOff>
      <xdr:row>37</xdr:row>
      <xdr:rowOff>90486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49371-5202-FF8C-B60E-69475D7D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533400</xdr:colOff>
      <xdr:row>8</xdr:row>
      <xdr:rowOff>4762</xdr:rowOff>
    </xdr:from>
    <xdr:to>
      <xdr:col>28</xdr:col>
      <xdr:colOff>228600</xdr:colOff>
      <xdr:row>22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AD3CD-C8FC-1A50-FEAB-7E4DF60F6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152400</xdr:rowOff>
    </xdr:from>
    <xdr:to>
      <xdr:col>18</xdr:col>
      <xdr:colOff>457200</xdr:colOff>
      <xdr:row>33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topLeftCell="C1" workbookViewId="0">
      <selection activeCell="Z1" sqref="Z1:AE36"/>
    </sheetView>
  </sheetViews>
  <sheetFormatPr defaultRowHeight="14.2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</row>
    <row r="2" spans="1:31">
      <c r="A2">
        <v>60</v>
      </c>
      <c r="B2" t="s">
        <v>8</v>
      </c>
      <c r="C2">
        <v>0.5</v>
      </c>
      <c r="D2">
        <v>20</v>
      </c>
      <c r="E2">
        <v>3.15</v>
      </c>
      <c r="F2">
        <v>24.02194304</v>
      </c>
      <c r="K2">
        <v>60</v>
      </c>
      <c r="L2" t="s">
        <v>8</v>
      </c>
      <c r="M2">
        <v>0.5</v>
      </c>
      <c r="N2">
        <v>20</v>
      </c>
      <c r="O2">
        <v>3.15</v>
      </c>
      <c r="P2">
        <v>24.02194304</v>
      </c>
      <c r="S2">
        <v>60</v>
      </c>
      <c r="T2" t="s">
        <v>6</v>
      </c>
      <c r="U2">
        <v>0.5</v>
      </c>
      <c r="V2">
        <v>20</v>
      </c>
      <c r="W2">
        <v>3.15</v>
      </c>
      <c r="X2">
        <v>16.173510759999999</v>
      </c>
      <c r="Z2">
        <v>60</v>
      </c>
      <c r="AA2" t="s">
        <v>7</v>
      </c>
      <c r="AB2">
        <v>0.5</v>
      </c>
      <c r="AC2">
        <v>20</v>
      </c>
      <c r="AD2">
        <v>3.15</v>
      </c>
      <c r="AE2">
        <v>28.90669591</v>
      </c>
    </row>
    <row r="3" spans="1:31">
      <c r="A3">
        <v>60</v>
      </c>
      <c r="B3" t="s">
        <v>8</v>
      </c>
      <c r="C3">
        <v>0.5</v>
      </c>
      <c r="D3">
        <v>20</v>
      </c>
      <c r="E3">
        <v>4.95</v>
      </c>
      <c r="F3">
        <v>68.68804978</v>
      </c>
      <c r="K3">
        <v>60</v>
      </c>
      <c r="L3" t="s">
        <v>8</v>
      </c>
      <c r="M3">
        <v>0.5</v>
      </c>
      <c r="N3">
        <v>20</v>
      </c>
      <c r="O3">
        <v>4.95</v>
      </c>
      <c r="P3">
        <v>68.68804978</v>
      </c>
      <c r="S3">
        <v>60</v>
      </c>
      <c r="T3" t="s">
        <v>6</v>
      </c>
      <c r="U3">
        <v>0.5</v>
      </c>
      <c r="V3">
        <v>20</v>
      </c>
      <c r="W3">
        <v>4.95</v>
      </c>
      <c r="X3">
        <v>39.461475210000003</v>
      </c>
      <c r="Z3">
        <v>60</v>
      </c>
      <c r="AA3" t="s">
        <v>7</v>
      </c>
      <c r="AB3">
        <v>0.5</v>
      </c>
      <c r="AC3">
        <v>20</v>
      </c>
      <c r="AD3">
        <v>4.95</v>
      </c>
      <c r="AE3">
        <v>45.079503289999998</v>
      </c>
    </row>
    <row r="4" spans="1:31">
      <c r="A4">
        <v>60</v>
      </c>
      <c r="B4" t="s">
        <v>8</v>
      </c>
      <c r="C4">
        <v>0.5</v>
      </c>
      <c r="D4">
        <v>20</v>
      </c>
      <c r="E4">
        <v>7.56</v>
      </c>
      <c r="F4">
        <v>89.47274195</v>
      </c>
      <c r="K4">
        <v>60</v>
      </c>
      <c r="L4" t="s">
        <v>8</v>
      </c>
      <c r="M4">
        <v>0.5</v>
      </c>
      <c r="N4">
        <v>20</v>
      </c>
      <c r="O4">
        <v>7.56</v>
      </c>
      <c r="P4">
        <v>89.47274195</v>
      </c>
      <c r="S4">
        <v>60</v>
      </c>
      <c r="T4" t="s">
        <v>6</v>
      </c>
      <c r="U4">
        <v>0.5</v>
      </c>
      <c r="V4">
        <v>20</v>
      </c>
      <c r="W4">
        <v>7.56</v>
      </c>
      <c r="X4">
        <v>68.610607430000002</v>
      </c>
      <c r="Z4">
        <v>60</v>
      </c>
      <c r="AA4" t="s">
        <v>7</v>
      </c>
      <c r="AB4">
        <v>0.5</v>
      </c>
      <c r="AC4">
        <v>20</v>
      </c>
      <c r="AD4">
        <v>7.56</v>
      </c>
      <c r="AE4">
        <v>60.854687060000003</v>
      </c>
    </row>
    <row r="5" spans="1:31">
      <c r="A5">
        <v>60</v>
      </c>
      <c r="B5" t="s">
        <v>8</v>
      </c>
      <c r="C5">
        <v>0.5</v>
      </c>
      <c r="D5">
        <v>20</v>
      </c>
      <c r="E5">
        <v>9.3000000000000007</v>
      </c>
      <c r="F5">
        <v>92.879359690000001</v>
      </c>
      <c r="K5">
        <v>60</v>
      </c>
      <c r="L5" t="s">
        <v>8</v>
      </c>
      <c r="M5">
        <v>0.5</v>
      </c>
      <c r="N5">
        <v>20</v>
      </c>
      <c r="O5">
        <v>9.3000000000000007</v>
      </c>
      <c r="P5">
        <v>92.879359690000001</v>
      </c>
      <c r="S5">
        <v>60</v>
      </c>
      <c r="T5" t="s">
        <v>6</v>
      </c>
      <c r="U5">
        <v>0.5</v>
      </c>
      <c r="V5">
        <v>20</v>
      </c>
      <c r="W5">
        <v>9.3000000000000007</v>
      </c>
      <c r="X5">
        <v>94.011599950000004</v>
      </c>
      <c r="Z5">
        <v>60</v>
      </c>
      <c r="AA5" t="s">
        <v>7</v>
      </c>
      <c r="AB5">
        <v>0.5</v>
      </c>
      <c r="AC5">
        <v>20</v>
      </c>
      <c r="AD5">
        <v>9.3000000000000007</v>
      </c>
      <c r="AE5">
        <v>92.102698689999997</v>
      </c>
    </row>
    <row r="6" spans="1:31">
      <c r="A6">
        <v>60</v>
      </c>
      <c r="B6" t="s">
        <v>8</v>
      </c>
      <c r="C6">
        <v>0.5</v>
      </c>
      <c r="D6">
        <v>20</v>
      </c>
      <c r="E6">
        <v>10.8</v>
      </c>
      <c r="F6">
        <v>9.4449369749999992</v>
      </c>
      <c r="K6">
        <v>60</v>
      </c>
      <c r="L6" t="s">
        <v>8</v>
      </c>
      <c r="M6">
        <v>0.5</v>
      </c>
      <c r="N6">
        <v>20</v>
      </c>
      <c r="O6">
        <v>10.8</v>
      </c>
      <c r="P6">
        <v>9.4449369749999992</v>
      </c>
      <c r="S6">
        <v>60</v>
      </c>
      <c r="T6" t="s">
        <v>6</v>
      </c>
      <c r="U6">
        <v>0.5</v>
      </c>
      <c r="V6">
        <v>20</v>
      </c>
      <c r="W6">
        <v>10.8</v>
      </c>
      <c r="X6">
        <v>13.99143239</v>
      </c>
      <c r="Z6">
        <v>60</v>
      </c>
      <c r="AA6" t="s">
        <v>7</v>
      </c>
      <c r="AB6">
        <v>0.5</v>
      </c>
      <c r="AC6">
        <v>20</v>
      </c>
      <c r="AD6">
        <v>10.8</v>
      </c>
      <c r="AE6">
        <v>27.585891879999998</v>
      </c>
    </row>
    <row r="7" spans="1:31">
      <c r="A7">
        <v>60</v>
      </c>
      <c r="B7" t="s">
        <v>8</v>
      </c>
      <c r="C7">
        <v>0.1</v>
      </c>
      <c r="D7">
        <v>50</v>
      </c>
      <c r="E7">
        <v>6.56</v>
      </c>
      <c r="F7">
        <v>29.38735033</v>
      </c>
      <c r="K7">
        <v>60</v>
      </c>
      <c r="L7" t="s">
        <v>8</v>
      </c>
      <c r="M7">
        <v>0.1</v>
      </c>
      <c r="N7">
        <v>50</v>
      </c>
      <c r="O7">
        <v>6.56</v>
      </c>
      <c r="P7">
        <v>29.38735033</v>
      </c>
      <c r="S7">
        <v>60</v>
      </c>
      <c r="T7" t="s">
        <v>6</v>
      </c>
      <c r="U7">
        <v>0.1</v>
      </c>
      <c r="V7">
        <v>50</v>
      </c>
      <c r="W7">
        <v>6.56</v>
      </c>
      <c r="X7">
        <v>27.18204412</v>
      </c>
      <c r="Z7">
        <v>60</v>
      </c>
      <c r="AA7" t="s">
        <v>7</v>
      </c>
      <c r="AB7">
        <v>0.1</v>
      </c>
      <c r="AC7">
        <v>50</v>
      </c>
      <c r="AD7">
        <v>6.56</v>
      </c>
      <c r="AE7">
        <v>28.320355540000001</v>
      </c>
    </row>
    <row r="8" spans="1:31">
      <c r="A8">
        <v>60</v>
      </c>
      <c r="B8" t="s">
        <v>8</v>
      </c>
      <c r="C8">
        <v>0.25</v>
      </c>
      <c r="D8">
        <v>50</v>
      </c>
      <c r="E8">
        <v>6.56</v>
      </c>
      <c r="F8">
        <v>28.923639170000001</v>
      </c>
      <c r="K8">
        <v>60</v>
      </c>
      <c r="L8" t="s">
        <v>8</v>
      </c>
      <c r="M8">
        <v>0.25</v>
      </c>
      <c r="N8">
        <v>50</v>
      </c>
      <c r="O8">
        <v>6.56</v>
      </c>
      <c r="P8">
        <v>28.923639170000001</v>
      </c>
      <c r="S8">
        <v>60</v>
      </c>
      <c r="T8" t="s">
        <v>6</v>
      </c>
      <c r="U8">
        <v>0.25</v>
      </c>
      <c r="V8">
        <v>50</v>
      </c>
      <c r="W8">
        <v>6.56</v>
      </c>
      <c r="X8">
        <v>30.86908347</v>
      </c>
      <c r="Z8">
        <v>60</v>
      </c>
      <c r="AA8" t="s">
        <v>7</v>
      </c>
      <c r="AB8">
        <v>0.25</v>
      </c>
      <c r="AC8">
        <v>50</v>
      </c>
      <c r="AD8">
        <v>6.56</v>
      </c>
      <c r="AE8">
        <v>29.65945542</v>
      </c>
    </row>
    <row r="9" spans="1:31">
      <c r="A9">
        <v>60</v>
      </c>
      <c r="B9" t="s">
        <v>8</v>
      </c>
      <c r="C9">
        <v>0.5</v>
      </c>
      <c r="D9">
        <v>50</v>
      </c>
      <c r="E9">
        <v>6.56</v>
      </c>
      <c r="F9">
        <v>51.283087250000001</v>
      </c>
      <c r="K9">
        <v>60</v>
      </c>
      <c r="L9" t="s">
        <v>8</v>
      </c>
      <c r="M9">
        <v>0.5</v>
      </c>
      <c r="N9">
        <v>50</v>
      </c>
      <c r="O9">
        <v>6.56</v>
      </c>
      <c r="P9">
        <v>51.283087250000001</v>
      </c>
      <c r="S9">
        <v>60</v>
      </c>
      <c r="T9" t="s">
        <v>6</v>
      </c>
      <c r="U9">
        <v>0.5</v>
      </c>
      <c r="V9">
        <v>50</v>
      </c>
      <c r="W9">
        <v>6.56</v>
      </c>
      <c r="X9">
        <v>28.92180269</v>
      </c>
      <c r="Z9">
        <v>60</v>
      </c>
      <c r="AA9" t="s">
        <v>7</v>
      </c>
      <c r="AB9">
        <v>0.5</v>
      </c>
      <c r="AC9">
        <v>50</v>
      </c>
      <c r="AD9">
        <v>6.56</v>
      </c>
      <c r="AE9">
        <v>46.905837560000002</v>
      </c>
    </row>
    <row r="10" spans="1:31">
      <c r="A10">
        <v>60</v>
      </c>
      <c r="B10" t="s">
        <v>8</v>
      </c>
      <c r="C10">
        <v>1</v>
      </c>
      <c r="D10">
        <v>50</v>
      </c>
      <c r="E10">
        <v>6.56</v>
      </c>
      <c r="F10">
        <v>64.455544939999996</v>
      </c>
      <c r="K10">
        <v>60</v>
      </c>
      <c r="L10" t="s">
        <v>8</v>
      </c>
      <c r="M10">
        <v>1</v>
      </c>
      <c r="N10">
        <v>50</v>
      </c>
      <c r="O10">
        <v>6.56</v>
      </c>
      <c r="P10">
        <v>64.455544939999996</v>
      </c>
      <c r="S10">
        <v>60</v>
      </c>
      <c r="T10" t="s">
        <v>6</v>
      </c>
      <c r="U10">
        <v>1</v>
      </c>
      <c r="V10">
        <v>50</v>
      </c>
      <c r="W10">
        <v>6.56</v>
      </c>
      <c r="X10">
        <v>37.915350519999997</v>
      </c>
      <c r="Z10">
        <v>60</v>
      </c>
      <c r="AA10" t="s">
        <v>7</v>
      </c>
      <c r="AB10">
        <v>1</v>
      </c>
      <c r="AC10">
        <v>50</v>
      </c>
      <c r="AD10">
        <v>6.56</v>
      </c>
      <c r="AE10">
        <v>55.851024760000001</v>
      </c>
    </row>
    <row r="11" spans="1:31">
      <c r="A11">
        <v>60</v>
      </c>
      <c r="B11" t="s">
        <v>8</v>
      </c>
      <c r="C11">
        <v>2.5</v>
      </c>
      <c r="D11">
        <v>50</v>
      </c>
      <c r="E11">
        <v>6.56</v>
      </c>
      <c r="F11">
        <v>92.735497929999994</v>
      </c>
      <c r="K11">
        <v>60</v>
      </c>
      <c r="L11" t="s">
        <v>8</v>
      </c>
      <c r="M11">
        <v>2.5</v>
      </c>
      <c r="N11">
        <v>50</v>
      </c>
      <c r="O11">
        <v>6.56</v>
      </c>
      <c r="P11">
        <v>92.735497929999994</v>
      </c>
      <c r="S11">
        <v>60</v>
      </c>
      <c r="T11" t="s">
        <v>6</v>
      </c>
      <c r="U11">
        <v>2.5</v>
      </c>
      <c r="V11">
        <v>50</v>
      </c>
      <c r="W11">
        <v>6.56</v>
      </c>
      <c r="X11">
        <v>52.059306059999997</v>
      </c>
      <c r="Z11">
        <v>60</v>
      </c>
      <c r="AA11" t="s">
        <v>7</v>
      </c>
      <c r="AB11">
        <v>2.5</v>
      </c>
      <c r="AC11">
        <v>50</v>
      </c>
      <c r="AD11">
        <v>6.56</v>
      </c>
      <c r="AE11">
        <v>83.77163985</v>
      </c>
    </row>
    <row r="12" spans="1:31" ht="15">
      <c r="A12">
        <v>60</v>
      </c>
      <c r="B12" t="s">
        <v>8</v>
      </c>
      <c r="C12">
        <v>0.1</v>
      </c>
      <c r="D12">
        <v>50</v>
      </c>
      <c r="E12">
        <v>6.56</v>
      </c>
      <c r="F12">
        <v>29.610495700000001</v>
      </c>
      <c r="K12">
        <v>60</v>
      </c>
      <c r="L12" s="7" t="s">
        <v>8</v>
      </c>
      <c r="M12" s="5">
        <v>0.1</v>
      </c>
      <c r="N12">
        <v>50</v>
      </c>
      <c r="O12">
        <v>6.56</v>
      </c>
      <c r="P12" s="2">
        <v>29.610495700000001</v>
      </c>
      <c r="S12">
        <v>60</v>
      </c>
      <c r="T12" s="7" t="s">
        <v>6</v>
      </c>
      <c r="U12" s="5">
        <v>0.1</v>
      </c>
      <c r="V12">
        <v>50</v>
      </c>
      <c r="W12">
        <v>6.56</v>
      </c>
      <c r="X12" s="2">
        <v>27.516016870000001</v>
      </c>
      <c r="Z12">
        <v>60</v>
      </c>
      <c r="AA12" s="7" t="s">
        <v>7</v>
      </c>
      <c r="AB12" s="5">
        <v>0.1</v>
      </c>
      <c r="AC12">
        <v>50</v>
      </c>
      <c r="AD12">
        <v>6.56</v>
      </c>
      <c r="AE12" s="2">
        <v>28.757089029999999</v>
      </c>
    </row>
    <row r="13" spans="1:31" ht="15">
      <c r="A13">
        <v>60</v>
      </c>
      <c r="B13" t="s">
        <v>8</v>
      </c>
      <c r="C13">
        <v>0.25</v>
      </c>
      <c r="D13">
        <v>50</v>
      </c>
      <c r="E13">
        <v>6.56</v>
      </c>
      <c r="F13">
        <v>29.0501714</v>
      </c>
      <c r="K13">
        <v>60</v>
      </c>
      <c r="L13" s="7" t="s">
        <v>8</v>
      </c>
      <c r="M13" s="5">
        <v>0.25</v>
      </c>
      <c r="N13">
        <v>50</v>
      </c>
      <c r="O13">
        <v>6.56</v>
      </c>
      <c r="P13" s="2">
        <v>29.0501714</v>
      </c>
      <c r="S13">
        <v>60</v>
      </c>
      <c r="T13" s="7" t="s">
        <v>6</v>
      </c>
      <c r="U13" s="5">
        <v>0.25</v>
      </c>
      <c r="V13">
        <v>50</v>
      </c>
      <c r="W13">
        <v>6.56</v>
      </c>
      <c r="X13" s="2">
        <v>30.978494489999999</v>
      </c>
      <c r="Z13">
        <v>60</v>
      </c>
      <c r="AA13" s="7" t="s">
        <v>7</v>
      </c>
      <c r="AB13" s="5">
        <v>0.25</v>
      </c>
      <c r="AC13">
        <v>50</v>
      </c>
      <c r="AD13">
        <v>6.56</v>
      </c>
      <c r="AE13" s="2">
        <v>29.91789</v>
      </c>
    </row>
    <row r="14" spans="1:31" ht="15">
      <c r="A14">
        <v>60</v>
      </c>
      <c r="B14" t="s">
        <v>8</v>
      </c>
      <c r="C14">
        <v>0.5</v>
      </c>
      <c r="D14">
        <v>50</v>
      </c>
      <c r="E14">
        <v>6.56</v>
      </c>
      <c r="F14">
        <v>51.279680839999997</v>
      </c>
      <c r="K14">
        <v>60</v>
      </c>
      <c r="L14" s="7" t="s">
        <v>8</v>
      </c>
      <c r="M14" s="5">
        <v>0.5</v>
      </c>
      <c r="N14">
        <v>50</v>
      </c>
      <c r="O14">
        <v>6.56</v>
      </c>
      <c r="P14" s="2">
        <v>51.279680839999997</v>
      </c>
      <c r="S14">
        <v>60</v>
      </c>
      <c r="T14" s="7" t="s">
        <v>6</v>
      </c>
      <c r="U14" s="5">
        <v>0.5</v>
      </c>
      <c r="V14">
        <v>50</v>
      </c>
      <c r="W14">
        <v>6.56</v>
      </c>
      <c r="X14" s="2">
        <v>29.083490940000001</v>
      </c>
      <c r="Z14">
        <v>60</v>
      </c>
      <c r="AA14" s="7" t="s">
        <v>7</v>
      </c>
      <c r="AB14" s="5">
        <v>0.5</v>
      </c>
      <c r="AC14">
        <v>50</v>
      </c>
      <c r="AD14">
        <v>6.56</v>
      </c>
      <c r="AE14" s="2">
        <v>46.760899850000001</v>
      </c>
    </row>
    <row r="15" spans="1:31" ht="15">
      <c r="A15">
        <v>60</v>
      </c>
      <c r="B15" t="s">
        <v>8</v>
      </c>
      <c r="C15">
        <v>1</v>
      </c>
      <c r="D15">
        <v>50</v>
      </c>
      <c r="E15">
        <v>6.56</v>
      </c>
      <c r="F15">
        <v>64.532647690000005</v>
      </c>
      <c r="K15">
        <v>60</v>
      </c>
      <c r="L15" s="7" t="s">
        <v>8</v>
      </c>
      <c r="M15" s="5">
        <v>1</v>
      </c>
      <c r="N15">
        <v>50</v>
      </c>
      <c r="O15">
        <v>6.56</v>
      </c>
      <c r="P15" s="2">
        <v>64.532647690000005</v>
      </c>
      <c r="S15">
        <v>60</v>
      </c>
      <c r="T15" s="7" t="s">
        <v>6</v>
      </c>
      <c r="U15" s="5">
        <v>1</v>
      </c>
      <c r="V15">
        <v>50</v>
      </c>
      <c r="W15">
        <v>6.56</v>
      </c>
      <c r="X15" s="2">
        <v>37.955975600000002</v>
      </c>
      <c r="Z15">
        <v>60</v>
      </c>
      <c r="AA15" s="7" t="s">
        <v>7</v>
      </c>
      <c r="AB15" s="5">
        <v>1</v>
      </c>
      <c r="AC15">
        <v>50</v>
      </c>
      <c r="AD15">
        <v>6.56</v>
      </c>
      <c r="AE15" s="2">
        <v>55.972674920000003</v>
      </c>
    </row>
    <row r="16" spans="1:31" ht="15">
      <c r="A16">
        <v>60</v>
      </c>
      <c r="B16" t="s">
        <v>8</v>
      </c>
      <c r="C16">
        <v>2.5</v>
      </c>
      <c r="D16">
        <v>50</v>
      </c>
      <c r="E16">
        <v>6.56</v>
      </c>
      <c r="F16">
        <v>92.753217469999996</v>
      </c>
      <c r="K16">
        <v>60</v>
      </c>
      <c r="L16" s="7" t="s">
        <v>8</v>
      </c>
      <c r="M16" s="5">
        <v>2.5</v>
      </c>
      <c r="N16">
        <v>50</v>
      </c>
      <c r="O16">
        <v>6.56</v>
      </c>
      <c r="P16" s="2">
        <v>92.753217469999996</v>
      </c>
      <c r="S16">
        <v>60</v>
      </c>
      <c r="T16" s="7" t="s">
        <v>6</v>
      </c>
      <c r="U16" s="5">
        <v>2.5</v>
      </c>
      <c r="V16">
        <v>50</v>
      </c>
      <c r="W16">
        <v>6.56</v>
      </c>
      <c r="X16" s="2">
        <v>52.182121199999997</v>
      </c>
      <c r="Z16">
        <v>60</v>
      </c>
      <c r="AA16" s="7" t="s">
        <v>7</v>
      </c>
      <c r="AB16" s="5">
        <v>2.5</v>
      </c>
      <c r="AC16">
        <v>50</v>
      </c>
      <c r="AD16">
        <v>6.56</v>
      </c>
      <c r="AE16" s="2">
        <v>83.819154080000004</v>
      </c>
    </row>
    <row r="17" spans="1:31" ht="15">
      <c r="A17">
        <v>5</v>
      </c>
      <c r="B17" t="s">
        <v>8</v>
      </c>
      <c r="C17">
        <v>0.5</v>
      </c>
      <c r="D17">
        <v>20</v>
      </c>
      <c r="E17">
        <v>6.56</v>
      </c>
      <c r="F17">
        <v>81.933749239999997</v>
      </c>
      <c r="K17" s="4">
        <v>5</v>
      </c>
      <c r="L17" t="s">
        <v>8</v>
      </c>
      <c r="M17">
        <v>0.5</v>
      </c>
      <c r="N17">
        <v>20</v>
      </c>
      <c r="O17">
        <v>6.56</v>
      </c>
      <c r="P17" s="3">
        <v>81.933749239999997</v>
      </c>
      <c r="S17" s="8">
        <v>5</v>
      </c>
      <c r="T17" t="s">
        <v>6</v>
      </c>
      <c r="U17">
        <v>0.5</v>
      </c>
      <c r="V17">
        <v>20</v>
      </c>
      <c r="W17">
        <v>6.56</v>
      </c>
      <c r="X17" s="9">
        <v>25.743548659999998</v>
      </c>
      <c r="Z17" s="8">
        <v>5</v>
      </c>
      <c r="AA17" t="s">
        <v>7</v>
      </c>
      <c r="AB17">
        <v>0.5</v>
      </c>
      <c r="AC17">
        <v>20</v>
      </c>
      <c r="AD17">
        <v>6.56</v>
      </c>
      <c r="AE17" s="9">
        <v>30.739232699999999</v>
      </c>
    </row>
    <row r="18" spans="1:31" ht="15">
      <c r="A18">
        <v>10</v>
      </c>
      <c r="B18" t="s">
        <v>8</v>
      </c>
      <c r="C18">
        <v>0.5</v>
      </c>
      <c r="D18">
        <v>20</v>
      </c>
      <c r="E18">
        <v>6.56</v>
      </c>
      <c r="F18">
        <v>85.681508500000007</v>
      </c>
      <c r="K18" s="4">
        <v>10</v>
      </c>
      <c r="L18" t="s">
        <v>8</v>
      </c>
      <c r="M18">
        <v>0.5</v>
      </c>
      <c r="N18">
        <v>20</v>
      </c>
      <c r="O18">
        <v>6.56</v>
      </c>
      <c r="P18" s="3">
        <v>85.681508500000007</v>
      </c>
      <c r="S18" s="8">
        <v>10</v>
      </c>
      <c r="T18" t="s">
        <v>6</v>
      </c>
      <c r="U18">
        <v>0.5</v>
      </c>
      <c r="V18">
        <v>20</v>
      </c>
      <c r="W18">
        <v>6.56</v>
      </c>
      <c r="X18" s="9">
        <v>27.01389824</v>
      </c>
      <c r="Z18" s="8">
        <v>10</v>
      </c>
      <c r="AA18" t="s">
        <v>7</v>
      </c>
      <c r="AB18">
        <v>0.5</v>
      </c>
      <c r="AC18">
        <v>20</v>
      </c>
      <c r="AD18">
        <v>6.56</v>
      </c>
      <c r="AE18" s="9">
        <v>39.259904419999998</v>
      </c>
    </row>
    <row r="19" spans="1:31" ht="15">
      <c r="A19">
        <v>15</v>
      </c>
      <c r="B19" t="s">
        <v>8</v>
      </c>
      <c r="C19">
        <v>0.5</v>
      </c>
      <c r="D19">
        <v>20</v>
      </c>
      <c r="E19">
        <v>6.56</v>
      </c>
      <c r="F19">
        <v>88.154488240000006</v>
      </c>
      <c r="K19" s="4">
        <v>15</v>
      </c>
      <c r="L19" t="s">
        <v>8</v>
      </c>
      <c r="M19">
        <v>0.5</v>
      </c>
      <c r="N19">
        <v>20</v>
      </c>
      <c r="O19">
        <v>6.56</v>
      </c>
      <c r="P19" s="3">
        <v>88.154488240000006</v>
      </c>
      <c r="S19" s="8">
        <v>15</v>
      </c>
      <c r="T19" t="s">
        <v>6</v>
      </c>
      <c r="U19">
        <v>0.5</v>
      </c>
      <c r="V19">
        <v>20</v>
      </c>
      <c r="W19">
        <v>6.56</v>
      </c>
      <c r="X19" s="9">
        <v>31.114386710000002</v>
      </c>
      <c r="Z19" s="8">
        <v>15</v>
      </c>
      <c r="AA19" t="s">
        <v>7</v>
      </c>
      <c r="AB19">
        <v>0.5</v>
      </c>
      <c r="AC19">
        <v>20</v>
      </c>
      <c r="AD19">
        <v>6.56</v>
      </c>
      <c r="AE19" s="9">
        <v>48.13331264</v>
      </c>
    </row>
    <row r="20" spans="1:31" ht="15">
      <c r="A20">
        <v>30</v>
      </c>
      <c r="B20" t="s">
        <v>8</v>
      </c>
      <c r="C20">
        <v>0.5</v>
      </c>
      <c r="D20">
        <v>20</v>
      </c>
      <c r="E20">
        <v>6.56</v>
      </c>
      <c r="F20">
        <v>90.580732459999993</v>
      </c>
      <c r="K20" s="4">
        <v>30</v>
      </c>
      <c r="L20" t="s">
        <v>8</v>
      </c>
      <c r="M20">
        <v>0.5</v>
      </c>
      <c r="N20">
        <v>20</v>
      </c>
      <c r="O20">
        <v>6.56</v>
      </c>
      <c r="P20" s="3">
        <v>90.580732459999993</v>
      </c>
      <c r="S20" s="8">
        <v>30</v>
      </c>
      <c r="T20" t="s">
        <v>6</v>
      </c>
      <c r="U20">
        <v>0.5</v>
      </c>
      <c r="V20">
        <v>20</v>
      </c>
      <c r="W20">
        <v>6.56</v>
      </c>
      <c r="X20" s="9">
        <v>37.906531180000002</v>
      </c>
      <c r="Z20" s="8">
        <v>30</v>
      </c>
      <c r="AA20" t="s">
        <v>7</v>
      </c>
      <c r="AB20">
        <v>0.5</v>
      </c>
      <c r="AC20">
        <v>20</v>
      </c>
      <c r="AD20">
        <v>6.56</v>
      </c>
      <c r="AE20" s="9">
        <v>61.648708020000001</v>
      </c>
    </row>
    <row r="21" spans="1:31" ht="15">
      <c r="A21">
        <v>60</v>
      </c>
      <c r="B21" t="s">
        <v>8</v>
      </c>
      <c r="C21">
        <v>0.5</v>
      </c>
      <c r="D21">
        <v>20</v>
      </c>
      <c r="E21">
        <v>6.56</v>
      </c>
      <c r="F21">
        <v>92.518280410000003</v>
      </c>
      <c r="K21" s="4">
        <v>60</v>
      </c>
      <c r="L21" t="s">
        <v>8</v>
      </c>
      <c r="M21">
        <v>0.5</v>
      </c>
      <c r="N21">
        <v>20</v>
      </c>
      <c r="O21">
        <v>6.56</v>
      </c>
      <c r="P21" s="3">
        <v>92.518280410000003</v>
      </c>
      <c r="S21" s="8">
        <v>60</v>
      </c>
      <c r="T21" t="s">
        <v>6</v>
      </c>
      <c r="U21">
        <v>0.5</v>
      </c>
      <c r="V21">
        <v>20</v>
      </c>
      <c r="W21">
        <v>6.56</v>
      </c>
      <c r="X21" s="9">
        <v>41.27848805</v>
      </c>
      <c r="Z21" s="8">
        <v>60</v>
      </c>
      <c r="AA21" t="s">
        <v>7</v>
      </c>
      <c r="AB21">
        <v>0.5</v>
      </c>
      <c r="AC21">
        <v>20</v>
      </c>
      <c r="AD21">
        <v>6.56</v>
      </c>
      <c r="AE21" s="9">
        <v>76.241481309999998</v>
      </c>
    </row>
    <row r="22" spans="1:31" ht="15">
      <c r="A22">
        <v>90</v>
      </c>
      <c r="B22" t="s">
        <v>8</v>
      </c>
      <c r="C22">
        <v>0.5</v>
      </c>
      <c r="D22">
        <v>20</v>
      </c>
      <c r="E22">
        <v>6.56</v>
      </c>
      <c r="F22">
        <v>92.244777249999999</v>
      </c>
      <c r="K22" s="4">
        <v>90</v>
      </c>
      <c r="L22" t="s">
        <v>8</v>
      </c>
      <c r="M22">
        <v>0.5</v>
      </c>
      <c r="N22">
        <v>20</v>
      </c>
      <c r="O22">
        <v>6.56</v>
      </c>
      <c r="P22" s="3">
        <v>92.244777249999999</v>
      </c>
      <c r="S22" s="8">
        <v>90</v>
      </c>
      <c r="T22" t="s">
        <v>6</v>
      </c>
      <c r="U22">
        <v>0.5</v>
      </c>
      <c r="V22">
        <v>20</v>
      </c>
      <c r="W22">
        <v>6.56</v>
      </c>
      <c r="X22" s="9">
        <v>43.416405779999998</v>
      </c>
      <c r="Z22" s="8">
        <v>90</v>
      </c>
      <c r="AA22" t="s">
        <v>7</v>
      </c>
      <c r="AB22">
        <v>0.5</v>
      </c>
      <c r="AC22">
        <v>20</v>
      </c>
      <c r="AD22">
        <v>6.56</v>
      </c>
      <c r="AE22" s="9">
        <v>83.572573809999994</v>
      </c>
    </row>
    <row r="23" spans="1:31" ht="15">
      <c r="A23">
        <v>120</v>
      </c>
      <c r="B23" t="s">
        <v>8</v>
      </c>
      <c r="C23">
        <v>0.5</v>
      </c>
      <c r="D23">
        <v>20</v>
      </c>
      <c r="E23">
        <v>6.56</v>
      </c>
      <c r="F23">
        <v>93.549665189999999</v>
      </c>
      <c r="K23" s="4">
        <v>120</v>
      </c>
      <c r="L23" t="s">
        <v>8</v>
      </c>
      <c r="M23">
        <v>0.5</v>
      </c>
      <c r="N23">
        <v>20</v>
      </c>
      <c r="O23">
        <v>6.56</v>
      </c>
      <c r="P23" s="3">
        <v>93.549665189999999</v>
      </c>
      <c r="S23" s="8">
        <v>120</v>
      </c>
      <c r="T23" t="s">
        <v>6</v>
      </c>
      <c r="U23">
        <v>0.5</v>
      </c>
      <c r="V23">
        <v>20</v>
      </c>
      <c r="W23">
        <v>6.56</v>
      </c>
      <c r="X23" s="9">
        <v>45.212746090000003</v>
      </c>
      <c r="Z23" s="8">
        <v>120</v>
      </c>
      <c r="AA23" t="s">
        <v>7</v>
      </c>
      <c r="AB23">
        <v>0.5</v>
      </c>
      <c r="AC23">
        <v>20</v>
      </c>
      <c r="AD23">
        <v>6.56</v>
      </c>
      <c r="AE23" s="9">
        <v>88.769582389999997</v>
      </c>
    </row>
    <row r="24" spans="1:31" ht="15">
      <c r="A24">
        <v>150</v>
      </c>
      <c r="B24" t="s">
        <v>8</v>
      </c>
      <c r="C24">
        <v>0.5</v>
      </c>
      <c r="D24">
        <v>20</v>
      </c>
      <c r="E24">
        <v>6.56</v>
      </c>
      <c r="F24">
        <v>92.912600999999995</v>
      </c>
      <c r="K24" s="4">
        <v>150</v>
      </c>
      <c r="L24" t="s">
        <v>8</v>
      </c>
      <c r="M24">
        <v>0.5</v>
      </c>
      <c r="N24">
        <v>20</v>
      </c>
      <c r="O24">
        <v>6.56</v>
      </c>
      <c r="P24" s="3">
        <v>92.912600999999995</v>
      </c>
      <c r="S24" s="8">
        <v>150</v>
      </c>
      <c r="T24" t="s">
        <v>6</v>
      </c>
      <c r="U24">
        <v>0.5</v>
      </c>
      <c r="V24">
        <v>20</v>
      </c>
      <c r="W24">
        <v>6.56</v>
      </c>
      <c r="X24" s="9">
        <v>42.384446799999999</v>
      </c>
      <c r="Z24" s="8">
        <v>150</v>
      </c>
      <c r="AA24" t="s">
        <v>7</v>
      </c>
      <c r="AB24">
        <v>0.5</v>
      </c>
      <c r="AC24">
        <v>20</v>
      </c>
      <c r="AD24">
        <v>6.56</v>
      </c>
      <c r="AE24" s="9">
        <v>91.361498519999998</v>
      </c>
    </row>
    <row r="25" spans="1:31">
      <c r="A25">
        <v>30</v>
      </c>
      <c r="B25" t="s">
        <v>8</v>
      </c>
      <c r="C25">
        <v>0.5</v>
      </c>
      <c r="D25">
        <v>20</v>
      </c>
      <c r="E25">
        <v>2.27</v>
      </c>
      <c r="F25">
        <v>12.851037850000001</v>
      </c>
      <c r="K25">
        <v>30</v>
      </c>
      <c r="L25" t="s">
        <v>8</v>
      </c>
      <c r="M25">
        <v>0.5</v>
      </c>
      <c r="N25">
        <v>20</v>
      </c>
      <c r="O25">
        <v>2.27</v>
      </c>
      <c r="P25">
        <v>12.851037850000001</v>
      </c>
      <c r="S25">
        <v>30</v>
      </c>
      <c r="T25" t="s">
        <v>6</v>
      </c>
      <c r="U25">
        <v>0.5</v>
      </c>
      <c r="V25">
        <v>20</v>
      </c>
      <c r="W25">
        <v>2.27</v>
      </c>
      <c r="X25">
        <v>22.771672769999999</v>
      </c>
      <c r="Z25">
        <v>30</v>
      </c>
      <c r="AA25" t="s">
        <v>7</v>
      </c>
      <c r="AB25">
        <v>0.5</v>
      </c>
      <c r="AC25">
        <v>20</v>
      </c>
      <c r="AD25">
        <v>2.27</v>
      </c>
      <c r="AE25">
        <v>51.373626369999997</v>
      </c>
    </row>
    <row r="26" spans="1:31">
      <c r="A26">
        <v>30</v>
      </c>
      <c r="B26" t="s">
        <v>8</v>
      </c>
      <c r="C26">
        <v>0.5</v>
      </c>
      <c r="D26">
        <v>20</v>
      </c>
      <c r="E26">
        <v>3.34</v>
      </c>
      <c r="F26">
        <v>27.517416090000001</v>
      </c>
      <c r="K26">
        <v>30</v>
      </c>
      <c r="L26" t="s">
        <v>8</v>
      </c>
      <c r="M26">
        <v>0.5</v>
      </c>
      <c r="N26">
        <v>20</v>
      </c>
      <c r="O26">
        <v>3.34</v>
      </c>
      <c r="P26">
        <v>27.517416090000001</v>
      </c>
      <c r="S26">
        <v>30</v>
      </c>
      <c r="T26" t="s">
        <v>6</v>
      </c>
      <c r="U26">
        <v>0.5</v>
      </c>
      <c r="V26">
        <v>20</v>
      </c>
      <c r="W26">
        <v>3.34</v>
      </c>
      <c r="X26">
        <v>30.84230526</v>
      </c>
      <c r="Z26">
        <v>30</v>
      </c>
      <c r="AA26" t="s">
        <v>7</v>
      </c>
      <c r="AB26">
        <v>0.5</v>
      </c>
      <c r="AC26">
        <v>20</v>
      </c>
      <c r="AD26">
        <v>3.34</v>
      </c>
      <c r="AE26">
        <v>50.91830272</v>
      </c>
    </row>
    <row r="27" spans="1:31">
      <c r="A27">
        <v>30</v>
      </c>
      <c r="B27" t="s">
        <v>8</v>
      </c>
      <c r="C27">
        <v>0.5</v>
      </c>
      <c r="D27">
        <v>20</v>
      </c>
      <c r="E27">
        <v>4.53</v>
      </c>
      <c r="F27">
        <v>53.73299007</v>
      </c>
      <c r="K27">
        <v>30</v>
      </c>
      <c r="L27" t="s">
        <v>8</v>
      </c>
      <c r="M27">
        <v>0.5</v>
      </c>
      <c r="N27">
        <v>20</v>
      </c>
      <c r="O27">
        <v>4.53</v>
      </c>
      <c r="P27">
        <v>53.73299007</v>
      </c>
      <c r="S27">
        <v>30</v>
      </c>
      <c r="T27" t="s">
        <v>6</v>
      </c>
      <c r="U27">
        <v>0.5</v>
      </c>
      <c r="V27">
        <v>20</v>
      </c>
      <c r="W27">
        <v>4.53</v>
      </c>
      <c r="X27">
        <v>39.205590290000004</v>
      </c>
      <c r="Z27">
        <v>30</v>
      </c>
      <c r="AA27" t="s">
        <v>7</v>
      </c>
      <c r="AB27">
        <v>0.5</v>
      </c>
      <c r="AC27">
        <v>20</v>
      </c>
      <c r="AD27">
        <v>4.53</v>
      </c>
      <c r="AE27">
        <v>57.705038620000003</v>
      </c>
    </row>
    <row r="28" spans="1:31">
      <c r="A28">
        <v>30</v>
      </c>
      <c r="B28" t="s">
        <v>8</v>
      </c>
      <c r="C28">
        <v>0.5</v>
      </c>
      <c r="D28">
        <v>20</v>
      </c>
      <c r="E28">
        <v>7.32</v>
      </c>
      <c r="F28">
        <v>46.918562000000001</v>
      </c>
      <c r="K28">
        <v>30</v>
      </c>
      <c r="L28" t="s">
        <v>8</v>
      </c>
      <c r="M28">
        <v>0.5</v>
      </c>
      <c r="N28">
        <v>20</v>
      </c>
      <c r="O28">
        <v>7.32</v>
      </c>
      <c r="P28">
        <v>46.918562000000001</v>
      </c>
      <c r="S28">
        <v>30</v>
      </c>
      <c r="T28" t="s">
        <v>6</v>
      </c>
      <c r="U28">
        <v>0.5</v>
      </c>
      <c r="V28">
        <v>20</v>
      </c>
      <c r="W28">
        <v>7.32</v>
      </c>
      <c r="X28">
        <v>56.969919300000001</v>
      </c>
      <c r="Z28">
        <v>30</v>
      </c>
      <c r="AA28" t="s">
        <v>7</v>
      </c>
      <c r="AB28">
        <v>0.5</v>
      </c>
      <c r="AC28">
        <v>20</v>
      </c>
      <c r="AD28">
        <v>7.32</v>
      </c>
      <c r="AE28">
        <v>54.915627290000003</v>
      </c>
    </row>
    <row r="29" spans="1:31">
      <c r="A29">
        <v>30</v>
      </c>
      <c r="B29" t="s">
        <v>8</v>
      </c>
      <c r="C29">
        <v>0.5</v>
      </c>
      <c r="D29">
        <v>20</v>
      </c>
      <c r="E29">
        <v>8.26</v>
      </c>
      <c r="F29">
        <v>47.94140934</v>
      </c>
      <c r="K29">
        <v>30</v>
      </c>
      <c r="L29" t="s">
        <v>8</v>
      </c>
      <c r="M29">
        <v>0.5</v>
      </c>
      <c r="N29">
        <v>20</v>
      </c>
      <c r="O29">
        <v>8.26</v>
      </c>
      <c r="P29">
        <v>47.94140934</v>
      </c>
      <c r="S29">
        <v>30</v>
      </c>
      <c r="T29" t="s">
        <v>6</v>
      </c>
      <c r="U29">
        <v>0.5</v>
      </c>
      <c r="V29">
        <v>20</v>
      </c>
      <c r="W29">
        <v>8.26</v>
      </c>
      <c r="X29">
        <v>54.235946159999997</v>
      </c>
      <c r="Z29">
        <v>30</v>
      </c>
      <c r="AA29" t="s">
        <v>7</v>
      </c>
      <c r="AB29">
        <v>0.5</v>
      </c>
      <c r="AC29">
        <v>20</v>
      </c>
      <c r="AD29">
        <v>8.26</v>
      </c>
      <c r="AE29">
        <v>55.265241490000001</v>
      </c>
    </row>
    <row r="30" spans="1:31">
      <c r="A30">
        <v>30</v>
      </c>
      <c r="B30" t="s">
        <v>8</v>
      </c>
      <c r="C30">
        <v>0.5</v>
      </c>
      <c r="D30">
        <v>20</v>
      </c>
      <c r="E30">
        <v>9.2899999999999991</v>
      </c>
      <c r="F30">
        <v>57.321156770000002</v>
      </c>
      <c r="K30">
        <v>30</v>
      </c>
      <c r="L30" t="s">
        <v>8</v>
      </c>
      <c r="M30">
        <v>0.5</v>
      </c>
      <c r="N30">
        <v>20</v>
      </c>
      <c r="O30">
        <v>9.2899999999999991</v>
      </c>
      <c r="P30">
        <v>57.321156770000002</v>
      </c>
      <c r="S30">
        <v>30</v>
      </c>
      <c r="T30" t="s">
        <v>6</v>
      </c>
      <c r="U30">
        <v>0.5</v>
      </c>
      <c r="V30">
        <v>20</v>
      </c>
      <c r="W30">
        <v>9.2899999999999991</v>
      </c>
      <c r="X30">
        <v>58.782343990000001</v>
      </c>
      <c r="Z30">
        <v>30</v>
      </c>
      <c r="AA30" t="s">
        <v>7</v>
      </c>
      <c r="AB30">
        <v>0.5</v>
      </c>
      <c r="AC30">
        <v>20</v>
      </c>
      <c r="AD30">
        <v>9.2899999999999991</v>
      </c>
      <c r="AE30">
        <v>67.184170469999998</v>
      </c>
    </row>
    <row r="31" spans="1:31">
      <c r="A31">
        <v>30</v>
      </c>
      <c r="B31" t="s">
        <v>8</v>
      </c>
      <c r="C31">
        <v>0.5</v>
      </c>
      <c r="D31">
        <v>20</v>
      </c>
      <c r="E31">
        <v>10.69</v>
      </c>
      <c r="F31">
        <v>24.715056990000001</v>
      </c>
      <c r="K31">
        <v>30</v>
      </c>
      <c r="L31" t="s">
        <v>8</v>
      </c>
      <c r="M31">
        <v>0.5</v>
      </c>
      <c r="N31">
        <v>20</v>
      </c>
      <c r="O31">
        <v>10.69</v>
      </c>
      <c r="P31">
        <v>24.715056990000001</v>
      </c>
      <c r="S31">
        <v>30</v>
      </c>
      <c r="T31" t="s">
        <v>6</v>
      </c>
      <c r="U31">
        <v>0.5</v>
      </c>
      <c r="V31">
        <v>20</v>
      </c>
      <c r="W31">
        <v>10.69</v>
      </c>
      <c r="X31">
        <v>26.27474505</v>
      </c>
      <c r="Z31">
        <v>30</v>
      </c>
      <c r="AA31" t="s">
        <v>7</v>
      </c>
      <c r="AB31">
        <v>0.5</v>
      </c>
      <c r="AC31">
        <v>20</v>
      </c>
      <c r="AD31">
        <v>10.69</v>
      </c>
      <c r="AE31">
        <v>21.47570486</v>
      </c>
    </row>
    <row r="32" spans="1:31" ht="15">
      <c r="A32">
        <v>30</v>
      </c>
      <c r="B32" t="s">
        <v>8</v>
      </c>
      <c r="C32">
        <v>1</v>
      </c>
      <c r="D32">
        <v>1</v>
      </c>
      <c r="E32">
        <v>6.56</v>
      </c>
      <c r="F32">
        <v>100</v>
      </c>
      <c r="K32">
        <v>30</v>
      </c>
      <c r="L32" t="s">
        <v>8</v>
      </c>
      <c r="M32">
        <v>1</v>
      </c>
      <c r="N32" s="6">
        <v>1</v>
      </c>
      <c r="O32">
        <v>6.56</v>
      </c>
      <c r="P32" s="1">
        <v>100</v>
      </c>
      <c r="S32">
        <v>30</v>
      </c>
      <c r="T32" t="s">
        <v>6</v>
      </c>
      <c r="U32">
        <v>1</v>
      </c>
      <c r="V32" s="6">
        <v>1</v>
      </c>
      <c r="W32">
        <v>6.56</v>
      </c>
      <c r="X32" s="1">
        <v>100</v>
      </c>
      <c r="Z32">
        <v>30</v>
      </c>
      <c r="AA32" t="s">
        <v>7</v>
      </c>
      <c r="AB32">
        <v>1</v>
      </c>
      <c r="AC32" s="6">
        <v>1</v>
      </c>
      <c r="AD32">
        <v>6.56</v>
      </c>
      <c r="AE32" s="1">
        <v>100</v>
      </c>
    </row>
    <row r="33" spans="1:31" ht="15">
      <c r="A33">
        <v>30</v>
      </c>
      <c r="B33" t="s">
        <v>8</v>
      </c>
      <c r="C33">
        <v>1</v>
      </c>
      <c r="D33">
        <v>5</v>
      </c>
      <c r="E33">
        <v>6.56</v>
      </c>
      <c r="F33">
        <v>98.897153119999999</v>
      </c>
      <c r="K33">
        <v>30</v>
      </c>
      <c r="L33" t="s">
        <v>8</v>
      </c>
      <c r="M33">
        <v>1</v>
      </c>
      <c r="N33" s="6">
        <v>5</v>
      </c>
      <c r="O33">
        <v>6.56</v>
      </c>
      <c r="P33" s="1">
        <v>98.897153119999999</v>
      </c>
      <c r="S33">
        <v>30</v>
      </c>
      <c r="T33" t="s">
        <v>6</v>
      </c>
      <c r="U33">
        <v>1</v>
      </c>
      <c r="V33" s="6">
        <v>5</v>
      </c>
      <c r="W33">
        <v>6.56</v>
      </c>
      <c r="X33" s="1">
        <v>98.332905870000005</v>
      </c>
      <c r="Z33">
        <v>30</v>
      </c>
      <c r="AA33" t="s">
        <v>7</v>
      </c>
      <c r="AB33">
        <v>1</v>
      </c>
      <c r="AC33" s="6">
        <v>5</v>
      </c>
      <c r="AD33">
        <v>6.56</v>
      </c>
      <c r="AE33" s="1">
        <v>98.874355249999994</v>
      </c>
    </row>
    <row r="34" spans="1:31" ht="15">
      <c r="A34">
        <v>30</v>
      </c>
      <c r="B34" t="s">
        <v>8</v>
      </c>
      <c r="C34">
        <v>1</v>
      </c>
      <c r="D34">
        <v>10</v>
      </c>
      <c r="E34">
        <v>6.56</v>
      </c>
      <c r="F34">
        <v>98.622675090000001</v>
      </c>
      <c r="K34">
        <v>30</v>
      </c>
      <c r="L34" t="s">
        <v>8</v>
      </c>
      <c r="M34">
        <v>1</v>
      </c>
      <c r="N34" s="6">
        <v>10</v>
      </c>
      <c r="O34">
        <v>6.56</v>
      </c>
      <c r="P34" s="1">
        <v>98.622675090000001</v>
      </c>
      <c r="S34">
        <v>30</v>
      </c>
      <c r="T34" t="s">
        <v>6</v>
      </c>
      <c r="U34">
        <v>1</v>
      </c>
      <c r="V34" s="6">
        <v>10</v>
      </c>
      <c r="W34">
        <v>6.56</v>
      </c>
      <c r="X34" s="1">
        <v>94.477560240000003</v>
      </c>
      <c r="Z34">
        <v>30</v>
      </c>
      <c r="AA34" t="s">
        <v>7</v>
      </c>
      <c r="AB34">
        <v>1</v>
      </c>
      <c r="AC34" s="6">
        <v>10</v>
      </c>
      <c r="AD34">
        <v>6.56</v>
      </c>
      <c r="AE34" s="1">
        <v>95.982702810000006</v>
      </c>
    </row>
    <row r="35" spans="1:31" ht="15">
      <c r="A35">
        <v>30</v>
      </c>
      <c r="B35" t="s">
        <v>8</v>
      </c>
      <c r="C35">
        <v>1</v>
      </c>
      <c r="D35">
        <v>25</v>
      </c>
      <c r="E35">
        <v>6.56</v>
      </c>
      <c r="F35">
        <v>91.30611562</v>
      </c>
      <c r="K35">
        <v>30</v>
      </c>
      <c r="L35" t="s">
        <v>8</v>
      </c>
      <c r="M35">
        <v>1</v>
      </c>
      <c r="N35" s="6">
        <v>25</v>
      </c>
      <c r="O35">
        <v>6.56</v>
      </c>
      <c r="P35" s="1">
        <v>91.30611562</v>
      </c>
      <c r="S35">
        <v>30</v>
      </c>
      <c r="T35" t="s">
        <v>6</v>
      </c>
      <c r="U35">
        <v>1</v>
      </c>
      <c r="V35" s="6">
        <v>25</v>
      </c>
      <c r="W35">
        <v>6.56</v>
      </c>
      <c r="X35" s="1">
        <v>81.050441269999993</v>
      </c>
      <c r="Z35">
        <v>30</v>
      </c>
      <c r="AA35" t="s">
        <v>7</v>
      </c>
      <c r="AB35">
        <v>1</v>
      </c>
      <c r="AC35" s="6">
        <v>25</v>
      </c>
      <c r="AD35">
        <v>6.56</v>
      </c>
      <c r="AE35" s="1">
        <v>88.917270569999999</v>
      </c>
    </row>
    <row r="36" spans="1:31" ht="15">
      <c r="A36">
        <v>30</v>
      </c>
      <c r="B36" t="s">
        <v>8</v>
      </c>
      <c r="C36">
        <v>1</v>
      </c>
      <c r="D36">
        <v>50</v>
      </c>
      <c r="E36">
        <v>6.56</v>
      </c>
      <c r="F36">
        <v>71.770039600000004</v>
      </c>
      <c r="K36">
        <v>30</v>
      </c>
      <c r="L36" t="s">
        <v>8</v>
      </c>
      <c r="M36">
        <v>1</v>
      </c>
      <c r="N36" s="6">
        <v>50</v>
      </c>
      <c r="O36">
        <v>6.56</v>
      </c>
      <c r="P36" s="1">
        <v>71.770039600000004</v>
      </c>
      <c r="S36">
        <v>30</v>
      </c>
      <c r="T36" t="s">
        <v>6</v>
      </c>
      <c r="U36">
        <v>1</v>
      </c>
      <c r="V36" s="6">
        <v>50</v>
      </c>
      <c r="W36">
        <v>6.56</v>
      </c>
      <c r="X36" s="1">
        <v>56.067580069999998</v>
      </c>
      <c r="Z36">
        <v>30</v>
      </c>
      <c r="AA36" t="s">
        <v>7</v>
      </c>
      <c r="AB36">
        <v>1</v>
      </c>
      <c r="AC36" s="6">
        <v>50</v>
      </c>
      <c r="AD36">
        <v>6.56</v>
      </c>
      <c r="AE36" s="1">
        <v>62.130344950000001</v>
      </c>
    </row>
    <row r="37" spans="1:31">
      <c r="A37">
        <v>60</v>
      </c>
      <c r="B37" t="s">
        <v>6</v>
      </c>
      <c r="C37">
        <v>0.5</v>
      </c>
      <c r="D37">
        <v>20</v>
      </c>
      <c r="E37">
        <v>3.15</v>
      </c>
      <c r="F37">
        <v>16.173510759999999</v>
      </c>
    </row>
    <row r="38" spans="1:31">
      <c r="A38">
        <v>60</v>
      </c>
      <c r="B38" t="s">
        <v>6</v>
      </c>
      <c r="C38">
        <v>0.5</v>
      </c>
      <c r="D38">
        <v>20</v>
      </c>
      <c r="E38">
        <v>4.95</v>
      </c>
      <c r="F38">
        <v>39.461475210000003</v>
      </c>
    </row>
    <row r="39" spans="1:31">
      <c r="A39">
        <v>60</v>
      </c>
      <c r="B39" t="s">
        <v>6</v>
      </c>
      <c r="C39">
        <v>0.5</v>
      </c>
      <c r="D39">
        <v>20</v>
      </c>
      <c r="E39">
        <v>7.56</v>
      </c>
      <c r="F39">
        <v>68.610607430000002</v>
      </c>
    </row>
    <row r="40" spans="1:31">
      <c r="A40">
        <v>60</v>
      </c>
      <c r="B40" t="s">
        <v>6</v>
      </c>
      <c r="C40">
        <v>0.5</v>
      </c>
      <c r="D40">
        <v>20</v>
      </c>
      <c r="E40">
        <v>9.3000000000000007</v>
      </c>
      <c r="F40">
        <v>94.011599950000004</v>
      </c>
      <c r="K40" t="s">
        <v>8</v>
      </c>
    </row>
    <row r="41" spans="1:31">
      <c r="A41">
        <v>60</v>
      </c>
      <c r="B41" t="s">
        <v>6</v>
      </c>
      <c r="C41">
        <v>0.5</v>
      </c>
      <c r="D41">
        <v>20</v>
      </c>
      <c r="E41">
        <v>10.8</v>
      </c>
      <c r="F41">
        <v>13.99143239</v>
      </c>
      <c r="K41" t="s">
        <v>2</v>
      </c>
      <c r="L41" t="s">
        <v>9</v>
      </c>
      <c r="M41" t="s">
        <v>11</v>
      </c>
      <c r="N41" t="s">
        <v>13</v>
      </c>
      <c r="O41" t="s">
        <v>30</v>
      </c>
      <c r="P41" t="s">
        <v>31</v>
      </c>
      <c r="Q41" t="s">
        <v>20</v>
      </c>
      <c r="R41" t="s">
        <v>21</v>
      </c>
      <c r="S41" t="s">
        <v>15</v>
      </c>
      <c r="T41" t="s">
        <v>20</v>
      </c>
      <c r="U41" t="s">
        <v>19</v>
      </c>
      <c r="V41" t="s">
        <v>9</v>
      </c>
      <c r="W41" t="s">
        <v>11</v>
      </c>
      <c r="X41" t="s">
        <v>13</v>
      </c>
      <c r="Y41" t="s">
        <v>30</v>
      </c>
      <c r="Z41" t="s">
        <v>31</v>
      </c>
      <c r="AA41" t="s">
        <v>15</v>
      </c>
      <c r="AB41" t="s">
        <v>29</v>
      </c>
    </row>
    <row r="42" spans="1:31" ht="15">
      <c r="A42">
        <v>60</v>
      </c>
      <c r="B42" t="s">
        <v>6</v>
      </c>
      <c r="C42">
        <v>0.1</v>
      </c>
      <c r="D42">
        <v>50</v>
      </c>
      <c r="E42">
        <v>6.56</v>
      </c>
      <c r="F42">
        <v>27.18204412</v>
      </c>
      <c r="K42" s="5">
        <v>0.1</v>
      </c>
      <c r="L42" s="2">
        <v>29.610495700000001</v>
      </c>
      <c r="M42">
        <v>50</v>
      </c>
      <c r="N42">
        <f>M42-(L42*M42)/100</f>
        <v>35.194752149999999</v>
      </c>
      <c r="O42" s="7">
        <f>M42-N42</f>
        <v>14.805247850000001</v>
      </c>
      <c r="P42" s="7">
        <f>O42/K42</f>
        <v>148.05247850000001</v>
      </c>
      <c r="Q42">
        <f>1/N42</f>
        <v>2.8413326956757672E-2</v>
      </c>
      <c r="R42">
        <f>1/P42</f>
        <v>6.7543617650413059E-3</v>
      </c>
      <c r="S42">
        <f>N42/P42</f>
        <v>0.23771808825206528</v>
      </c>
      <c r="T42">
        <f>1/N42</f>
        <v>2.8413326956757672E-2</v>
      </c>
      <c r="U42" s="6">
        <v>1</v>
      </c>
      <c r="V42" s="1">
        <v>100</v>
      </c>
      <c r="W42">
        <f>U42</f>
        <v>1</v>
      </c>
      <c r="X42">
        <f>W42-(V42*W42)/100</f>
        <v>0</v>
      </c>
      <c r="Y42">
        <f>W42-X42</f>
        <v>1</v>
      </c>
      <c r="Z42">
        <f>Y42/0.25</f>
        <v>4</v>
      </c>
      <c r="AA42">
        <f>X42/Z42</f>
        <v>0</v>
      </c>
      <c r="AB42">
        <v>0.25</v>
      </c>
    </row>
    <row r="43" spans="1:31" ht="15">
      <c r="A43">
        <v>60</v>
      </c>
      <c r="B43" t="s">
        <v>6</v>
      </c>
      <c r="C43">
        <v>0.25</v>
      </c>
      <c r="D43">
        <v>50</v>
      </c>
      <c r="E43">
        <v>6.56</v>
      </c>
      <c r="F43">
        <v>30.86908347</v>
      </c>
      <c r="K43" s="5">
        <v>0.25</v>
      </c>
      <c r="L43" s="2">
        <v>29.0501714</v>
      </c>
      <c r="M43">
        <v>50</v>
      </c>
      <c r="N43">
        <f t="shared" ref="N43:N46" si="0">M43-(L43*M43)/100</f>
        <v>35.474914300000002</v>
      </c>
      <c r="O43">
        <f t="shared" ref="O43:O46" si="1">M43-N43</f>
        <v>14.525085699999998</v>
      </c>
      <c r="P43" s="7">
        <f t="shared" ref="P43:P46" si="2">O43/K43</f>
        <v>58.100342799999993</v>
      </c>
      <c r="Q43">
        <f t="shared" ref="Q43:Q46" si="3">1/N43</f>
        <v>2.8188933496591982E-2</v>
      </c>
      <c r="R43">
        <f t="shared" ref="R43:R46" si="4">1/P43</f>
        <v>1.72116024072753E-2</v>
      </c>
      <c r="S43">
        <f>N43/P43</f>
        <v>0.61058012036376497</v>
      </c>
      <c r="T43">
        <f t="shared" ref="T43:T46" si="5">1/N43</f>
        <v>2.8188933496591982E-2</v>
      </c>
      <c r="U43" s="6">
        <v>5</v>
      </c>
      <c r="V43" s="1">
        <v>98.897153119999999</v>
      </c>
      <c r="W43">
        <f t="shared" ref="W43:W46" si="6">U43</f>
        <v>5</v>
      </c>
      <c r="X43">
        <f t="shared" ref="X43:X46" si="7">W43-(V43*W43)/100</f>
        <v>5.5142344000000065E-2</v>
      </c>
      <c r="Y43">
        <f t="shared" ref="Y43:Y46" si="8">W43-X43</f>
        <v>4.9448576559999999</v>
      </c>
      <c r="Z43">
        <f t="shared" ref="Z43:Z46" si="9">Y43/0.25</f>
        <v>19.779430624</v>
      </c>
      <c r="AA43">
        <f t="shared" ref="AA43:AA46" si="10">X43/Z43</f>
        <v>2.7878630607845382E-3</v>
      </c>
      <c r="AB43">
        <v>0.25</v>
      </c>
    </row>
    <row r="44" spans="1:31" ht="15">
      <c r="A44">
        <v>60</v>
      </c>
      <c r="B44" t="s">
        <v>6</v>
      </c>
      <c r="C44">
        <v>0.5</v>
      </c>
      <c r="D44">
        <v>50</v>
      </c>
      <c r="E44">
        <v>6.56</v>
      </c>
      <c r="F44">
        <v>28.92180269</v>
      </c>
      <c r="K44" s="5">
        <v>0.5</v>
      </c>
      <c r="L44" s="2">
        <v>51.279680839999997</v>
      </c>
      <c r="M44">
        <v>50</v>
      </c>
      <c r="N44">
        <f t="shared" si="0"/>
        <v>24.360159580000001</v>
      </c>
      <c r="O44" s="7">
        <f t="shared" si="1"/>
        <v>25.639840419999999</v>
      </c>
      <c r="P44" s="7">
        <f t="shared" si="2"/>
        <v>51.279680839999997</v>
      </c>
      <c r="Q44">
        <f t="shared" si="3"/>
        <v>4.1050634201140974E-2</v>
      </c>
      <c r="R44">
        <f t="shared" si="4"/>
        <v>1.9500901402256077E-2</v>
      </c>
      <c r="S44">
        <f t="shared" ref="S44:S46" si="11">N44/P44</f>
        <v>0.47504507011280384</v>
      </c>
      <c r="T44">
        <f t="shared" si="5"/>
        <v>4.1050634201140974E-2</v>
      </c>
      <c r="U44" s="6">
        <v>10</v>
      </c>
      <c r="V44" s="1">
        <v>98.622675090000001</v>
      </c>
      <c r="W44">
        <f t="shared" si="6"/>
        <v>10</v>
      </c>
      <c r="X44">
        <f t="shared" si="7"/>
        <v>0.13773249099999951</v>
      </c>
      <c r="Y44">
        <f t="shared" si="8"/>
        <v>9.8622675090000005</v>
      </c>
      <c r="Z44">
        <f t="shared" si="9"/>
        <v>39.449070036000002</v>
      </c>
      <c r="AA44">
        <f t="shared" si="10"/>
        <v>3.4914001996576623E-3</v>
      </c>
      <c r="AB44">
        <v>0.25</v>
      </c>
    </row>
    <row r="45" spans="1:31" ht="15">
      <c r="A45">
        <v>60</v>
      </c>
      <c r="B45" t="s">
        <v>6</v>
      </c>
      <c r="C45">
        <v>1</v>
      </c>
      <c r="D45">
        <v>50</v>
      </c>
      <c r="E45">
        <v>6.56</v>
      </c>
      <c r="F45">
        <v>37.915350519999997</v>
      </c>
      <c r="K45" s="5">
        <v>1</v>
      </c>
      <c r="L45" s="2">
        <v>64.532647690000005</v>
      </c>
      <c r="M45">
        <v>50</v>
      </c>
      <c r="N45">
        <f t="shared" si="0"/>
        <v>17.733676154999998</v>
      </c>
      <c r="O45" s="7">
        <f t="shared" si="1"/>
        <v>32.266323845000002</v>
      </c>
      <c r="P45" s="7">
        <f t="shared" si="2"/>
        <v>32.266323845000002</v>
      </c>
      <c r="Q45">
        <f t="shared" si="3"/>
        <v>5.6389887311551624E-2</v>
      </c>
      <c r="R45">
        <f t="shared" si="4"/>
        <v>3.0992064816672948E-2</v>
      </c>
      <c r="S45">
        <f t="shared" si="11"/>
        <v>0.54960324083364742</v>
      </c>
      <c r="T45">
        <f t="shared" si="5"/>
        <v>5.6389887311551624E-2</v>
      </c>
      <c r="U45" s="6">
        <v>25</v>
      </c>
      <c r="V45" s="1">
        <v>91.30611562</v>
      </c>
      <c r="W45">
        <f t="shared" si="6"/>
        <v>25</v>
      </c>
      <c r="X45">
        <f t="shared" si="7"/>
        <v>2.173471095</v>
      </c>
      <c r="Y45">
        <f t="shared" si="8"/>
        <v>22.826528905</v>
      </c>
      <c r="Z45">
        <f t="shared" si="9"/>
        <v>91.30611562</v>
      </c>
      <c r="AA45">
        <f t="shared" si="10"/>
        <v>2.3804222534727078E-2</v>
      </c>
      <c r="AB45">
        <v>0.25</v>
      </c>
      <c r="AD45" t="s">
        <v>16</v>
      </c>
      <c r="AE45" t="s">
        <v>17</v>
      </c>
    </row>
    <row r="46" spans="1:31" ht="15">
      <c r="A46">
        <v>60</v>
      </c>
      <c r="B46" t="s">
        <v>6</v>
      </c>
      <c r="C46">
        <v>2.5</v>
      </c>
      <c r="D46">
        <v>50</v>
      </c>
      <c r="E46">
        <v>6.56</v>
      </c>
      <c r="F46">
        <v>52.059306059999997</v>
      </c>
      <c r="K46" s="5">
        <v>2.5</v>
      </c>
      <c r="L46" s="2">
        <v>92.753217469999996</v>
      </c>
      <c r="M46">
        <v>50</v>
      </c>
      <c r="N46">
        <f t="shared" si="0"/>
        <v>3.6233912650000022</v>
      </c>
      <c r="O46">
        <f t="shared" si="1"/>
        <v>46.376608734999998</v>
      </c>
      <c r="P46" s="7">
        <f t="shared" si="2"/>
        <v>18.550643493999999</v>
      </c>
      <c r="Q46">
        <f t="shared" si="3"/>
        <v>0.2759845478625117</v>
      </c>
      <c r="R46">
        <f t="shared" si="4"/>
        <v>5.390648579513907E-2</v>
      </c>
      <c r="S46">
        <f t="shared" si="11"/>
        <v>0.19532428975695362</v>
      </c>
      <c r="T46">
        <f t="shared" si="5"/>
        <v>0.2759845478625117</v>
      </c>
      <c r="U46" s="6">
        <v>50</v>
      </c>
      <c r="V46" s="1">
        <v>71.770039600000004</v>
      </c>
      <c r="W46">
        <f t="shared" si="6"/>
        <v>50</v>
      </c>
      <c r="X46">
        <f t="shared" si="7"/>
        <v>14.114980199999998</v>
      </c>
      <c r="Y46">
        <f t="shared" si="8"/>
        <v>35.885019800000002</v>
      </c>
      <c r="Z46">
        <f t="shared" si="9"/>
        <v>143.54007920000001</v>
      </c>
      <c r="AA46">
        <f t="shared" si="10"/>
        <v>9.8334766698387033E-2</v>
      </c>
      <c r="AB46">
        <v>0.25</v>
      </c>
      <c r="AD46" t="s">
        <v>18</v>
      </c>
      <c r="AE46">
        <f>1/0.0066</f>
        <v>151.51515151515153</v>
      </c>
    </row>
    <row r="47" spans="1:31">
      <c r="A47">
        <v>60</v>
      </c>
      <c r="B47" t="s">
        <v>6</v>
      </c>
      <c r="C47">
        <v>0.1</v>
      </c>
      <c r="D47">
        <v>50</v>
      </c>
      <c r="E47">
        <v>6.56</v>
      </c>
      <c r="F47">
        <v>27.516016870000001</v>
      </c>
    </row>
    <row r="48" spans="1:31">
      <c r="A48">
        <v>60</v>
      </c>
      <c r="B48" t="s">
        <v>6</v>
      </c>
      <c r="C48">
        <v>0.25</v>
      </c>
      <c r="D48">
        <v>50</v>
      </c>
      <c r="E48">
        <v>6.56</v>
      </c>
      <c r="F48">
        <v>30.978494489999999</v>
      </c>
    </row>
    <row r="49" spans="1:28">
      <c r="A49">
        <v>60</v>
      </c>
      <c r="B49" t="s">
        <v>6</v>
      </c>
      <c r="C49">
        <v>0.5</v>
      </c>
      <c r="D49">
        <v>50</v>
      </c>
      <c r="E49">
        <v>6.56</v>
      </c>
      <c r="F49">
        <v>29.083490940000001</v>
      </c>
      <c r="K49" t="s">
        <v>7</v>
      </c>
      <c r="T49" t="s">
        <v>22</v>
      </c>
      <c r="W49" t="s">
        <v>14</v>
      </c>
      <c r="X49" t="s">
        <v>15</v>
      </c>
    </row>
    <row r="50" spans="1:28" ht="15">
      <c r="A50">
        <v>60</v>
      </c>
      <c r="B50" t="s">
        <v>6</v>
      </c>
      <c r="C50">
        <v>1</v>
      </c>
      <c r="D50">
        <v>50</v>
      </c>
      <c r="E50">
        <v>6.56</v>
      </c>
      <c r="F50">
        <v>37.955975600000002</v>
      </c>
      <c r="K50" t="s">
        <v>2</v>
      </c>
      <c r="L50" t="s">
        <v>9</v>
      </c>
      <c r="M50" t="s">
        <v>11</v>
      </c>
      <c r="N50" t="s">
        <v>12</v>
      </c>
      <c r="O50" t="s">
        <v>13</v>
      </c>
      <c r="P50" t="s">
        <v>14</v>
      </c>
      <c r="T50" t="s">
        <v>23</v>
      </c>
      <c r="U50">
        <f xml:space="preserve"> 1.0266/0.0719</f>
        <v>14.278164116828927</v>
      </c>
      <c r="W50" s="7">
        <v>148.05247850000001</v>
      </c>
      <c r="X50">
        <v>0.1</v>
      </c>
    </row>
    <row r="51" spans="1:28" ht="15">
      <c r="A51">
        <v>60</v>
      </c>
      <c r="B51" t="s">
        <v>6</v>
      </c>
      <c r="C51">
        <v>2.5</v>
      </c>
      <c r="D51">
        <v>50</v>
      </c>
      <c r="E51">
        <v>6.56</v>
      </c>
      <c r="F51">
        <v>52.182121199999997</v>
      </c>
      <c r="K51" s="5">
        <v>0.1</v>
      </c>
      <c r="L51" s="2">
        <v>28.757089029999999</v>
      </c>
      <c r="M51">
        <v>50</v>
      </c>
      <c r="N51">
        <f>M51-(L51*M51)/100</f>
        <v>35.621455484999998</v>
      </c>
      <c r="O51">
        <f>M51-N51</f>
        <v>14.378544515000002</v>
      </c>
      <c r="P51">
        <f t="shared" ref="P51:P63" si="12">O51/K51</f>
        <v>143.78544515000002</v>
      </c>
      <c r="W51" s="7">
        <v>51.279680839999997</v>
      </c>
      <c r="X51">
        <v>0.5</v>
      </c>
    </row>
    <row r="52" spans="1:28" ht="15">
      <c r="A52">
        <v>5</v>
      </c>
      <c r="B52" t="s">
        <v>6</v>
      </c>
      <c r="C52">
        <v>0.5</v>
      </c>
      <c r="D52">
        <v>20</v>
      </c>
      <c r="E52">
        <v>6.56</v>
      </c>
      <c r="F52">
        <v>25.743548659999998</v>
      </c>
      <c r="K52" s="5">
        <v>0.25</v>
      </c>
      <c r="L52" s="2">
        <v>29.91789</v>
      </c>
      <c r="M52">
        <v>50</v>
      </c>
      <c r="N52">
        <f t="shared" ref="N52:N55" si="13">M52-(L52*M52)/100</f>
        <v>35.041055</v>
      </c>
      <c r="O52">
        <f t="shared" ref="O52:O55" si="14">M52-N52</f>
        <v>14.958945</v>
      </c>
      <c r="P52">
        <f t="shared" si="12"/>
        <v>59.83578</v>
      </c>
      <c r="S52" t="s">
        <v>13</v>
      </c>
      <c r="T52" s="7">
        <v>14.805247850000001</v>
      </c>
      <c r="U52" s="7">
        <v>25.639840419999999</v>
      </c>
      <c r="V52" s="7">
        <v>32.266323845000002</v>
      </c>
      <c r="W52" s="7">
        <v>32.266323845000002</v>
      </c>
      <c r="X52">
        <v>1</v>
      </c>
    </row>
    <row r="53" spans="1:28" ht="15">
      <c r="A53">
        <v>10</v>
      </c>
      <c r="B53" t="s">
        <v>6</v>
      </c>
      <c r="C53">
        <v>0.5</v>
      </c>
      <c r="D53">
        <v>20</v>
      </c>
      <c r="E53">
        <v>6.56</v>
      </c>
      <c r="F53">
        <v>27.01389824</v>
      </c>
      <c r="K53" s="5">
        <v>0.5</v>
      </c>
      <c r="L53" s="2">
        <v>46.760899850000001</v>
      </c>
      <c r="M53">
        <v>50</v>
      </c>
      <c r="N53">
        <f t="shared" si="13"/>
        <v>26.619550074999996</v>
      </c>
      <c r="O53">
        <f t="shared" si="14"/>
        <v>23.380449925000004</v>
      </c>
      <c r="P53">
        <f t="shared" si="12"/>
        <v>46.760899850000008</v>
      </c>
      <c r="S53" t="s">
        <v>10</v>
      </c>
      <c r="T53" s="7">
        <v>148.05247850000001</v>
      </c>
      <c r="U53" s="7">
        <v>51.279680839999997</v>
      </c>
      <c r="V53" s="7">
        <v>32.266323845000002</v>
      </c>
    </row>
    <row r="54" spans="1:28" ht="15">
      <c r="A54">
        <v>15</v>
      </c>
      <c r="B54" t="s">
        <v>6</v>
      </c>
      <c r="C54">
        <v>0.5</v>
      </c>
      <c r="D54">
        <v>20</v>
      </c>
      <c r="E54">
        <v>6.56</v>
      </c>
      <c r="F54">
        <v>31.114386710000002</v>
      </c>
      <c r="K54" s="5">
        <v>1</v>
      </c>
      <c r="L54" s="2">
        <v>55.972674920000003</v>
      </c>
      <c r="M54">
        <v>50</v>
      </c>
      <c r="N54">
        <f t="shared" si="13"/>
        <v>22.013662539999999</v>
      </c>
      <c r="O54">
        <f t="shared" si="14"/>
        <v>27.986337460000001</v>
      </c>
      <c r="P54">
        <f t="shared" si="12"/>
        <v>27.986337460000001</v>
      </c>
      <c r="T54" s="7"/>
      <c r="W54" s="7"/>
    </row>
    <row r="55" spans="1:28" ht="15">
      <c r="A55">
        <v>30</v>
      </c>
      <c r="B55" t="s">
        <v>6</v>
      </c>
      <c r="C55">
        <v>0.5</v>
      </c>
      <c r="D55">
        <v>20</v>
      </c>
      <c r="E55">
        <v>6.56</v>
      </c>
      <c r="F55">
        <v>37.906531180000002</v>
      </c>
      <c r="K55" s="5">
        <v>2.5</v>
      </c>
      <c r="L55" s="2">
        <v>83.819154080000004</v>
      </c>
      <c r="M55">
        <v>50</v>
      </c>
      <c r="N55">
        <f t="shared" si="13"/>
        <v>8.0904229599999979</v>
      </c>
      <c r="O55">
        <f t="shared" si="14"/>
        <v>41.909577040000002</v>
      </c>
      <c r="P55">
        <f t="shared" si="12"/>
        <v>16.763830816000002</v>
      </c>
      <c r="T55" s="7"/>
    </row>
    <row r="56" spans="1:28" ht="15">
      <c r="A56">
        <v>60</v>
      </c>
      <c r="B56" t="s">
        <v>6</v>
      </c>
      <c r="C56">
        <v>0.5</v>
      </c>
      <c r="D56">
        <v>20</v>
      </c>
      <c r="E56">
        <v>6.56</v>
      </c>
      <c r="F56">
        <v>41.27848805</v>
      </c>
      <c r="T56" s="7"/>
      <c r="W56" t="s">
        <v>13</v>
      </c>
      <c r="X56">
        <v>3.6233912650000022</v>
      </c>
      <c r="Y56">
        <v>17.733676154999998</v>
      </c>
      <c r="Z56">
        <v>24.360159580000001</v>
      </c>
      <c r="AA56">
        <v>35.474914300000002</v>
      </c>
      <c r="AB56">
        <v>35.194752149999999</v>
      </c>
    </row>
    <row r="57" spans="1:28" ht="15">
      <c r="A57">
        <v>90</v>
      </c>
      <c r="B57" t="s">
        <v>6</v>
      </c>
      <c r="C57">
        <v>0.5</v>
      </c>
      <c r="D57">
        <v>20</v>
      </c>
      <c r="E57">
        <v>6.56</v>
      </c>
      <c r="F57">
        <v>43.416405779999998</v>
      </c>
      <c r="K57" t="s">
        <v>6</v>
      </c>
      <c r="W57" t="s">
        <v>10</v>
      </c>
      <c r="X57" s="7">
        <v>18.550643493999999</v>
      </c>
      <c r="Y57" s="7">
        <v>32.266323845000002</v>
      </c>
      <c r="Z57" s="7">
        <v>51.279680839999997</v>
      </c>
      <c r="AA57" s="7">
        <v>58.100342799999993</v>
      </c>
      <c r="AB57" s="7">
        <v>148.05247850000001</v>
      </c>
    </row>
    <row r="58" spans="1:28">
      <c r="A58">
        <v>120</v>
      </c>
      <c r="B58" t="s">
        <v>6</v>
      </c>
      <c r="C58">
        <v>0.5</v>
      </c>
      <c r="D58">
        <v>20</v>
      </c>
      <c r="E58">
        <v>6.56</v>
      </c>
      <c r="F58">
        <v>45.212746090000003</v>
      </c>
      <c r="K58" t="s">
        <v>2</v>
      </c>
      <c r="L58" t="s">
        <v>9</v>
      </c>
      <c r="M58" t="s">
        <v>11</v>
      </c>
      <c r="N58" t="s">
        <v>12</v>
      </c>
      <c r="O58" t="s">
        <v>13</v>
      </c>
      <c r="P58" t="s">
        <v>14</v>
      </c>
      <c r="X58">
        <v>4</v>
      </c>
      <c r="Y58">
        <v>19.779430624</v>
      </c>
      <c r="Z58">
        <v>39.449070036000002</v>
      </c>
      <c r="AA58">
        <v>91.30611562</v>
      </c>
      <c r="AB58">
        <v>143.54007920000001</v>
      </c>
    </row>
    <row r="59" spans="1:28" ht="15">
      <c r="A59">
        <v>150</v>
      </c>
      <c r="B59" t="s">
        <v>6</v>
      </c>
      <c r="C59">
        <v>0.5</v>
      </c>
      <c r="D59">
        <v>20</v>
      </c>
      <c r="E59">
        <v>6.56</v>
      </c>
      <c r="F59">
        <v>42.384446799999999</v>
      </c>
      <c r="K59" s="5">
        <v>0.1</v>
      </c>
      <c r="L59" s="2">
        <v>27.516016870000001</v>
      </c>
      <c r="M59">
        <v>50</v>
      </c>
      <c r="N59">
        <f>M59-(L59*M59)/100</f>
        <v>36.241991564999999</v>
      </c>
      <c r="O59">
        <f>M59-N59</f>
        <v>13.758008435000001</v>
      </c>
      <c r="P59">
        <f t="shared" si="12"/>
        <v>137.58008434999999</v>
      </c>
    </row>
    <row r="60" spans="1:28" ht="15">
      <c r="A60">
        <v>30</v>
      </c>
      <c r="B60" t="s">
        <v>6</v>
      </c>
      <c r="C60">
        <v>0.5</v>
      </c>
      <c r="D60">
        <v>20</v>
      </c>
      <c r="E60">
        <v>2.27</v>
      </c>
      <c r="F60">
        <v>22.771672769999999</v>
      </c>
      <c r="K60" s="5">
        <v>0.25</v>
      </c>
      <c r="L60" s="2">
        <v>30.978494489999999</v>
      </c>
      <c r="M60">
        <v>50</v>
      </c>
      <c r="N60">
        <f t="shared" ref="N60:N63" si="15">M60-(L60*M60)/100</f>
        <v>34.510752754999999</v>
      </c>
      <c r="O60">
        <f t="shared" ref="O60:O63" si="16">M60-N60</f>
        <v>15.489247245000001</v>
      </c>
      <c r="P60">
        <f t="shared" si="12"/>
        <v>61.956988980000006</v>
      </c>
      <c r="V60" t="s">
        <v>13</v>
      </c>
      <c r="W60" t="s">
        <v>10</v>
      </c>
      <c r="X60" t="s">
        <v>15</v>
      </c>
      <c r="AA60">
        <v>4</v>
      </c>
    </row>
    <row r="61" spans="1:28" ht="15">
      <c r="A61">
        <v>30</v>
      </c>
      <c r="B61" t="s">
        <v>6</v>
      </c>
      <c r="C61">
        <v>0.5</v>
      </c>
      <c r="D61">
        <v>20</v>
      </c>
      <c r="E61">
        <v>3.34</v>
      </c>
      <c r="F61">
        <v>30.84230526</v>
      </c>
      <c r="K61" s="5">
        <v>0.5</v>
      </c>
      <c r="L61" s="2">
        <v>29.083490940000001</v>
      </c>
      <c r="M61">
        <v>50</v>
      </c>
      <c r="N61">
        <f t="shared" si="15"/>
        <v>35.458254529999998</v>
      </c>
      <c r="O61">
        <f t="shared" si="16"/>
        <v>14.541745470000002</v>
      </c>
      <c r="P61">
        <f t="shared" si="12"/>
        <v>29.083490940000004</v>
      </c>
      <c r="V61">
        <v>3.6233912650000022</v>
      </c>
      <c r="W61" s="7">
        <v>18.550643493999999</v>
      </c>
      <c r="X61">
        <f>V61/W61</f>
        <v>0.19532428975695362</v>
      </c>
      <c r="AA61">
        <v>19.779430624</v>
      </c>
    </row>
    <row r="62" spans="1:28" ht="15">
      <c r="A62">
        <v>30</v>
      </c>
      <c r="B62" t="s">
        <v>6</v>
      </c>
      <c r="C62">
        <v>0.5</v>
      </c>
      <c r="D62">
        <v>20</v>
      </c>
      <c r="E62">
        <v>4.53</v>
      </c>
      <c r="F62">
        <v>39.205590290000004</v>
      </c>
      <c r="K62" s="5">
        <v>1</v>
      </c>
      <c r="L62" s="2">
        <v>37.955975600000002</v>
      </c>
      <c r="M62">
        <v>50</v>
      </c>
      <c r="N62">
        <f t="shared" si="15"/>
        <v>31.022012199999999</v>
      </c>
      <c r="O62">
        <f t="shared" si="16"/>
        <v>18.977987800000001</v>
      </c>
      <c r="P62">
        <f t="shared" si="12"/>
        <v>18.977987800000001</v>
      </c>
      <c r="V62">
        <v>17.733676154999998</v>
      </c>
      <c r="W62" s="7">
        <v>32.266323845000002</v>
      </c>
      <c r="Z62">
        <f>1/0.0068</f>
        <v>147.05882352941177</v>
      </c>
      <c r="AA62">
        <v>39.449070036000002</v>
      </c>
    </row>
    <row r="63" spans="1:28" ht="15">
      <c r="A63">
        <v>30</v>
      </c>
      <c r="B63" t="s">
        <v>6</v>
      </c>
      <c r="C63">
        <v>0.5</v>
      </c>
      <c r="D63">
        <v>20</v>
      </c>
      <c r="E63">
        <v>7.32</v>
      </c>
      <c r="F63">
        <v>56.969919300000001</v>
      </c>
      <c r="K63" s="5">
        <v>2.5</v>
      </c>
      <c r="L63" s="2">
        <v>52.182121199999997</v>
      </c>
      <c r="M63">
        <v>50</v>
      </c>
      <c r="N63">
        <f t="shared" si="15"/>
        <v>23.908939399999998</v>
      </c>
      <c r="O63">
        <f t="shared" si="16"/>
        <v>26.091060600000002</v>
      </c>
      <c r="P63">
        <f t="shared" si="12"/>
        <v>10.436424240000001</v>
      </c>
      <c r="V63">
        <v>24.360159580000001</v>
      </c>
      <c r="W63" s="7">
        <v>51.279680839999997</v>
      </c>
      <c r="X63">
        <f t="shared" ref="X63:X65" si="17">V63/W63</f>
        <v>0.47504507011280384</v>
      </c>
      <c r="AA63">
        <v>91.30611562</v>
      </c>
    </row>
    <row r="64" spans="1:28" ht="15">
      <c r="A64">
        <v>30</v>
      </c>
      <c r="B64" t="s">
        <v>6</v>
      </c>
      <c r="C64">
        <v>0.5</v>
      </c>
      <c r="D64">
        <v>20</v>
      </c>
      <c r="E64">
        <v>8.26</v>
      </c>
      <c r="F64">
        <v>54.235946159999997</v>
      </c>
      <c r="V64">
        <v>35.474914300000002</v>
      </c>
      <c r="W64" s="7">
        <v>58.100342799999993</v>
      </c>
      <c r="X64">
        <f t="shared" si="17"/>
        <v>0.61058012036376497</v>
      </c>
      <c r="AA64">
        <v>143.54007920000001</v>
      </c>
    </row>
    <row r="65" spans="1:30" ht="15">
      <c r="A65">
        <v>30</v>
      </c>
      <c r="B65" t="s">
        <v>6</v>
      </c>
      <c r="C65">
        <v>0.5</v>
      </c>
      <c r="D65">
        <v>20</v>
      </c>
      <c r="E65">
        <v>9.2899999999999991</v>
      </c>
      <c r="F65">
        <v>58.782343990000001</v>
      </c>
      <c r="V65">
        <v>35.194752149999999</v>
      </c>
      <c r="W65" s="7">
        <v>148.05247850000001</v>
      </c>
      <c r="X65">
        <f t="shared" si="17"/>
        <v>0.23771808825206528</v>
      </c>
    </row>
    <row r="66" spans="1:30">
      <c r="A66">
        <v>30</v>
      </c>
      <c r="B66" t="s">
        <v>6</v>
      </c>
      <c r="C66">
        <v>0.5</v>
      </c>
      <c r="D66">
        <v>20</v>
      </c>
      <c r="E66">
        <v>10.69</v>
      </c>
      <c r="F66">
        <v>26.27474505</v>
      </c>
      <c r="K66" t="s">
        <v>8</v>
      </c>
    </row>
    <row r="67" spans="1:30">
      <c r="A67">
        <v>30</v>
      </c>
      <c r="B67" t="s">
        <v>6</v>
      </c>
      <c r="C67">
        <v>1</v>
      </c>
      <c r="D67">
        <v>1</v>
      </c>
      <c r="E67">
        <v>6.56</v>
      </c>
      <c r="F67">
        <v>100</v>
      </c>
      <c r="K67" t="s">
        <v>0</v>
      </c>
      <c r="L67" t="s">
        <v>9</v>
      </c>
      <c r="M67" t="s">
        <v>11</v>
      </c>
      <c r="N67" t="s">
        <v>12</v>
      </c>
      <c r="O67" t="s">
        <v>13</v>
      </c>
      <c r="P67" t="s">
        <v>14</v>
      </c>
      <c r="Q67" t="s">
        <v>20</v>
      </c>
      <c r="R67" t="s">
        <v>21</v>
      </c>
      <c r="S67" t="s">
        <v>24</v>
      </c>
    </row>
    <row r="68" spans="1:30" ht="15">
      <c r="A68">
        <v>30</v>
      </c>
      <c r="B68" t="s">
        <v>6</v>
      </c>
      <c r="C68">
        <v>1</v>
      </c>
      <c r="D68">
        <v>5</v>
      </c>
      <c r="E68">
        <v>6.56</v>
      </c>
      <c r="F68">
        <v>98.332905870000005</v>
      </c>
      <c r="K68" s="4">
        <v>5</v>
      </c>
      <c r="L68" s="3">
        <v>81.933749239999997</v>
      </c>
      <c r="M68">
        <v>50</v>
      </c>
      <c r="N68">
        <f>M68-(L68*M68)/100</f>
        <v>9.0331253800000013</v>
      </c>
      <c r="O68">
        <f>M68-N68</f>
        <v>40.966874619999999</v>
      </c>
      <c r="P68">
        <f>O68/0.5</f>
        <v>81.933749239999997</v>
      </c>
      <c r="Q68">
        <f>1/O68</f>
        <v>2.4409965594783273E-2</v>
      </c>
      <c r="R68">
        <f>1/P68</f>
        <v>1.2204982797391637E-2</v>
      </c>
      <c r="S68">
        <f>K68/P68</f>
        <v>6.1024913986958182E-2</v>
      </c>
      <c r="W68">
        <f>0.147/408</f>
        <v>3.6029411764705881E-4</v>
      </c>
    </row>
    <row r="69" spans="1:30" ht="15">
      <c r="A69">
        <v>30</v>
      </c>
      <c r="B69" t="s">
        <v>6</v>
      </c>
      <c r="C69">
        <v>1</v>
      </c>
      <c r="D69">
        <v>10</v>
      </c>
      <c r="E69">
        <v>6.56</v>
      </c>
      <c r="F69">
        <v>94.477560240000003</v>
      </c>
      <c r="K69" s="4">
        <v>10</v>
      </c>
      <c r="L69" s="3">
        <v>85.681508500000007</v>
      </c>
      <c r="M69">
        <v>50</v>
      </c>
      <c r="N69">
        <f t="shared" ref="N69:N75" si="18">M69-(L69*M69)/100</f>
        <v>7.1592457499999966</v>
      </c>
      <c r="O69">
        <f t="shared" ref="O69:O75" si="19">M69-N69</f>
        <v>42.840754250000003</v>
      </c>
      <c r="P69">
        <f t="shared" ref="P69:P75" si="20">O69/0.5</f>
        <v>85.681508500000007</v>
      </c>
      <c r="Q69">
        <f t="shared" ref="Q69:Q75" si="21">1/O69</f>
        <v>2.3342259432792313E-2</v>
      </c>
      <c r="R69">
        <f t="shared" ref="R69:R75" si="22">1/P69</f>
        <v>1.1671129716396157E-2</v>
      </c>
      <c r="S69">
        <f t="shared" ref="S69:S75" si="23">K69/P69</f>
        <v>0.11671129716396157</v>
      </c>
      <c r="W69">
        <f>W68*1000</f>
        <v>0.36029411764705882</v>
      </c>
    </row>
    <row r="70" spans="1:30" ht="15">
      <c r="A70">
        <v>30</v>
      </c>
      <c r="B70" t="s">
        <v>6</v>
      </c>
      <c r="C70">
        <v>1</v>
      </c>
      <c r="D70">
        <v>25</v>
      </c>
      <c r="E70">
        <v>6.56</v>
      </c>
      <c r="F70">
        <v>81.050441269999993</v>
      </c>
      <c r="K70" s="4">
        <v>15</v>
      </c>
      <c r="L70" s="3">
        <v>88.154488240000006</v>
      </c>
      <c r="M70">
        <v>50</v>
      </c>
      <c r="N70">
        <f t="shared" si="18"/>
        <v>5.9227558799999969</v>
      </c>
      <c r="O70">
        <f t="shared" si="19"/>
        <v>44.077244120000003</v>
      </c>
      <c r="P70">
        <f t="shared" si="20"/>
        <v>88.154488240000006</v>
      </c>
      <c r="Q70">
        <f t="shared" si="21"/>
        <v>2.2687443826512988E-2</v>
      </c>
      <c r="R70">
        <f t="shared" si="22"/>
        <v>1.1343721913256494E-2</v>
      </c>
      <c r="S70">
        <f t="shared" si="23"/>
        <v>0.17015582869884741</v>
      </c>
      <c r="W70" s="10"/>
    </row>
    <row r="71" spans="1:30" ht="15">
      <c r="A71">
        <v>30</v>
      </c>
      <c r="B71" t="s">
        <v>6</v>
      </c>
      <c r="C71">
        <v>1</v>
      </c>
      <c r="D71">
        <v>50</v>
      </c>
      <c r="E71">
        <v>6.56</v>
      </c>
      <c r="F71">
        <v>56.067580069999998</v>
      </c>
      <c r="K71" s="4">
        <v>30</v>
      </c>
      <c r="L71" s="3">
        <v>90.580732459999993</v>
      </c>
      <c r="M71">
        <v>50</v>
      </c>
      <c r="N71">
        <f t="shared" si="18"/>
        <v>4.7096337700000035</v>
      </c>
      <c r="O71">
        <f t="shared" si="19"/>
        <v>45.290366229999997</v>
      </c>
      <c r="P71">
        <f t="shared" si="20"/>
        <v>90.580732459999993</v>
      </c>
      <c r="Q71">
        <f t="shared" si="21"/>
        <v>2.2079750800019091E-2</v>
      </c>
      <c r="R71">
        <f t="shared" si="22"/>
        <v>1.1039875400009546E-2</v>
      </c>
      <c r="S71">
        <f t="shared" si="23"/>
        <v>0.33119626200028635</v>
      </c>
    </row>
    <row r="72" spans="1:30" ht="15">
      <c r="A72">
        <v>60</v>
      </c>
      <c r="B72" t="s">
        <v>7</v>
      </c>
      <c r="C72">
        <v>0.5</v>
      </c>
      <c r="D72">
        <v>20</v>
      </c>
      <c r="E72">
        <v>3.15</v>
      </c>
      <c r="F72">
        <v>28.90669591</v>
      </c>
      <c r="K72" s="4">
        <v>60</v>
      </c>
      <c r="L72" s="3">
        <v>92.518280410000003</v>
      </c>
      <c r="M72">
        <v>50</v>
      </c>
      <c r="N72">
        <f t="shared" si="18"/>
        <v>3.7408597949999987</v>
      </c>
      <c r="O72">
        <f t="shared" si="19"/>
        <v>46.259140205000001</v>
      </c>
      <c r="P72">
        <f t="shared" si="20"/>
        <v>92.518280410000003</v>
      </c>
      <c r="Q72">
        <f t="shared" si="21"/>
        <v>2.1617349470146728E-2</v>
      </c>
      <c r="R72">
        <f t="shared" si="22"/>
        <v>1.0808674735073364E-2</v>
      </c>
      <c r="S72">
        <f t="shared" si="23"/>
        <v>0.64852048410440188</v>
      </c>
    </row>
    <row r="73" spans="1:30" ht="15">
      <c r="A73">
        <v>60</v>
      </c>
      <c r="B73" t="s">
        <v>7</v>
      </c>
      <c r="C73">
        <v>0.5</v>
      </c>
      <c r="D73">
        <v>20</v>
      </c>
      <c r="E73">
        <v>4.95</v>
      </c>
      <c r="F73">
        <v>45.079503289999998</v>
      </c>
      <c r="K73" s="4">
        <v>90</v>
      </c>
      <c r="L73" s="3">
        <v>92.244777249999999</v>
      </c>
      <c r="M73">
        <v>50</v>
      </c>
      <c r="N73">
        <f t="shared" si="18"/>
        <v>3.8776113749999936</v>
      </c>
      <c r="O73">
        <f t="shared" si="19"/>
        <v>46.122388625000006</v>
      </c>
      <c r="P73">
        <f t="shared" si="20"/>
        <v>92.244777250000013</v>
      </c>
      <c r="Q73">
        <f t="shared" si="21"/>
        <v>2.1681444300956341E-2</v>
      </c>
      <c r="R73">
        <f t="shared" si="22"/>
        <v>1.084072215047817E-2</v>
      </c>
      <c r="S73">
        <f t="shared" si="23"/>
        <v>0.97566499354303537</v>
      </c>
    </row>
    <row r="74" spans="1:30" ht="15">
      <c r="A74">
        <v>60</v>
      </c>
      <c r="B74" t="s">
        <v>7</v>
      </c>
      <c r="C74">
        <v>0.5</v>
      </c>
      <c r="D74">
        <v>20</v>
      </c>
      <c r="E74">
        <v>7.56</v>
      </c>
      <c r="F74">
        <v>60.854687060000003</v>
      </c>
      <c r="K74" s="4">
        <v>120</v>
      </c>
      <c r="L74" s="3">
        <v>93.549665189999999</v>
      </c>
      <c r="M74">
        <v>50</v>
      </c>
      <c r="N74">
        <f t="shared" si="18"/>
        <v>3.2251674050000005</v>
      </c>
      <c r="O74">
        <f t="shared" si="19"/>
        <v>46.774832594999999</v>
      </c>
      <c r="P74">
        <f t="shared" si="20"/>
        <v>93.549665189999999</v>
      </c>
      <c r="Q74">
        <f t="shared" si="21"/>
        <v>2.1379018256644601E-2</v>
      </c>
      <c r="R74">
        <f t="shared" si="22"/>
        <v>1.0689509128322301E-2</v>
      </c>
      <c r="S74">
        <f t="shared" si="23"/>
        <v>1.2827410953986762</v>
      </c>
      <c r="V74" t="s">
        <v>25</v>
      </c>
      <c r="W74">
        <v>1.0699999999999999E-2</v>
      </c>
    </row>
    <row r="75" spans="1:30" ht="15">
      <c r="A75">
        <v>60</v>
      </c>
      <c r="B75" t="s">
        <v>7</v>
      </c>
      <c r="C75">
        <v>0.5</v>
      </c>
      <c r="D75">
        <v>20</v>
      </c>
      <c r="E75">
        <v>9.3000000000000007</v>
      </c>
      <c r="F75">
        <v>92.102698689999997</v>
      </c>
      <c r="K75" s="4">
        <v>150</v>
      </c>
      <c r="L75" s="3">
        <v>92.912600999999995</v>
      </c>
      <c r="M75">
        <v>50</v>
      </c>
      <c r="N75">
        <f t="shared" si="18"/>
        <v>3.5436995000000024</v>
      </c>
      <c r="O75">
        <f t="shared" si="19"/>
        <v>46.456300499999998</v>
      </c>
      <c r="P75">
        <f t="shared" si="20"/>
        <v>92.912600999999995</v>
      </c>
      <c r="Q75">
        <f t="shared" si="21"/>
        <v>2.1525605552684939E-2</v>
      </c>
      <c r="R75">
        <f t="shared" si="22"/>
        <v>1.076280277634247E-2</v>
      </c>
      <c r="S75">
        <f t="shared" si="23"/>
        <v>1.6144204164513702</v>
      </c>
      <c r="V75" t="s">
        <v>18</v>
      </c>
      <c r="W75">
        <f>1/W74</f>
        <v>93.45794392523365</v>
      </c>
    </row>
    <row r="76" spans="1:30">
      <c r="A76">
        <v>60</v>
      </c>
      <c r="B76" t="s">
        <v>7</v>
      </c>
      <c r="C76">
        <v>0.5</v>
      </c>
      <c r="D76">
        <v>20</v>
      </c>
      <c r="E76">
        <v>10.8</v>
      </c>
      <c r="F76">
        <v>27.585891879999998</v>
      </c>
      <c r="V76" t="s">
        <v>26</v>
      </c>
      <c r="W76">
        <f>W75*W75</f>
        <v>8734.3872827321175</v>
      </c>
    </row>
    <row r="77" spans="1:30">
      <c r="A77">
        <v>60</v>
      </c>
      <c r="B77" t="s">
        <v>7</v>
      </c>
      <c r="C77">
        <v>0.1</v>
      </c>
      <c r="D77">
        <v>50</v>
      </c>
      <c r="E77">
        <v>6.56</v>
      </c>
      <c r="F77">
        <v>28.320355540000001</v>
      </c>
      <c r="V77" t="s">
        <v>27</v>
      </c>
      <c r="W77">
        <f>1/(W76*0.0094)</f>
        <v>1.2179787234042552E-2</v>
      </c>
      <c r="AD77">
        <f>1/0.0066</f>
        <v>151.51515151515153</v>
      </c>
    </row>
    <row r="78" spans="1:30">
      <c r="A78">
        <v>60</v>
      </c>
      <c r="B78" t="s">
        <v>7</v>
      </c>
      <c r="C78">
        <v>0.25</v>
      </c>
      <c r="D78">
        <v>50</v>
      </c>
      <c r="E78">
        <v>6.56</v>
      </c>
      <c r="F78">
        <v>29.65945542</v>
      </c>
      <c r="M78" t="s">
        <v>29</v>
      </c>
      <c r="N78" t="s">
        <v>28</v>
      </c>
      <c r="O78" t="s">
        <v>9</v>
      </c>
      <c r="P78" t="s">
        <v>11</v>
      </c>
      <c r="Q78" t="s">
        <v>13</v>
      </c>
      <c r="R78" t="s">
        <v>30</v>
      </c>
      <c r="S78" t="s">
        <v>31</v>
      </c>
      <c r="T78" t="s">
        <v>15</v>
      </c>
      <c r="V78" t="s">
        <v>24</v>
      </c>
      <c r="AD78">
        <f>1/0.0028</f>
        <v>357.14285714285717</v>
      </c>
    </row>
    <row r="79" spans="1:30" ht="15">
      <c r="A79">
        <v>60</v>
      </c>
      <c r="B79" t="s">
        <v>7</v>
      </c>
      <c r="C79">
        <v>0.5</v>
      </c>
      <c r="D79">
        <v>50</v>
      </c>
      <c r="E79">
        <v>6.56</v>
      </c>
      <c r="F79">
        <v>46.905837560000002</v>
      </c>
      <c r="K79">
        <v>30</v>
      </c>
      <c r="L79" t="s">
        <v>8</v>
      </c>
      <c r="M79">
        <v>0.5</v>
      </c>
      <c r="N79" s="6">
        <v>1</v>
      </c>
      <c r="O79" s="1">
        <v>100</v>
      </c>
      <c r="P79">
        <f>N79</f>
        <v>1</v>
      </c>
      <c r="Q79">
        <f>P79-(O79*P79)/100</f>
        <v>0</v>
      </c>
      <c r="R79">
        <f>P79-Q79</f>
        <v>1</v>
      </c>
      <c r="S79">
        <f>R79/0.5</f>
        <v>2</v>
      </c>
      <c r="T79">
        <f>Q79/S79</f>
        <v>0</v>
      </c>
    </row>
    <row r="80" spans="1:30" ht="15">
      <c r="A80">
        <v>60</v>
      </c>
      <c r="B80" t="s">
        <v>7</v>
      </c>
      <c r="C80">
        <v>1</v>
      </c>
      <c r="D80">
        <v>50</v>
      </c>
      <c r="E80">
        <v>6.56</v>
      </c>
      <c r="F80">
        <v>55.851024760000001</v>
      </c>
      <c r="K80">
        <v>30</v>
      </c>
      <c r="L80" t="s">
        <v>8</v>
      </c>
      <c r="M80">
        <v>0.5</v>
      </c>
      <c r="N80" s="6">
        <v>5</v>
      </c>
      <c r="O80" s="1">
        <v>98.897153119999999</v>
      </c>
      <c r="P80">
        <f t="shared" ref="P80:P83" si="24">N80</f>
        <v>5</v>
      </c>
      <c r="Q80">
        <f t="shared" ref="Q80:Q83" si="25">P80-(O80*P80)/100</f>
        <v>5.5142344000000065E-2</v>
      </c>
      <c r="R80">
        <f t="shared" ref="R80:R83" si="26">P80-Q80</f>
        <v>4.9448576559999999</v>
      </c>
      <c r="S80">
        <f t="shared" ref="S80:S83" si="27">R80/0.5</f>
        <v>9.8897153119999999</v>
      </c>
      <c r="T80">
        <f t="shared" ref="T80:T83" si="28">Q80/S80</f>
        <v>5.5757261215690765E-3</v>
      </c>
    </row>
    <row r="81" spans="1:20" ht="15">
      <c r="A81">
        <v>60</v>
      </c>
      <c r="B81" t="s">
        <v>7</v>
      </c>
      <c r="C81">
        <v>2.5</v>
      </c>
      <c r="D81">
        <v>50</v>
      </c>
      <c r="E81">
        <v>6.56</v>
      </c>
      <c r="F81">
        <v>83.77163985</v>
      </c>
      <c r="K81">
        <v>30</v>
      </c>
      <c r="L81" t="s">
        <v>8</v>
      </c>
      <c r="M81">
        <v>0.5</v>
      </c>
      <c r="N81" s="6">
        <v>10</v>
      </c>
      <c r="O81" s="1">
        <v>98.622675090000001</v>
      </c>
      <c r="P81">
        <f t="shared" si="24"/>
        <v>10</v>
      </c>
      <c r="Q81">
        <f t="shared" si="25"/>
        <v>0.13773249099999951</v>
      </c>
      <c r="R81">
        <f t="shared" si="26"/>
        <v>9.8622675090000005</v>
      </c>
      <c r="S81">
        <f t="shared" si="27"/>
        <v>19.724535018000001</v>
      </c>
      <c r="T81">
        <f t="shared" si="28"/>
        <v>6.9828003993153247E-3</v>
      </c>
    </row>
    <row r="82" spans="1:20" ht="15">
      <c r="A82">
        <v>60</v>
      </c>
      <c r="B82" t="s">
        <v>7</v>
      </c>
      <c r="C82">
        <v>0.1</v>
      </c>
      <c r="D82">
        <v>50</v>
      </c>
      <c r="E82">
        <v>6.56</v>
      </c>
      <c r="F82">
        <v>28.757089029999999</v>
      </c>
      <c r="K82">
        <v>30</v>
      </c>
      <c r="L82" t="s">
        <v>8</v>
      </c>
      <c r="M82">
        <v>0.5</v>
      </c>
      <c r="N82" s="6">
        <v>25</v>
      </c>
      <c r="O82" s="1">
        <v>91.30611562</v>
      </c>
      <c r="P82">
        <f t="shared" si="24"/>
        <v>25</v>
      </c>
      <c r="Q82">
        <f t="shared" si="25"/>
        <v>2.173471095</v>
      </c>
      <c r="R82">
        <f t="shared" si="26"/>
        <v>22.826528905</v>
      </c>
      <c r="S82">
        <f t="shared" si="27"/>
        <v>45.65305781</v>
      </c>
      <c r="T82">
        <f t="shared" si="28"/>
        <v>4.7608445069454157E-2</v>
      </c>
    </row>
    <row r="83" spans="1:20" ht="15">
      <c r="A83">
        <v>60</v>
      </c>
      <c r="B83" t="s">
        <v>7</v>
      </c>
      <c r="C83">
        <v>0.25</v>
      </c>
      <c r="D83">
        <v>50</v>
      </c>
      <c r="E83">
        <v>6.56</v>
      </c>
      <c r="F83">
        <v>29.91789</v>
      </c>
      <c r="K83">
        <v>30</v>
      </c>
      <c r="L83" t="s">
        <v>8</v>
      </c>
      <c r="M83">
        <v>0.5</v>
      </c>
      <c r="N83" s="6">
        <v>50</v>
      </c>
      <c r="O83" s="1">
        <v>71.770039600000004</v>
      </c>
      <c r="P83">
        <f t="shared" si="24"/>
        <v>50</v>
      </c>
      <c r="Q83">
        <f t="shared" si="25"/>
        <v>14.114980199999998</v>
      </c>
      <c r="R83">
        <f t="shared" si="26"/>
        <v>35.885019800000002</v>
      </c>
      <c r="S83">
        <f t="shared" si="27"/>
        <v>71.770039600000004</v>
      </c>
      <c r="T83">
        <f t="shared" si="28"/>
        <v>0.19666953339677407</v>
      </c>
    </row>
    <row r="84" spans="1:20">
      <c r="A84">
        <v>60</v>
      </c>
      <c r="B84" t="s">
        <v>7</v>
      </c>
      <c r="C84">
        <v>0.5</v>
      </c>
      <c r="D84">
        <v>50</v>
      </c>
      <c r="E84">
        <v>6.56</v>
      </c>
      <c r="F84">
        <v>46.760899850000001</v>
      </c>
    </row>
    <row r="85" spans="1:20">
      <c r="A85">
        <v>60</v>
      </c>
      <c r="B85" t="s">
        <v>7</v>
      </c>
      <c r="C85">
        <v>1</v>
      </c>
      <c r="D85">
        <v>50</v>
      </c>
      <c r="E85">
        <v>6.56</v>
      </c>
      <c r="F85">
        <v>55.972674920000003</v>
      </c>
    </row>
    <row r="86" spans="1:20">
      <c r="A86">
        <v>60</v>
      </c>
      <c r="B86" t="s">
        <v>7</v>
      </c>
      <c r="C86">
        <v>2.5</v>
      </c>
      <c r="D86">
        <v>50</v>
      </c>
      <c r="E86">
        <v>6.56</v>
      </c>
      <c r="F86">
        <v>83.819154080000004</v>
      </c>
    </row>
    <row r="87" spans="1:20">
      <c r="A87">
        <v>5</v>
      </c>
      <c r="B87" t="s">
        <v>7</v>
      </c>
      <c r="C87">
        <v>0.5</v>
      </c>
      <c r="D87">
        <v>20</v>
      </c>
      <c r="E87">
        <v>6.56</v>
      </c>
      <c r="F87">
        <v>30.739232699999999</v>
      </c>
    </row>
    <row r="88" spans="1:20">
      <c r="A88">
        <v>10</v>
      </c>
      <c r="B88" t="s">
        <v>7</v>
      </c>
      <c r="C88">
        <v>0.5</v>
      </c>
      <c r="D88">
        <v>20</v>
      </c>
      <c r="E88">
        <v>6.56</v>
      </c>
      <c r="F88">
        <v>39.259904419999998</v>
      </c>
    </row>
    <row r="89" spans="1:20">
      <c r="A89">
        <v>15</v>
      </c>
      <c r="B89" t="s">
        <v>7</v>
      </c>
      <c r="C89">
        <v>0.5</v>
      </c>
      <c r="D89">
        <v>20</v>
      </c>
      <c r="E89">
        <v>6.56</v>
      </c>
      <c r="F89">
        <v>48.13331264</v>
      </c>
    </row>
    <row r="90" spans="1:20">
      <c r="A90">
        <v>30</v>
      </c>
      <c r="B90" t="s">
        <v>7</v>
      </c>
      <c r="C90">
        <v>0.5</v>
      </c>
      <c r="D90">
        <v>20</v>
      </c>
      <c r="E90">
        <v>6.56</v>
      </c>
      <c r="F90">
        <v>61.648708020000001</v>
      </c>
    </row>
    <row r="91" spans="1:20">
      <c r="A91">
        <v>60</v>
      </c>
      <c r="B91" t="s">
        <v>7</v>
      </c>
      <c r="C91">
        <v>0.5</v>
      </c>
      <c r="D91">
        <v>20</v>
      </c>
      <c r="E91">
        <v>6.56</v>
      </c>
      <c r="F91">
        <v>76.241481309999998</v>
      </c>
    </row>
    <row r="92" spans="1:20">
      <c r="A92">
        <v>90</v>
      </c>
      <c r="B92" t="s">
        <v>7</v>
      </c>
      <c r="C92">
        <v>0.5</v>
      </c>
      <c r="D92">
        <v>20</v>
      </c>
      <c r="E92">
        <v>6.56</v>
      </c>
      <c r="F92">
        <v>83.572573809999994</v>
      </c>
    </row>
    <row r="93" spans="1:20">
      <c r="A93">
        <v>120</v>
      </c>
      <c r="B93" t="s">
        <v>7</v>
      </c>
      <c r="C93">
        <v>0.5</v>
      </c>
      <c r="D93">
        <v>20</v>
      </c>
      <c r="E93">
        <v>6.56</v>
      </c>
      <c r="F93">
        <v>88.769582389999997</v>
      </c>
    </row>
    <row r="94" spans="1:20">
      <c r="A94">
        <v>150</v>
      </c>
      <c r="B94" t="s">
        <v>7</v>
      </c>
      <c r="C94">
        <v>0.5</v>
      </c>
      <c r="D94">
        <v>20</v>
      </c>
      <c r="E94">
        <v>6.56</v>
      </c>
      <c r="F94">
        <v>91.361498519999998</v>
      </c>
    </row>
    <row r="95" spans="1:20">
      <c r="A95">
        <v>30</v>
      </c>
      <c r="B95" t="s">
        <v>7</v>
      </c>
      <c r="C95">
        <v>0.5</v>
      </c>
      <c r="D95">
        <v>20</v>
      </c>
      <c r="E95">
        <v>2.27</v>
      </c>
      <c r="F95">
        <v>51.373626369999997</v>
      </c>
    </row>
    <row r="96" spans="1:20">
      <c r="A96">
        <v>30</v>
      </c>
      <c r="B96" t="s">
        <v>7</v>
      </c>
      <c r="C96">
        <v>0.5</v>
      </c>
      <c r="D96">
        <v>20</v>
      </c>
      <c r="E96">
        <v>3.34</v>
      </c>
      <c r="F96">
        <v>50.91830272</v>
      </c>
    </row>
    <row r="97" spans="1:6">
      <c r="A97">
        <v>30</v>
      </c>
      <c r="B97" t="s">
        <v>7</v>
      </c>
      <c r="C97">
        <v>0.5</v>
      </c>
      <c r="D97">
        <v>20</v>
      </c>
      <c r="E97">
        <v>4.53</v>
      </c>
      <c r="F97">
        <v>57.705038620000003</v>
      </c>
    </row>
    <row r="98" spans="1:6">
      <c r="A98">
        <v>30</v>
      </c>
      <c r="B98" t="s">
        <v>7</v>
      </c>
      <c r="C98">
        <v>0.5</v>
      </c>
      <c r="D98">
        <v>20</v>
      </c>
      <c r="E98">
        <v>7.32</v>
      </c>
      <c r="F98">
        <v>54.915627290000003</v>
      </c>
    </row>
    <row r="99" spans="1:6">
      <c r="A99">
        <v>30</v>
      </c>
      <c r="B99" t="s">
        <v>7</v>
      </c>
      <c r="C99">
        <v>0.5</v>
      </c>
      <c r="D99">
        <v>20</v>
      </c>
      <c r="E99">
        <v>8.26</v>
      </c>
      <c r="F99">
        <v>55.265241490000001</v>
      </c>
    </row>
    <row r="100" spans="1:6">
      <c r="A100">
        <v>30</v>
      </c>
      <c r="B100" t="s">
        <v>7</v>
      </c>
      <c r="C100">
        <v>0.5</v>
      </c>
      <c r="D100">
        <v>20</v>
      </c>
      <c r="E100">
        <v>9.2899999999999991</v>
      </c>
      <c r="F100">
        <v>67.184170469999998</v>
      </c>
    </row>
    <row r="101" spans="1:6">
      <c r="A101">
        <v>30</v>
      </c>
      <c r="B101" t="s">
        <v>7</v>
      </c>
      <c r="C101">
        <v>0.5</v>
      </c>
      <c r="D101">
        <v>20</v>
      </c>
      <c r="E101">
        <v>10.69</v>
      </c>
      <c r="F101">
        <v>21.47570486</v>
      </c>
    </row>
    <row r="102" spans="1:6">
      <c r="A102">
        <v>30</v>
      </c>
      <c r="B102" t="s">
        <v>7</v>
      </c>
      <c r="C102">
        <v>1</v>
      </c>
      <c r="D102">
        <v>1</v>
      </c>
      <c r="E102">
        <v>6.56</v>
      </c>
      <c r="F102">
        <v>100</v>
      </c>
    </row>
    <row r="103" spans="1:6">
      <c r="A103">
        <v>30</v>
      </c>
      <c r="B103" t="s">
        <v>7</v>
      </c>
      <c r="C103">
        <v>1</v>
      </c>
      <c r="D103">
        <v>5</v>
      </c>
      <c r="E103">
        <v>6.56</v>
      </c>
      <c r="F103">
        <v>98.874355249999994</v>
      </c>
    </row>
    <row r="104" spans="1:6">
      <c r="A104">
        <v>30</v>
      </c>
      <c r="B104" t="s">
        <v>7</v>
      </c>
      <c r="C104">
        <v>1</v>
      </c>
      <c r="D104">
        <v>10</v>
      </c>
      <c r="E104">
        <v>6.56</v>
      </c>
      <c r="F104">
        <v>95.982702810000006</v>
      </c>
    </row>
    <row r="105" spans="1:6">
      <c r="A105">
        <v>30</v>
      </c>
      <c r="B105" t="s">
        <v>7</v>
      </c>
      <c r="C105">
        <v>1</v>
      </c>
      <c r="D105">
        <v>25</v>
      </c>
      <c r="E105">
        <v>6.56</v>
      </c>
      <c r="F105">
        <v>88.917270569999999</v>
      </c>
    </row>
    <row r="106" spans="1:6">
      <c r="A106">
        <v>30</v>
      </c>
      <c r="B106" t="s">
        <v>7</v>
      </c>
      <c r="C106">
        <v>1</v>
      </c>
      <c r="D106">
        <v>50</v>
      </c>
      <c r="E106">
        <v>6.56</v>
      </c>
      <c r="F106">
        <v>62.130344950000001</v>
      </c>
    </row>
  </sheetData>
  <sortState ref="A2:F106">
    <sortCondition ref="B2:B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G1" workbookViewId="0">
      <selection activeCell="I13" sqref="I13"/>
    </sheetView>
  </sheetViews>
  <sheetFormatPr defaultRowHeight="14.25"/>
  <cols>
    <col min="25" max="25" width="12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4" t="s">
        <v>36</v>
      </c>
      <c r="L1" s="14"/>
      <c r="M1" s="14"/>
      <c r="N1" s="14"/>
      <c r="O1" s="14"/>
      <c r="P1" s="14"/>
      <c r="Q1" s="14"/>
      <c r="S1" s="14"/>
      <c r="T1" s="14"/>
      <c r="U1" s="14"/>
      <c r="V1" s="14"/>
      <c r="W1" s="14"/>
      <c r="X1" s="14"/>
      <c r="Y1" s="14"/>
      <c r="AA1" s="14"/>
      <c r="AB1" s="14"/>
      <c r="AC1" s="14"/>
      <c r="AD1" s="14"/>
      <c r="AE1" s="14"/>
      <c r="AF1" s="14"/>
      <c r="AG1" s="14"/>
    </row>
    <row r="2" spans="1:33">
      <c r="A2">
        <v>60</v>
      </c>
      <c r="B2" t="s">
        <v>8</v>
      </c>
      <c r="C2">
        <v>0.5</v>
      </c>
      <c r="D2">
        <v>20</v>
      </c>
      <c r="E2">
        <v>3.15</v>
      </c>
      <c r="F2">
        <v>24.02194304</v>
      </c>
      <c r="I2" t="s">
        <v>11</v>
      </c>
      <c r="J2" t="s">
        <v>29</v>
      </c>
      <c r="K2" t="s">
        <v>32</v>
      </c>
      <c r="L2" t="s">
        <v>13</v>
      </c>
      <c r="M2" t="s">
        <v>30</v>
      </c>
      <c r="N2" t="s">
        <v>33</v>
      </c>
      <c r="O2" t="s">
        <v>15</v>
      </c>
      <c r="P2" t="s">
        <v>34</v>
      </c>
      <c r="Q2" t="s">
        <v>35</v>
      </c>
      <c r="R2" t="s">
        <v>50</v>
      </c>
      <c r="S2" t="s">
        <v>10</v>
      </c>
      <c r="T2" t="s">
        <v>46</v>
      </c>
      <c r="U2">
        <f>1/0.0067</f>
        <v>149.25373134328359</v>
      </c>
      <c r="V2" t="s">
        <v>20</v>
      </c>
      <c r="W2" t="s">
        <v>21</v>
      </c>
      <c r="X2" t="s">
        <v>72</v>
      </c>
      <c r="Y2" t="s">
        <v>73</v>
      </c>
      <c r="Z2" t="s">
        <v>35</v>
      </c>
    </row>
    <row r="3" spans="1:33">
      <c r="A3">
        <v>60</v>
      </c>
      <c r="B3" t="s">
        <v>8</v>
      </c>
      <c r="C3">
        <v>0.5</v>
      </c>
      <c r="D3">
        <v>20</v>
      </c>
      <c r="E3">
        <v>4.95</v>
      </c>
      <c r="F3">
        <v>68.68804978</v>
      </c>
      <c r="I3">
        <v>1</v>
      </c>
      <c r="J3">
        <v>0.25</v>
      </c>
      <c r="K3">
        <v>100</v>
      </c>
      <c r="L3">
        <v>1E-3</v>
      </c>
      <c r="M3">
        <f>I3-L3</f>
        <v>0.999</v>
      </c>
      <c r="N3">
        <f>M3/J3</f>
        <v>3.996</v>
      </c>
      <c r="O3">
        <f>L3/N3</f>
        <v>2.5025025025025025E-4</v>
      </c>
      <c r="P3">
        <f>LN(L3)</f>
        <v>-6.9077552789821368</v>
      </c>
      <c r="Q3">
        <f>LN(N3)</f>
        <v>1.385293860786307</v>
      </c>
      <c r="R3">
        <f>N3/L3</f>
        <v>3996</v>
      </c>
      <c r="S3">
        <f>N3</f>
        <v>3.996</v>
      </c>
      <c r="T3" t="s">
        <v>54</v>
      </c>
      <c r="U3">
        <v>1.484</v>
      </c>
      <c r="V3">
        <f>1/L3</f>
        <v>1000</v>
      </c>
      <c r="W3">
        <f>1/N3</f>
        <v>0.25025025025025027</v>
      </c>
      <c r="X3">
        <f>293*8.314*LN(1+1/L3)</f>
        <v>16829.740459921435</v>
      </c>
      <c r="Y3">
        <f>X3^2</f>
        <v>283240163.94831657</v>
      </c>
      <c r="Z3">
        <v>1.385293860786307</v>
      </c>
    </row>
    <row r="4" spans="1:33">
      <c r="A4">
        <v>60</v>
      </c>
      <c r="B4" t="s">
        <v>8</v>
      </c>
      <c r="C4">
        <v>0.5</v>
      </c>
      <c r="D4">
        <v>20</v>
      </c>
      <c r="E4">
        <v>7.56</v>
      </c>
      <c r="F4">
        <v>89.47274195</v>
      </c>
      <c r="I4">
        <v>5</v>
      </c>
      <c r="J4">
        <v>0.25</v>
      </c>
      <c r="K4">
        <v>98.897153119999999</v>
      </c>
      <c r="L4">
        <f t="shared" ref="L4:L7" si="0">I4-(I4*K4)/100</f>
        <v>5.5142344000000065E-2</v>
      </c>
      <c r="M4">
        <f t="shared" ref="M4:M7" si="1">I4-L4</f>
        <v>4.9448576559999999</v>
      </c>
      <c r="N4">
        <f t="shared" ref="N4:N7" si="2">M4/J4</f>
        <v>19.779430624</v>
      </c>
      <c r="O4">
        <f t="shared" ref="O4:O7" si="3">L4/N4</f>
        <v>2.7878630607845382E-3</v>
      </c>
      <c r="P4">
        <f t="shared" ref="P4:P7" si="4">LN(L4)</f>
        <v>-2.8978373643153983</v>
      </c>
      <c r="Q4">
        <f t="shared" ref="Q4:Q7" si="5">LN(N4)</f>
        <v>2.9846425403404191</v>
      </c>
      <c r="R4">
        <f t="shared" ref="R4:R7" si="6">N4/L4</f>
        <v>358.6976756737069</v>
      </c>
      <c r="S4">
        <f t="shared" ref="S4:S7" si="7">N4</f>
        <v>19.779430624</v>
      </c>
      <c r="T4" t="s">
        <v>53</v>
      </c>
      <c r="U4">
        <f>1/(1+U3*5)</f>
        <v>0.11876484560570072</v>
      </c>
      <c r="V4">
        <f t="shared" ref="V4:V7" si="8">1/L4</f>
        <v>18.134883783685343</v>
      </c>
      <c r="W4">
        <f t="shared" ref="W4:W7" si="9">1/N4</f>
        <v>5.0557572612156911E-2</v>
      </c>
      <c r="X4">
        <f t="shared" ref="X4:X7" si="10">293*8.314*LN(1+1/L4)</f>
        <v>7189.8916815348848</v>
      </c>
      <c r="Y4">
        <f t="shared" ref="Y4:Y7" si="11">X4^2</f>
        <v>51694542.392204531</v>
      </c>
      <c r="Z4">
        <v>2.9846425403404191</v>
      </c>
    </row>
    <row r="5" spans="1:33">
      <c r="A5">
        <v>60</v>
      </c>
      <c r="B5" t="s">
        <v>8</v>
      </c>
      <c r="C5">
        <v>0.5</v>
      </c>
      <c r="D5">
        <v>20</v>
      </c>
      <c r="E5">
        <v>9.3000000000000007</v>
      </c>
      <c r="F5">
        <v>92.879359690000001</v>
      </c>
      <c r="I5">
        <v>10</v>
      </c>
      <c r="J5">
        <v>0.25</v>
      </c>
      <c r="K5">
        <v>98.622675090000001</v>
      </c>
      <c r="L5">
        <f t="shared" si="0"/>
        <v>0.13773249099999951</v>
      </c>
      <c r="M5">
        <f t="shared" si="1"/>
        <v>9.8622675090000005</v>
      </c>
      <c r="N5">
        <f t="shared" si="2"/>
        <v>39.449070036000002</v>
      </c>
      <c r="O5">
        <f t="shared" si="3"/>
        <v>3.4914001996576623E-3</v>
      </c>
      <c r="P5">
        <f t="shared" si="4"/>
        <v>-1.9824419461059459</v>
      </c>
      <c r="Q5">
        <f t="shared" si="5"/>
        <v>3.6750104737820912</v>
      </c>
      <c r="R5">
        <f t="shared" si="6"/>
        <v>286.41803941526143</v>
      </c>
      <c r="S5">
        <f t="shared" si="7"/>
        <v>39.449070036000002</v>
      </c>
      <c r="V5">
        <f t="shared" si="8"/>
        <v>7.260450985381536</v>
      </c>
      <c r="W5">
        <f t="shared" si="9"/>
        <v>2.5349140019965768E-2</v>
      </c>
      <c r="X5">
        <f t="shared" si="10"/>
        <v>5143.5675170261848</v>
      </c>
      <c r="Y5">
        <f t="shared" si="11"/>
        <v>26456286.802206911</v>
      </c>
      <c r="Z5">
        <v>3.6750104737820912</v>
      </c>
    </row>
    <row r="6" spans="1:33">
      <c r="A6">
        <v>60</v>
      </c>
      <c r="B6" t="s">
        <v>8</v>
      </c>
      <c r="C6">
        <v>0.5</v>
      </c>
      <c r="D6">
        <v>20</v>
      </c>
      <c r="E6">
        <v>10.8</v>
      </c>
      <c r="F6">
        <v>9.4449369749999992</v>
      </c>
      <c r="I6">
        <v>25</v>
      </c>
      <c r="J6">
        <v>0.25</v>
      </c>
      <c r="K6">
        <v>91.30611562</v>
      </c>
      <c r="L6">
        <f t="shared" si="0"/>
        <v>2.173471095</v>
      </c>
      <c r="M6">
        <f t="shared" si="1"/>
        <v>22.826528905</v>
      </c>
      <c r="N6">
        <f t="shared" si="2"/>
        <v>91.30611562</v>
      </c>
      <c r="O6">
        <f t="shared" si="3"/>
        <v>2.3804222534727078E-2</v>
      </c>
      <c r="P6">
        <f t="shared" si="4"/>
        <v>0.77632547253150241</v>
      </c>
      <c r="Q6">
        <f t="shared" si="5"/>
        <v>4.5142177691473133</v>
      </c>
      <c r="R6">
        <f t="shared" si="6"/>
        <v>42.009353531338313</v>
      </c>
      <c r="S6">
        <f t="shared" si="7"/>
        <v>91.30611562</v>
      </c>
      <c r="V6">
        <f t="shared" si="8"/>
        <v>0.46009353531338315</v>
      </c>
      <c r="W6">
        <f t="shared" si="9"/>
        <v>1.0952168901389083E-2</v>
      </c>
      <c r="X6">
        <f t="shared" si="10"/>
        <v>922.02797244634405</v>
      </c>
      <c r="Y6">
        <f t="shared" si="11"/>
        <v>850135.58197351615</v>
      </c>
      <c r="Z6">
        <v>4.5142177691473133</v>
      </c>
    </row>
    <row r="7" spans="1:33">
      <c r="A7">
        <v>60</v>
      </c>
      <c r="B7" t="s">
        <v>8</v>
      </c>
      <c r="C7">
        <v>0.1</v>
      </c>
      <c r="D7">
        <v>50</v>
      </c>
      <c r="E7">
        <v>6.56</v>
      </c>
      <c r="F7">
        <v>29.38735033</v>
      </c>
      <c r="I7">
        <v>50</v>
      </c>
      <c r="J7">
        <v>0.25</v>
      </c>
      <c r="K7">
        <v>71.770039600000004</v>
      </c>
      <c r="L7">
        <f t="shared" si="0"/>
        <v>14.114980199999998</v>
      </c>
      <c r="M7">
        <f t="shared" si="1"/>
        <v>35.885019800000002</v>
      </c>
      <c r="N7">
        <f t="shared" si="2"/>
        <v>143.54007920000001</v>
      </c>
      <c r="O7">
        <f t="shared" si="3"/>
        <v>9.8334766698387033E-2</v>
      </c>
      <c r="P7">
        <f t="shared" si="4"/>
        <v>2.6472366589414507</v>
      </c>
      <c r="Q7">
        <f t="shared" si="5"/>
        <v>4.9666142937643487</v>
      </c>
      <c r="R7">
        <f t="shared" si="6"/>
        <v>10.169343291037704</v>
      </c>
      <c r="S7">
        <f t="shared" si="7"/>
        <v>143.54007920000001</v>
      </c>
      <c r="V7">
        <f t="shared" si="8"/>
        <v>7.0846716455188516E-2</v>
      </c>
      <c r="W7">
        <f t="shared" si="9"/>
        <v>6.9666953339677408E-3</v>
      </c>
      <c r="X7">
        <f t="shared" si="10"/>
        <v>166.7435070323539</v>
      </c>
      <c r="Y7">
        <f t="shared" si="11"/>
        <v>27803.397137448657</v>
      </c>
      <c r="Z7">
        <v>4.9666142937643487</v>
      </c>
    </row>
    <row r="8" spans="1:33">
      <c r="A8">
        <v>60</v>
      </c>
      <c r="B8" t="s">
        <v>8</v>
      </c>
      <c r="C8">
        <v>0.25</v>
      </c>
      <c r="D8">
        <v>50</v>
      </c>
      <c r="E8">
        <v>6.56</v>
      </c>
      <c r="F8">
        <v>28.923639170000001</v>
      </c>
    </row>
    <row r="9" spans="1:33">
      <c r="A9">
        <v>60</v>
      </c>
      <c r="B9" t="s">
        <v>8</v>
      </c>
      <c r="C9">
        <v>0.5</v>
      </c>
      <c r="D9">
        <v>50</v>
      </c>
      <c r="E9">
        <v>6.56</v>
      </c>
      <c r="F9">
        <v>51.283087250000001</v>
      </c>
      <c r="I9" t="s">
        <v>55</v>
      </c>
      <c r="L9" t="s">
        <v>60</v>
      </c>
      <c r="P9" t="s">
        <v>64</v>
      </c>
      <c r="T9" t="s">
        <v>74</v>
      </c>
    </row>
    <row r="10" spans="1:33">
      <c r="A10">
        <v>60</v>
      </c>
      <c r="B10" t="s">
        <v>8</v>
      </c>
      <c r="C10">
        <v>1</v>
      </c>
      <c r="D10">
        <v>50</v>
      </c>
      <c r="E10">
        <v>6.56</v>
      </c>
      <c r="F10">
        <v>64.455544939999996</v>
      </c>
      <c r="H10" t="s">
        <v>18</v>
      </c>
      <c r="I10">
        <f>1/0.0067</f>
        <v>149.25373134328359</v>
      </c>
      <c r="J10" t="s">
        <v>59</v>
      </c>
      <c r="L10" t="s">
        <v>56</v>
      </c>
      <c r="M10">
        <v>0.96189999999999998</v>
      </c>
      <c r="O10" t="s">
        <v>56</v>
      </c>
      <c r="P10">
        <v>0.99209999999999998</v>
      </c>
      <c r="S10" t="s">
        <v>56</v>
      </c>
      <c r="T10">
        <v>0.95199999999999996</v>
      </c>
    </row>
    <row r="11" spans="1:33">
      <c r="A11">
        <v>60</v>
      </c>
      <c r="B11" t="s">
        <v>8</v>
      </c>
      <c r="C11">
        <v>2.5</v>
      </c>
      <c r="D11">
        <v>50</v>
      </c>
      <c r="E11">
        <v>6.56</v>
      </c>
      <c r="F11">
        <v>92.735497929999994</v>
      </c>
      <c r="H11" t="s">
        <v>56</v>
      </c>
      <c r="I11">
        <v>0.99490000000000001</v>
      </c>
      <c r="L11" t="s">
        <v>61</v>
      </c>
      <c r="M11">
        <f>EXP(4.1589)</f>
        <v>64.001082674138587</v>
      </c>
      <c r="N11" t="s">
        <v>63</v>
      </c>
      <c r="O11" t="s">
        <v>65</v>
      </c>
      <c r="P11">
        <v>21.766999999999999</v>
      </c>
      <c r="Q11" t="s">
        <v>67</v>
      </c>
      <c r="S11" s="11" t="s">
        <v>75</v>
      </c>
      <c r="T11" s="13">
        <v>3.3799999999999998E-8</v>
      </c>
      <c r="U11" t="s">
        <v>67</v>
      </c>
    </row>
    <row r="12" spans="1:33" ht="15">
      <c r="A12">
        <v>60</v>
      </c>
      <c r="B12" s="7" t="s">
        <v>8</v>
      </c>
      <c r="C12" s="5">
        <v>0.1</v>
      </c>
      <c r="D12">
        <v>50</v>
      </c>
      <c r="E12">
        <v>6.56</v>
      </c>
      <c r="F12" s="2">
        <v>29.610495700000001</v>
      </c>
      <c r="H12" t="s">
        <v>54</v>
      </c>
      <c r="I12">
        <f>0.0067/0.0045</f>
        <v>1.4888888888888892</v>
      </c>
      <c r="J12" t="s">
        <v>57</v>
      </c>
      <c r="L12" t="s">
        <v>62</v>
      </c>
      <c r="M12">
        <f>1/0.3399</f>
        <v>2.9420417769932334</v>
      </c>
      <c r="N12" t="s">
        <v>59</v>
      </c>
      <c r="O12" t="s">
        <v>66</v>
      </c>
      <c r="P12">
        <f>EXP(81.446/P11)</f>
        <v>42.170423740403244</v>
      </c>
      <c r="Q12" t="s">
        <v>68</v>
      </c>
      <c r="S12" t="s">
        <v>18</v>
      </c>
      <c r="T12">
        <f>EXP(4.7265)</f>
        <v>112.89972100687559</v>
      </c>
      <c r="U12" t="s">
        <v>77</v>
      </c>
    </row>
    <row r="13" spans="1:33" ht="15">
      <c r="A13">
        <v>60</v>
      </c>
      <c r="B13" s="7" t="s">
        <v>8</v>
      </c>
      <c r="C13" s="5">
        <v>0.25</v>
      </c>
      <c r="D13">
        <v>50</v>
      </c>
      <c r="E13">
        <v>6.56</v>
      </c>
      <c r="F13" s="2">
        <v>29.0501714</v>
      </c>
      <c r="H13" t="s">
        <v>53</v>
      </c>
      <c r="I13">
        <f>1/(1+(I12*1))</f>
        <v>0.4017857142857143</v>
      </c>
      <c r="J13" t="s">
        <v>58</v>
      </c>
      <c r="O13" t="s">
        <v>51</v>
      </c>
      <c r="P13">
        <f>8.314*293/P11</f>
        <v>111.91262002113291</v>
      </c>
      <c r="Q13" t="s">
        <v>69</v>
      </c>
      <c r="R13" t="s">
        <v>70</v>
      </c>
      <c r="S13" t="s">
        <v>76</v>
      </c>
      <c r="T13">
        <f>1/(2*T11)^0.5</f>
        <v>3846.1538461538466</v>
      </c>
      <c r="U13" s="12" t="s">
        <v>78</v>
      </c>
    </row>
    <row r="14" spans="1:33" ht="15">
      <c r="A14">
        <v>60</v>
      </c>
      <c r="B14" s="7" t="s">
        <v>8</v>
      </c>
      <c r="C14" s="5">
        <v>0.5</v>
      </c>
      <c r="D14">
        <v>50</v>
      </c>
      <c r="E14">
        <v>6.56</v>
      </c>
      <c r="F14" s="2">
        <v>51.279680839999997</v>
      </c>
      <c r="Q14" t="s">
        <v>71</v>
      </c>
      <c r="T14" t="s">
        <v>79</v>
      </c>
    </row>
    <row r="15" spans="1:33" ht="15">
      <c r="A15">
        <v>60</v>
      </c>
      <c r="B15" s="7" t="s">
        <v>8</v>
      </c>
      <c r="C15" s="5">
        <v>1</v>
      </c>
      <c r="D15">
        <v>50</v>
      </c>
      <c r="E15">
        <v>6.56</v>
      </c>
      <c r="F15" s="2">
        <v>64.532647690000005</v>
      </c>
    </row>
    <row r="16" spans="1:33" ht="15">
      <c r="A16">
        <v>60</v>
      </c>
      <c r="B16" s="7" t="s">
        <v>8</v>
      </c>
      <c r="C16" s="5">
        <v>2.5</v>
      </c>
      <c r="D16">
        <v>50</v>
      </c>
      <c r="E16">
        <v>6.56</v>
      </c>
      <c r="F16" s="2">
        <v>92.753217469999996</v>
      </c>
    </row>
    <row r="17" spans="1:30" ht="15">
      <c r="A17" s="4">
        <v>5</v>
      </c>
      <c r="B17" t="s">
        <v>8</v>
      </c>
      <c r="C17">
        <v>0.5</v>
      </c>
      <c r="D17">
        <v>20</v>
      </c>
      <c r="E17">
        <v>6.56</v>
      </c>
      <c r="F17" s="3">
        <v>81.933749239999997</v>
      </c>
    </row>
    <row r="18" spans="1:30" ht="15">
      <c r="A18" s="4">
        <v>10</v>
      </c>
      <c r="B18" t="s">
        <v>8</v>
      </c>
      <c r="C18">
        <v>0.5</v>
      </c>
      <c r="D18">
        <v>20</v>
      </c>
      <c r="E18">
        <v>6.56</v>
      </c>
      <c r="F18" s="3">
        <v>85.681508500000007</v>
      </c>
    </row>
    <row r="19" spans="1:30" ht="15">
      <c r="A19" s="4">
        <v>15</v>
      </c>
      <c r="B19" t="s">
        <v>8</v>
      </c>
      <c r="C19">
        <v>0.5</v>
      </c>
      <c r="D19">
        <v>20</v>
      </c>
      <c r="E19">
        <v>6.56</v>
      </c>
      <c r="F19" s="3">
        <v>88.154488240000006</v>
      </c>
    </row>
    <row r="20" spans="1:30" ht="15">
      <c r="A20" s="4">
        <v>30</v>
      </c>
      <c r="B20" t="s">
        <v>8</v>
      </c>
      <c r="C20">
        <v>0.5</v>
      </c>
      <c r="D20">
        <v>20</v>
      </c>
      <c r="E20">
        <v>6.56</v>
      </c>
      <c r="F20" s="3">
        <v>90.580732459999993</v>
      </c>
      <c r="AC20" t="s">
        <v>51</v>
      </c>
      <c r="AD20">
        <v>2.9752999999999998</v>
      </c>
    </row>
    <row r="21" spans="1:30" ht="15">
      <c r="A21" s="4">
        <v>60</v>
      </c>
      <c r="B21" t="s">
        <v>8</v>
      </c>
      <c r="C21">
        <v>0.5</v>
      </c>
      <c r="D21">
        <v>20</v>
      </c>
      <c r="E21">
        <v>6.56</v>
      </c>
      <c r="F21" s="3">
        <v>92.518280410000003</v>
      </c>
      <c r="I21" t="s">
        <v>38</v>
      </c>
      <c r="AC21" t="s">
        <v>52</v>
      </c>
      <c r="AD21">
        <f>393.06/AD20</f>
        <v>132.10768661983667</v>
      </c>
    </row>
    <row r="22" spans="1:30" ht="15">
      <c r="A22" s="4">
        <v>90</v>
      </c>
      <c r="B22" t="s">
        <v>8</v>
      </c>
      <c r="C22">
        <v>0.5</v>
      </c>
      <c r="D22">
        <v>20</v>
      </c>
      <c r="E22">
        <v>6.56</v>
      </c>
      <c r="F22" s="3">
        <v>92.244777249999999</v>
      </c>
      <c r="I22" t="s">
        <v>39</v>
      </c>
      <c r="J22" t="s">
        <v>40</v>
      </c>
      <c r="K22" t="s">
        <v>11</v>
      </c>
      <c r="L22" t="s">
        <v>13</v>
      </c>
      <c r="M22" t="s">
        <v>30</v>
      </c>
      <c r="N22" t="s">
        <v>41</v>
      </c>
      <c r="O22" t="s">
        <v>47</v>
      </c>
      <c r="P22" t="s">
        <v>42</v>
      </c>
      <c r="Q22" t="s">
        <v>43</v>
      </c>
      <c r="R22" t="s">
        <v>44</v>
      </c>
      <c r="S22" t="s">
        <v>45</v>
      </c>
      <c r="T22" t="s">
        <v>41</v>
      </c>
    </row>
    <row r="23" spans="1:30" ht="15">
      <c r="A23" s="4">
        <v>120</v>
      </c>
      <c r="B23" t="s">
        <v>8</v>
      </c>
      <c r="C23">
        <v>0.5</v>
      </c>
      <c r="D23">
        <v>20</v>
      </c>
      <c r="E23">
        <v>6.56</v>
      </c>
      <c r="F23" s="3">
        <v>93.549665189999999</v>
      </c>
      <c r="I23">
        <v>5</v>
      </c>
      <c r="J23">
        <v>81.933749239999997</v>
      </c>
      <c r="K23">
        <v>50</v>
      </c>
      <c r="L23">
        <f>K23-(J23*K23)/100</f>
        <v>9.0331253800000013</v>
      </c>
      <c r="M23">
        <f>K23-L23</f>
        <v>40.966874619999999</v>
      </c>
      <c r="N23">
        <f>M23/0.5</f>
        <v>81.933749239999997</v>
      </c>
      <c r="O23">
        <v>147.05879999999999</v>
      </c>
      <c r="P23">
        <f>O23-N23</f>
        <v>65.125050759999993</v>
      </c>
      <c r="Q23">
        <f>LN(P23)</f>
        <v>4.1763092794974117</v>
      </c>
      <c r="R23">
        <f>I23/N23</f>
        <v>6.1024913986958182E-2</v>
      </c>
      <c r="S23">
        <f>SQRT(I23)</f>
        <v>2.2360679774997898</v>
      </c>
      <c r="T23">
        <v>81.933749239999997</v>
      </c>
    </row>
    <row r="24" spans="1:30" ht="15">
      <c r="A24" s="4">
        <v>150</v>
      </c>
      <c r="B24" t="s">
        <v>8</v>
      </c>
      <c r="C24">
        <v>0.5</v>
      </c>
      <c r="D24">
        <v>20</v>
      </c>
      <c r="E24">
        <v>6.56</v>
      </c>
      <c r="F24" s="3">
        <v>92.912600999999995</v>
      </c>
      <c r="I24">
        <v>10</v>
      </c>
      <c r="J24">
        <v>85.681508500000007</v>
      </c>
      <c r="K24">
        <v>50</v>
      </c>
      <c r="L24">
        <f t="shared" ref="L24:L30" si="12">K24-(J24*K24)/100</f>
        <v>7.1592457499999966</v>
      </c>
      <c r="M24">
        <f t="shared" ref="M24:M30" si="13">K24-L24</f>
        <v>42.840754250000003</v>
      </c>
      <c r="N24">
        <f t="shared" ref="N24:N30" si="14">M24/0.5</f>
        <v>85.681508500000007</v>
      </c>
      <c r="O24">
        <v>147.05879999999999</v>
      </c>
      <c r="P24">
        <f t="shared" ref="P24:P30" si="15">O24-N24</f>
        <v>61.377291499999984</v>
      </c>
      <c r="Q24">
        <f t="shared" ref="Q24:Q30" si="16">LN(P24)</f>
        <v>4.1170399214665911</v>
      </c>
      <c r="R24">
        <f t="shared" ref="R24:R30" si="17">I24/N24</f>
        <v>0.11671129716396157</v>
      </c>
      <c r="S24">
        <f t="shared" ref="S24:S30" si="18">SQRT(I24)</f>
        <v>3.1622776601683795</v>
      </c>
      <c r="T24">
        <v>85.681508500000007</v>
      </c>
    </row>
    <row r="25" spans="1:30">
      <c r="A25">
        <v>30</v>
      </c>
      <c r="B25" t="s">
        <v>8</v>
      </c>
      <c r="C25">
        <v>0.5</v>
      </c>
      <c r="D25">
        <v>20</v>
      </c>
      <c r="E25">
        <v>2.27</v>
      </c>
      <c r="F25">
        <v>12.851037850000001</v>
      </c>
      <c r="I25">
        <v>15</v>
      </c>
      <c r="J25">
        <v>88.154488240000006</v>
      </c>
      <c r="K25">
        <v>50</v>
      </c>
      <c r="L25">
        <f t="shared" si="12"/>
        <v>5.9227558799999969</v>
      </c>
      <c r="M25">
        <f t="shared" si="13"/>
        <v>44.077244120000003</v>
      </c>
      <c r="N25">
        <f t="shared" si="14"/>
        <v>88.154488240000006</v>
      </c>
      <c r="O25">
        <v>147.05879999999999</v>
      </c>
      <c r="P25">
        <f t="shared" si="15"/>
        <v>58.904311759999985</v>
      </c>
      <c r="Q25">
        <f t="shared" si="16"/>
        <v>4.0759142927320235</v>
      </c>
      <c r="R25">
        <f t="shared" si="17"/>
        <v>0.17015582869884741</v>
      </c>
      <c r="S25">
        <f t="shared" si="18"/>
        <v>3.872983346207417</v>
      </c>
      <c r="T25">
        <v>88.154488240000006</v>
      </c>
      <c r="U25" t="s">
        <v>48</v>
      </c>
      <c r="V25">
        <f>1/0.01068</f>
        <v>93.63295880149812</v>
      </c>
    </row>
    <row r="26" spans="1:30">
      <c r="A26">
        <v>30</v>
      </c>
      <c r="B26" t="s">
        <v>8</v>
      </c>
      <c r="C26">
        <v>0.5</v>
      </c>
      <c r="D26">
        <v>20</v>
      </c>
      <c r="E26">
        <v>3.34</v>
      </c>
      <c r="F26">
        <v>27.517416090000001</v>
      </c>
      <c r="I26">
        <v>30</v>
      </c>
      <c r="J26">
        <v>90.580732459999993</v>
      </c>
      <c r="K26">
        <v>50</v>
      </c>
      <c r="L26">
        <f t="shared" si="12"/>
        <v>4.7096337700000035</v>
      </c>
      <c r="M26">
        <f t="shared" si="13"/>
        <v>45.290366229999997</v>
      </c>
      <c r="N26">
        <f t="shared" si="14"/>
        <v>90.580732459999993</v>
      </c>
      <c r="O26">
        <v>147.05879999999999</v>
      </c>
      <c r="P26">
        <f t="shared" si="15"/>
        <v>56.478067539999998</v>
      </c>
      <c r="Q26">
        <f t="shared" si="16"/>
        <v>4.0338523776562996</v>
      </c>
      <c r="R26">
        <f t="shared" si="17"/>
        <v>0.33119626200028635</v>
      </c>
      <c r="S26">
        <f t="shared" si="18"/>
        <v>5.4772255750516612</v>
      </c>
      <c r="T26">
        <v>90.580732459999993</v>
      </c>
      <c r="U26" t="s">
        <v>49</v>
      </c>
      <c r="V26">
        <f>EXP(4.1094)</f>
        <v>60.910160507295842</v>
      </c>
    </row>
    <row r="27" spans="1:30">
      <c r="A27">
        <v>30</v>
      </c>
      <c r="B27" t="s">
        <v>8</v>
      </c>
      <c r="C27">
        <v>0.5</v>
      </c>
      <c r="D27">
        <v>20</v>
      </c>
      <c r="E27">
        <v>4.53</v>
      </c>
      <c r="F27">
        <v>53.73299007</v>
      </c>
      <c r="I27">
        <v>60</v>
      </c>
      <c r="J27">
        <v>92.518280410000003</v>
      </c>
      <c r="K27">
        <v>50</v>
      </c>
      <c r="L27">
        <f t="shared" si="12"/>
        <v>3.7408597949999987</v>
      </c>
      <c r="M27">
        <f t="shared" si="13"/>
        <v>46.259140205000001</v>
      </c>
      <c r="N27">
        <f t="shared" si="14"/>
        <v>92.518280410000003</v>
      </c>
      <c r="O27">
        <v>147.05879999999999</v>
      </c>
      <c r="P27">
        <f t="shared" si="15"/>
        <v>54.540519589999988</v>
      </c>
      <c r="Q27">
        <f t="shared" si="16"/>
        <v>3.9989439041414063</v>
      </c>
      <c r="R27">
        <f t="shared" si="17"/>
        <v>0.64852048410440188</v>
      </c>
      <c r="S27">
        <f t="shared" si="18"/>
        <v>7.745966692414834</v>
      </c>
      <c r="T27">
        <v>92.518280410000003</v>
      </c>
    </row>
    <row r="28" spans="1:30">
      <c r="A28">
        <v>30</v>
      </c>
      <c r="B28" t="s">
        <v>8</v>
      </c>
      <c r="C28">
        <v>0.5</v>
      </c>
      <c r="D28">
        <v>20</v>
      </c>
      <c r="E28">
        <v>7.32</v>
      </c>
      <c r="F28">
        <v>46.918562000000001</v>
      </c>
      <c r="I28">
        <v>90</v>
      </c>
      <c r="J28">
        <v>92.244777249999999</v>
      </c>
      <c r="K28">
        <v>50</v>
      </c>
      <c r="L28">
        <f t="shared" si="12"/>
        <v>3.8776113749999936</v>
      </c>
      <c r="M28">
        <f t="shared" si="13"/>
        <v>46.122388625000006</v>
      </c>
      <c r="N28">
        <f t="shared" si="14"/>
        <v>92.244777250000013</v>
      </c>
      <c r="O28">
        <v>147.05879999999999</v>
      </c>
      <c r="P28">
        <f t="shared" si="15"/>
        <v>54.814022749999978</v>
      </c>
      <c r="Q28">
        <f t="shared" si="16"/>
        <v>4.0039460508183504</v>
      </c>
      <c r="R28">
        <f t="shared" si="17"/>
        <v>0.97566499354303537</v>
      </c>
      <c r="S28">
        <f t="shared" si="18"/>
        <v>9.4868329805051381</v>
      </c>
      <c r="T28">
        <v>92.244777250000013</v>
      </c>
    </row>
    <row r="29" spans="1:30">
      <c r="A29">
        <v>30</v>
      </c>
      <c r="B29" t="s">
        <v>8</v>
      </c>
      <c r="C29">
        <v>0.5</v>
      </c>
      <c r="D29">
        <v>20</v>
      </c>
      <c r="E29">
        <v>8.26</v>
      </c>
      <c r="F29">
        <v>47.94140934</v>
      </c>
      <c r="I29">
        <v>120</v>
      </c>
      <c r="J29">
        <v>93.549665189999999</v>
      </c>
      <c r="K29">
        <v>50</v>
      </c>
      <c r="L29">
        <f t="shared" si="12"/>
        <v>3.2251674050000005</v>
      </c>
      <c r="M29">
        <f t="shared" si="13"/>
        <v>46.774832594999999</v>
      </c>
      <c r="N29">
        <f t="shared" si="14"/>
        <v>93.549665189999999</v>
      </c>
      <c r="O29">
        <v>147.05879999999999</v>
      </c>
      <c r="P29">
        <f t="shared" si="15"/>
        <v>53.509134809999992</v>
      </c>
      <c r="Q29">
        <f t="shared" si="16"/>
        <v>3.9798523834389932</v>
      </c>
      <c r="R29">
        <f t="shared" si="17"/>
        <v>1.2827410953986762</v>
      </c>
      <c r="S29">
        <f t="shared" si="18"/>
        <v>10.954451150103322</v>
      </c>
      <c r="T29">
        <v>93.549665189999999</v>
      </c>
    </row>
    <row r="30" spans="1:30">
      <c r="A30">
        <v>30</v>
      </c>
      <c r="B30" t="s">
        <v>8</v>
      </c>
      <c r="C30">
        <v>0.5</v>
      </c>
      <c r="D30">
        <v>20</v>
      </c>
      <c r="E30">
        <v>9.2899999999999991</v>
      </c>
      <c r="F30">
        <v>57.321156770000002</v>
      </c>
      <c r="I30">
        <v>150</v>
      </c>
      <c r="J30">
        <v>92.912600999999995</v>
      </c>
      <c r="K30">
        <v>50</v>
      </c>
      <c r="L30">
        <f t="shared" si="12"/>
        <v>3.5436995000000024</v>
      </c>
      <c r="M30">
        <f t="shared" si="13"/>
        <v>46.456300499999998</v>
      </c>
      <c r="N30">
        <f t="shared" si="14"/>
        <v>92.912600999999995</v>
      </c>
      <c r="O30">
        <v>147.05879999999999</v>
      </c>
      <c r="P30">
        <f t="shared" si="15"/>
        <v>54.146198999999996</v>
      </c>
      <c r="Q30">
        <f t="shared" si="16"/>
        <v>3.991687777077475</v>
      </c>
      <c r="R30">
        <f t="shared" si="17"/>
        <v>1.6144204164513702</v>
      </c>
      <c r="S30">
        <f t="shared" si="18"/>
        <v>12.24744871391589</v>
      </c>
      <c r="T30">
        <v>92.912600999999995</v>
      </c>
    </row>
    <row r="31" spans="1:30">
      <c r="A31">
        <v>30</v>
      </c>
      <c r="B31" t="s">
        <v>8</v>
      </c>
      <c r="C31">
        <v>0.5</v>
      </c>
      <c r="D31">
        <v>20</v>
      </c>
      <c r="E31">
        <v>10.69</v>
      </c>
      <c r="F31">
        <v>24.715056990000001</v>
      </c>
    </row>
    <row r="32" spans="1:30" ht="15">
      <c r="A32">
        <v>30</v>
      </c>
      <c r="B32" t="s">
        <v>8</v>
      </c>
      <c r="C32">
        <v>1</v>
      </c>
      <c r="D32" s="6">
        <v>1</v>
      </c>
      <c r="E32">
        <v>6.56</v>
      </c>
      <c r="F32" s="1">
        <v>100</v>
      </c>
    </row>
    <row r="33" spans="1:18" ht="15">
      <c r="A33">
        <v>30</v>
      </c>
      <c r="B33" t="s">
        <v>8</v>
      </c>
      <c r="C33">
        <v>1</v>
      </c>
      <c r="D33" s="6">
        <v>5</v>
      </c>
      <c r="E33">
        <v>6.56</v>
      </c>
      <c r="F33" s="1">
        <v>98.897153119999999</v>
      </c>
    </row>
    <row r="34" spans="1:18" ht="15">
      <c r="A34">
        <v>30</v>
      </c>
      <c r="B34" t="s">
        <v>8</v>
      </c>
      <c r="C34">
        <v>1</v>
      </c>
      <c r="D34" s="6">
        <v>10</v>
      </c>
      <c r="E34">
        <v>6.56</v>
      </c>
      <c r="F34" s="1">
        <v>98.622675090000001</v>
      </c>
      <c r="I34" t="s">
        <v>80</v>
      </c>
      <c r="J34">
        <v>0</v>
      </c>
      <c r="K34">
        <v>5</v>
      </c>
      <c r="L34">
        <v>10</v>
      </c>
      <c r="M34">
        <v>15</v>
      </c>
      <c r="N34">
        <v>30</v>
      </c>
      <c r="O34">
        <v>60</v>
      </c>
      <c r="P34">
        <v>90</v>
      </c>
      <c r="Q34">
        <v>120</v>
      </c>
      <c r="R34">
        <v>150</v>
      </c>
    </row>
    <row r="35" spans="1:18" ht="15">
      <c r="A35">
        <v>30</v>
      </c>
      <c r="B35" t="s">
        <v>8</v>
      </c>
      <c r="C35">
        <v>1</v>
      </c>
      <c r="D35" s="6">
        <v>25</v>
      </c>
      <c r="E35">
        <v>6.56</v>
      </c>
      <c r="F35" s="1">
        <v>91.30611562</v>
      </c>
      <c r="I35" t="s">
        <v>41</v>
      </c>
      <c r="J35">
        <v>0</v>
      </c>
      <c r="K35">
        <v>81.933749239999997</v>
      </c>
      <c r="L35">
        <v>85.681508500000007</v>
      </c>
      <c r="M35">
        <v>88.154488240000006</v>
      </c>
      <c r="N35">
        <v>90.580732459999993</v>
      </c>
      <c r="O35">
        <v>92.518280410000003</v>
      </c>
      <c r="P35">
        <v>92.244777250000013</v>
      </c>
      <c r="Q35">
        <v>93.549665189999999</v>
      </c>
      <c r="R35">
        <v>92.912600999999995</v>
      </c>
    </row>
    <row r="36" spans="1:18" ht="15">
      <c r="A36">
        <v>30</v>
      </c>
      <c r="B36" t="s">
        <v>8</v>
      </c>
      <c r="C36">
        <v>1</v>
      </c>
      <c r="D36" s="6">
        <v>50</v>
      </c>
      <c r="E36">
        <v>6.56</v>
      </c>
      <c r="F36" s="1">
        <v>71.770039600000004</v>
      </c>
    </row>
  </sheetData>
  <mergeCells count="3">
    <mergeCell ref="K1:Q1"/>
    <mergeCell ref="S1:Y1"/>
    <mergeCell ref="AA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C1" workbookViewId="0">
      <selection activeCell="H10" sqref="H10:M15"/>
    </sheetView>
  </sheetViews>
  <sheetFormatPr defaultRowHeight="14.2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4" t="s">
        <v>6</v>
      </c>
      <c r="M1" s="14"/>
      <c r="N1" s="14"/>
      <c r="O1" s="14"/>
      <c r="P1" s="14"/>
      <c r="Q1" s="14"/>
      <c r="R1" s="14"/>
    </row>
    <row r="2" spans="1:23">
      <c r="A2">
        <v>60</v>
      </c>
      <c r="B2" t="s">
        <v>6</v>
      </c>
      <c r="C2">
        <v>0.5</v>
      </c>
      <c r="D2">
        <v>20</v>
      </c>
      <c r="E2">
        <v>3.15</v>
      </c>
      <c r="F2">
        <v>16.173510759999999</v>
      </c>
      <c r="J2" t="s">
        <v>11</v>
      </c>
      <c r="K2" t="s">
        <v>29</v>
      </c>
      <c r="L2" t="s">
        <v>32</v>
      </c>
      <c r="M2" t="s">
        <v>13</v>
      </c>
      <c r="N2" t="s">
        <v>30</v>
      </c>
      <c r="O2" t="s">
        <v>33</v>
      </c>
      <c r="P2" t="s">
        <v>15</v>
      </c>
      <c r="Q2" t="s">
        <v>34</v>
      </c>
      <c r="R2" t="s">
        <v>35</v>
      </c>
      <c r="S2" t="s">
        <v>50</v>
      </c>
      <c r="T2" t="s">
        <v>10</v>
      </c>
    </row>
    <row r="3" spans="1:23">
      <c r="A3">
        <v>60</v>
      </c>
      <c r="B3" t="s">
        <v>6</v>
      </c>
      <c r="C3">
        <v>0.5</v>
      </c>
      <c r="D3">
        <v>20</v>
      </c>
      <c r="E3">
        <v>4.95</v>
      </c>
      <c r="F3">
        <v>39.461475210000003</v>
      </c>
      <c r="J3">
        <v>1</v>
      </c>
      <c r="K3">
        <v>0.25</v>
      </c>
      <c r="L3">
        <v>100</v>
      </c>
      <c r="M3">
        <v>1E-3</v>
      </c>
      <c r="N3">
        <f>J3-M3</f>
        <v>0.999</v>
      </c>
      <c r="O3">
        <f>N3/K3</f>
        <v>3.996</v>
      </c>
      <c r="P3">
        <f>M3/O3</f>
        <v>2.5025025025025025E-4</v>
      </c>
      <c r="Q3">
        <f>LN(M3)</f>
        <v>-6.9077552789821368</v>
      </c>
      <c r="R3">
        <f>LN(O3)</f>
        <v>1.385293860786307</v>
      </c>
      <c r="S3">
        <f>O3/M3</f>
        <v>3996</v>
      </c>
      <c r="T3">
        <f>O3</f>
        <v>3.996</v>
      </c>
    </row>
    <row r="4" spans="1:23">
      <c r="A4">
        <v>60</v>
      </c>
      <c r="B4" t="s">
        <v>6</v>
      </c>
      <c r="C4">
        <v>0.5</v>
      </c>
      <c r="D4">
        <v>20</v>
      </c>
      <c r="E4">
        <v>7.56</v>
      </c>
      <c r="F4">
        <v>68.610607430000002</v>
      </c>
      <c r="J4">
        <v>5</v>
      </c>
      <c r="K4">
        <v>0.25</v>
      </c>
      <c r="L4">
        <v>98.332905870000005</v>
      </c>
      <c r="M4">
        <f t="shared" ref="M4:M7" si="0">J4-(J4*L4)/100</f>
        <v>8.3354706499999764E-2</v>
      </c>
      <c r="N4">
        <f t="shared" ref="N4:N7" si="1">J4-M4</f>
        <v>4.9166452935000002</v>
      </c>
      <c r="O4">
        <f t="shared" ref="O4:O7" si="2">N4/K4</f>
        <v>19.666581174000001</v>
      </c>
      <c r="P4">
        <f t="shared" ref="P4:P7" si="3">M4/O4</f>
        <v>4.2383933314346462E-3</v>
      </c>
      <c r="Q4">
        <f t="shared" ref="Q4:Q7" si="4">LN(M4)</f>
        <v>-2.4846502046728625</v>
      </c>
      <c r="R4">
        <f t="shared" ref="R4:R7" si="5">LN(O4)</f>
        <v>2.9789208081434153</v>
      </c>
      <c r="S4">
        <f t="shared" ref="S4:S7" si="6">O4/M4</f>
        <v>235.93846106338407</v>
      </c>
      <c r="T4">
        <f t="shared" ref="T4:T7" si="7">O4</f>
        <v>19.666581174000001</v>
      </c>
      <c r="V4" t="s">
        <v>18</v>
      </c>
      <c r="W4">
        <f>1/0.0087</f>
        <v>114.94252873563219</v>
      </c>
    </row>
    <row r="5" spans="1:23">
      <c r="A5">
        <v>60</v>
      </c>
      <c r="B5" t="s">
        <v>6</v>
      </c>
      <c r="C5">
        <v>0.5</v>
      </c>
      <c r="D5">
        <v>20</v>
      </c>
      <c r="E5">
        <v>9.3000000000000007</v>
      </c>
      <c r="F5">
        <v>94.011599950000004</v>
      </c>
      <c r="J5">
        <v>10</v>
      </c>
      <c r="K5">
        <v>0.25</v>
      </c>
      <c r="L5">
        <v>94.477560240000003</v>
      </c>
      <c r="M5">
        <f t="shared" si="0"/>
        <v>0.55224397599999975</v>
      </c>
      <c r="N5">
        <f t="shared" si="1"/>
        <v>9.4477560240000003</v>
      </c>
      <c r="O5">
        <f t="shared" si="2"/>
        <v>37.791024096000001</v>
      </c>
      <c r="P5">
        <f t="shared" si="3"/>
        <v>1.4613098988721296E-2</v>
      </c>
      <c r="Q5">
        <f t="shared" si="4"/>
        <v>-0.59376534484461885</v>
      </c>
      <c r="R5">
        <f t="shared" si="5"/>
        <v>3.6320716166502023</v>
      </c>
      <c r="S5">
        <f t="shared" si="6"/>
        <v>68.431754330263658</v>
      </c>
      <c r="T5">
        <f t="shared" si="7"/>
        <v>37.791024096000001</v>
      </c>
    </row>
    <row r="6" spans="1:23">
      <c r="A6">
        <v>60</v>
      </c>
      <c r="B6" t="s">
        <v>6</v>
      </c>
      <c r="C6">
        <v>0.5</v>
      </c>
      <c r="D6">
        <v>20</v>
      </c>
      <c r="E6">
        <v>10.8</v>
      </c>
      <c r="F6">
        <v>13.99143239</v>
      </c>
      <c r="J6">
        <v>25</v>
      </c>
      <c r="K6">
        <v>0.25</v>
      </c>
      <c r="L6">
        <v>81.050441269999993</v>
      </c>
      <c r="M6">
        <f t="shared" si="0"/>
        <v>4.7373896825000017</v>
      </c>
      <c r="N6">
        <f t="shared" si="1"/>
        <v>20.262610317499998</v>
      </c>
      <c r="O6">
        <f t="shared" si="2"/>
        <v>81.050441269999993</v>
      </c>
      <c r="P6">
        <f t="shared" si="3"/>
        <v>5.8449893773169365E-2</v>
      </c>
      <c r="Q6">
        <f t="shared" si="4"/>
        <v>1.5554862841215904</v>
      </c>
      <c r="R6">
        <f t="shared" si="5"/>
        <v>4.3950716925838904</v>
      </c>
      <c r="S6">
        <f t="shared" si="6"/>
        <v>17.108670956371121</v>
      </c>
      <c r="T6">
        <f t="shared" si="7"/>
        <v>81.050441269999993</v>
      </c>
    </row>
    <row r="7" spans="1:23">
      <c r="A7">
        <v>60</v>
      </c>
      <c r="B7" t="s">
        <v>6</v>
      </c>
      <c r="C7">
        <v>0.1</v>
      </c>
      <c r="D7">
        <v>50</v>
      </c>
      <c r="E7">
        <v>6.56</v>
      </c>
      <c r="F7">
        <v>27.18204412</v>
      </c>
      <c r="J7">
        <v>50</v>
      </c>
      <c r="K7">
        <v>0.25</v>
      </c>
      <c r="L7">
        <v>56.067580069999998</v>
      </c>
      <c r="M7">
        <f t="shared" si="0"/>
        <v>21.966209965000004</v>
      </c>
      <c r="N7">
        <f t="shared" si="1"/>
        <v>28.033790034999996</v>
      </c>
      <c r="O7">
        <f t="shared" si="2"/>
        <v>112.13516013999998</v>
      </c>
      <c r="P7">
        <f t="shared" si="3"/>
        <v>0.19589047661389472</v>
      </c>
      <c r="Q7">
        <f t="shared" si="4"/>
        <v>3.0895053619565447</v>
      </c>
      <c r="R7">
        <f t="shared" si="5"/>
        <v>4.71970493067729</v>
      </c>
      <c r="S7">
        <f t="shared" si="6"/>
        <v>5.1048933939296415</v>
      </c>
      <c r="T7">
        <f t="shared" si="7"/>
        <v>112.13516013999998</v>
      </c>
    </row>
    <row r="8" spans="1:23">
      <c r="A8">
        <v>60</v>
      </c>
      <c r="B8" t="s">
        <v>6</v>
      </c>
      <c r="C8">
        <v>0.25</v>
      </c>
      <c r="D8">
        <v>50</v>
      </c>
      <c r="E8">
        <v>6.56</v>
      </c>
      <c r="F8">
        <v>30.86908347</v>
      </c>
    </row>
    <row r="9" spans="1:23">
      <c r="A9">
        <v>60</v>
      </c>
      <c r="B9" t="s">
        <v>6</v>
      </c>
      <c r="C9">
        <v>0.5</v>
      </c>
      <c r="D9">
        <v>50</v>
      </c>
      <c r="E9">
        <v>6.56</v>
      </c>
      <c r="F9">
        <v>28.92180269</v>
      </c>
    </row>
    <row r="10" spans="1:23">
      <c r="A10">
        <v>60</v>
      </c>
      <c r="B10" t="s">
        <v>6</v>
      </c>
      <c r="C10">
        <v>1</v>
      </c>
      <c r="D10">
        <v>50</v>
      </c>
      <c r="E10">
        <v>6.56</v>
      </c>
      <c r="F10">
        <v>37.915350519999997</v>
      </c>
    </row>
    <row r="11" spans="1:23">
      <c r="A11">
        <v>60</v>
      </c>
      <c r="B11" t="s">
        <v>6</v>
      </c>
      <c r="C11">
        <v>2.5</v>
      </c>
      <c r="D11">
        <v>50</v>
      </c>
      <c r="E11">
        <v>6.56</v>
      </c>
      <c r="F11">
        <v>52.059306059999997</v>
      </c>
    </row>
    <row r="12" spans="1:23" ht="15">
      <c r="A12">
        <v>60</v>
      </c>
      <c r="B12" s="7" t="s">
        <v>6</v>
      </c>
      <c r="C12" s="5">
        <v>0.1</v>
      </c>
      <c r="D12">
        <v>50</v>
      </c>
      <c r="E12">
        <v>6.56</v>
      </c>
      <c r="F12" s="2">
        <v>27.516016870000001</v>
      </c>
    </row>
    <row r="13" spans="1:23" ht="15">
      <c r="A13">
        <v>60</v>
      </c>
      <c r="B13" s="7" t="s">
        <v>6</v>
      </c>
      <c r="C13" s="5">
        <v>0.25</v>
      </c>
      <c r="D13">
        <v>50</v>
      </c>
      <c r="E13">
        <v>6.56</v>
      </c>
      <c r="F13" s="2">
        <v>30.978494489999999</v>
      </c>
    </row>
    <row r="14" spans="1:23" ht="15">
      <c r="A14">
        <v>60</v>
      </c>
      <c r="B14" s="7" t="s">
        <v>6</v>
      </c>
      <c r="C14" s="5">
        <v>0.5</v>
      </c>
      <c r="D14">
        <v>50</v>
      </c>
      <c r="E14">
        <v>6.56</v>
      </c>
      <c r="F14" s="2">
        <v>29.083490940000001</v>
      </c>
    </row>
    <row r="15" spans="1:23" ht="15">
      <c r="A15">
        <v>60</v>
      </c>
      <c r="B15" s="7" t="s">
        <v>6</v>
      </c>
      <c r="C15" s="5">
        <v>1</v>
      </c>
      <c r="D15">
        <v>50</v>
      </c>
      <c r="E15">
        <v>6.56</v>
      </c>
      <c r="F15" s="2">
        <v>37.955975600000002</v>
      </c>
    </row>
    <row r="16" spans="1:23" ht="15">
      <c r="A16">
        <v>60</v>
      </c>
      <c r="B16" s="7" t="s">
        <v>6</v>
      </c>
      <c r="C16" s="5">
        <v>2.5</v>
      </c>
      <c r="D16">
        <v>50</v>
      </c>
      <c r="E16">
        <v>6.56</v>
      </c>
      <c r="F16" s="2">
        <v>52.182121199999997</v>
      </c>
    </row>
    <row r="17" spans="1:23" ht="15">
      <c r="A17" s="8">
        <v>5</v>
      </c>
      <c r="B17" t="s">
        <v>6</v>
      </c>
      <c r="C17">
        <v>0.5</v>
      </c>
      <c r="D17">
        <v>20</v>
      </c>
      <c r="E17">
        <v>6.56</v>
      </c>
      <c r="F17" s="9">
        <v>25.743548659999998</v>
      </c>
    </row>
    <row r="18" spans="1:23" ht="15">
      <c r="A18" s="8">
        <v>10</v>
      </c>
      <c r="B18" t="s">
        <v>6</v>
      </c>
      <c r="C18">
        <v>0.5</v>
      </c>
      <c r="D18">
        <v>20</v>
      </c>
      <c r="E18">
        <v>6.56</v>
      </c>
      <c r="F18" s="9">
        <v>27.01389824</v>
      </c>
    </row>
    <row r="19" spans="1:23" ht="15">
      <c r="A19" s="8">
        <v>15</v>
      </c>
      <c r="B19" t="s">
        <v>6</v>
      </c>
      <c r="C19">
        <v>0.5</v>
      </c>
      <c r="D19">
        <v>20</v>
      </c>
      <c r="E19">
        <v>6.56</v>
      </c>
      <c r="F19" s="9">
        <v>31.114386710000002</v>
      </c>
    </row>
    <row r="20" spans="1:23" ht="15">
      <c r="A20" s="8">
        <v>30</v>
      </c>
      <c r="B20" t="s">
        <v>6</v>
      </c>
      <c r="C20">
        <v>0.5</v>
      </c>
      <c r="D20">
        <v>20</v>
      </c>
      <c r="E20">
        <v>6.56</v>
      </c>
      <c r="F20" s="9">
        <v>37.906531180000002</v>
      </c>
    </row>
    <row r="21" spans="1:23" ht="15">
      <c r="A21" s="8">
        <v>60</v>
      </c>
      <c r="B21" t="s">
        <v>6</v>
      </c>
      <c r="C21">
        <v>0.5</v>
      </c>
      <c r="D21">
        <v>20</v>
      </c>
      <c r="E21">
        <v>6.56</v>
      </c>
      <c r="F21" s="9">
        <v>41.27848805</v>
      </c>
      <c r="J21" t="s">
        <v>38</v>
      </c>
    </row>
    <row r="22" spans="1:23" ht="15">
      <c r="A22" s="8">
        <v>90</v>
      </c>
      <c r="B22" t="s">
        <v>6</v>
      </c>
      <c r="C22">
        <v>0.5</v>
      </c>
      <c r="D22">
        <v>20</v>
      </c>
      <c r="E22">
        <v>6.56</v>
      </c>
      <c r="F22" s="9">
        <v>43.416405779999998</v>
      </c>
      <c r="J22" t="s">
        <v>39</v>
      </c>
      <c r="K22" t="s">
        <v>40</v>
      </c>
      <c r="L22" t="s">
        <v>11</v>
      </c>
      <c r="M22" t="s">
        <v>13</v>
      </c>
      <c r="N22" t="s">
        <v>30</v>
      </c>
      <c r="O22" t="s">
        <v>41</v>
      </c>
      <c r="P22" t="s">
        <v>47</v>
      </c>
      <c r="Q22" t="s">
        <v>42</v>
      </c>
      <c r="R22" t="s">
        <v>43</v>
      </c>
      <c r="S22" t="s">
        <v>44</v>
      </c>
      <c r="T22" t="s">
        <v>45</v>
      </c>
      <c r="U22" t="s">
        <v>41</v>
      </c>
    </row>
    <row r="23" spans="1:23" ht="15">
      <c r="A23" s="8">
        <v>120</v>
      </c>
      <c r="B23" t="s">
        <v>6</v>
      </c>
      <c r="C23">
        <v>0.5</v>
      </c>
      <c r="D23">
        <v>20</v>
      </c>
      <c r="E23">
        <v>6.56</v>
      </c>
      <c r="F23" s="9">
        <v>45.212746090000003</v>
      </c>
      <c r="J23">
        <v>5</v>
      </c>
      <c r="K23">
        <v>25.743548659999998</v>
      </c>
      <c r="L23">
        <v>50</v>
      </c>
      <c r="M23">
        <f>L23-(K23*L23)/100</f>
        <v>37.128225669999999</v>
      </c>
      <c r="N23">
        <f>L23-M23</f>
        <v>12.871774330000001</v>
      </c>
      <c r="O23">
        <f>N23/0.5</f>
        <v>25.743548660000002</v>
      </c>
      <c r="P23">
        <v>114.9425</v>
      </c>
      <c r="Q23">
        <f>P23-O23</f>
        <v>89.198951339999994</v>
      </c>
      <c r="R23">
        <f>LN(Q23)</f>
        <v>4.4908692832388315</v>
      </c>
      <c r="S23">
        <f>J23/O23</f>
        <v>0.19422341752630773</v>
      </c>
      <c r="T23">
        <f>SQRT(J23)</f>
        <v>2.2360679774997898</v>
      </c>
      <c r="U23">
        <v>25.743548660000002</v>
      </c>
    </row>
    <row r="24" spans="1:23" ht="15">
      <c r="A24" s="8">
        <v>150</v>
      </c>
      <c r="B24" t="s">
        <v>6</v>
      </c>
      <c r="C24">
        <v>0.5</v>
      </c>
      <c r="D24">
        <v>20</v>
      </c>
      <c r="E24">
        <v>6.56</v>
      </c>
      <c r="F24" s="9">
        <v>42.384446799999999</v>
      </c>
      <c r="J24">
        <v>10</v>
      </c>
      <c r="K24">
        <v>27.01389824</v>
      </c>
      <c r="L24">
        <v>50</v>
      </c>
      <c r="M24">
        <f t="shared" ref="M24:M30" si="8">L24-(K24*L24)/100</f>
        <v>36.493050879999998</v>
      </c>
      <c r="N24">
        <f t="shared" ref="N24:N30" si="9">L24-M24</f>
        <v>13.506949120000002</v>
      </c>
      <c r="O24">
        <f t="shared" ref="O24:O30" si="10">N24/0.5</f>
        <v>27.013898240000003</v>
      </c>
      <c r="P24">
        <v>114.9425</v>
      </c>
      <c r="Q24">
        <f t="shared" ref="Q24:Q30" si="11">P24-O24</f>
        <v>87.928601759999992</v>
      </c>
      <c r="R24">
        <f t="shared" ref="R24:R30" si="12">LN(Q24)</f>
        <v>4.4765251415244558</v>
      </c>
      <c r="S24">
        <f t="shared" ref="S24:S30" si="13">J24/O24</f>
        <v>0.37017982044489994</v>
      </c>
      <c r="T24">
        <f t="shared" ref="T24:T30" si="14">SQRT(J24)</f>
        <v>3.1622776601683795</v>
      </c>
      <c r="U24">
        <v>27.013898240000003</v>
      </c>
    </row>
    <row r="25" spans="1:23">
      <c r="A25">
        <v>30</v>
      </c>
      <c r="B25" t="s">
        <v>6</v>
      </c>
      <c r="C25">
        <v>0.5</v>
      </c>
      <c r="D25">
        <v>20</v>
      </c>
      <c r="E25">
        <v>2.27</v>
      </c>
      <c r="F25">
        <v>22.771672769999999</v>
      </c>
      <c r="J25">
        <v>15</v>
      </c>
      <c r="K25">
        <v>31.114386710000002</v>
      </c>
      <c r="L25">
        <v>50</v>
      </c>
      <c r="M25">
        <f t="shared" si="8"/>
        <v>34.442806644999997</v>
      </c>
      <c r="N25">
        <f t="shared" si="9"/>
        <v>15.557193355000003</v>
      </c>
      <c r="O25">
        <f t="shared" si="10"/>
        <v>31.114386710000005</v>
      </c>
      <c r="P25">
        <v>114.9425</v>
      </c>
      <c r="Q25">
        <f t="shared" si="11"/>
        <v>83.82811328999999</v>
      </c>
      <c r="R25">
        <f t="shared" si="12"/>
        <v>4.4287684320145297</v>
      </c>
      <c r="S25">
        <f t="shared" si="13"/>
        <v>0.48209209906037059</v>
      </c>
      <c r="T25">
        <f t="shared" si="14"/>
        <v>3.872983346207417</v>
      </c>
      <c r="U25">
        <v>31.114386710000005</v>
      </c>
      <c r="V25" t="s">
        <v>48</v>
      </c>
      <c r="W25">
        <f>1/0.02211</f>
        <v>45.228403437358658</v>
      </c>
    </row>
    <row r="26" spans="1:23">
      <c r="A26">
        <v>30</v>
      </c>
      <c r="B26" t="s">
        <v>6</v>
      </c>
      <c r="C26">
        <v>0.5</v>
      </c>
      <c r="D26">
        <v>20</v>
      </c>
      <c r="E26">
        <v>3.34</v>
      </c>
      <c r="F26">
        <v>30.84230526</v>
      </c>
      <c r="J26">
        <v>30</v>
      </c>
      <c r="K26">
        <v>37.906531180000002</v>
      </c>
      <c r="L26">
        <v>50</v>
      </c>
      <c r="M26">
        <f t="shared" si="8"/>
        <v>31.046734409999999</v>
      </c>
      <c r="N26">
        <f t="shared" si="9"/>
        <v>18.953265590000001</v>
      </c>
      <c r="O26">
        <f t="shared" si="10"/>
        <v>37.906531180000002</v>
      </c>
      <c r="P26">
        <v>114.9425</v>
      </c>
      <c r="Q26">
        <f t="shared" si="11"/>
        <v>77.035968819999994</v>
      </c>
      <c r="R26">
        <f t="shared" si="12"/>
        <v>4.3442724403160504</v>
      </c>
      <c r="S26">
        <f t="shared" si="13"/>
        <v>0.79142034541605344</v>
      </c>
      <c r="T26">
        <f t="shared" si="14"/>
        <v>5.4772255750516612</v>
      </c>
      <c r="U26">
        <v>37.906531180000002</v>
      </c>
      <c r="V26" t="s">
        <v>49</v>
      </c>
      <c r="W26">
        <f>EXP(4.4463)</f>
        <v>85.310709703615359</v>
      </c>
    </row>
    <row r="27" spans="1:23">
      <c r="A27">
        <v>30</v>
      </c>
      <c r="B27" t="s">
        <v>6</v>
      </c>
      <c r="C27">
        <v>0.5</v>
      </c>
      <c r="D27">
        <v>20</v>
      </c>
      <c r="E27">
        <v>4.53</v>
      </c>
      <c r="F27">
        <v>39.205590290000004</v>
      </c>
      <c r="J27">
        <v>60</v>
      </c>
      <c r="K27">
        <v>41.27848805</v>
      </c>
      <c r="L27">
        <v>50</v>
      </c>
      <c r="M27">
        <f t="shared" si="8"/>
        <v>29.360755975000004</v>
      </c>
      <c r="N27">
        <f t="shared" si="9"/>
        <v>20.639244024999996</v>
      </c>
      <c r="O27">
        <f t="shared" si="10"/>
        <v>41.278488049999993</v>
      </c>
      <c r="P27">
        <v>114.9425</v>
      </c>
      <c r="Q27">
        <f t="shared" si="11"/>
        <v>73.664011950000003</v>
      </c>
      <c r="R27">
        <f t="shared" si="12"/>
        <v>4.2995143753224712</v>
      </c>
      <c r="S27">
        <f t="shared" si="13"/>
        <v>1.4535416105193322</v>
      </c>
      <c r="T27">
        <f t="shared" si="14"/>
        <v>7.745966692414834</v>
      </c>
      <c r="U27">
        <v>41.278488049999993</v>
      </c>
    </row>
    <row r="28" spans="1:23">
      <c r="A28">
        <v>30</v>
      </c>
      <c r="B28" t="s">
        <v>6</v>
      </c>
      <c r="C28">
        <v>0.5</v>
      </c>
      <c r="D28">
        <v>20</v>
      </c>
      <c r="E28">
        <v>7.32</v>
      </c>
      <c r="F28">
        <v>56.969919300000001</v>
      </c>
      <c r="J28">
        <v>90</v>
      </c>
      <c r="K28">
        <v>43.416405779999998</v>
      </c>
      <c r="L28">
        <v>50</v>
      </c>
      <c r="M28">
        <f t="shared" si="8"/>
        <v>28.291797110000001</v>
      </c>
      <c r="N28">
        <f t="shared" si="9"/>
        <v>21.708202889999999</v>
      </c>
      <c r="O28">
        <f t="shared" si="10"/>
        <v>43.416405779999998</v>
      </c>
      <c r="P28">
        <v>114.9425</v>
      </c>
      <c r="Q28">
        <f t="shared" si="11"/>
        <v>71.526094220000004</v>
      </c>
      <c r="R28">
        <f t="shared" si="12"/>
        <v>4.2700623372462774</v>
      </c>
      <c r="S28">
        <f t="shared" si="13"/>
        <v>2.072949116424994</v>
      </c>
      <c r="T28">
        <f t="shared" si="14"/>
        <v>9.4868329805051381</v>
      </c>
      <c r="U28">
        <v>43.416405779999998</v>
      </c>
    </row>
    <row r="29" spans="1:23">
      <c r="A29">
        <v>30</v>
      </c>
      <c r="B29" t="s">
        <v>6</v>
      </c>
      <c r="C29">
        <v>0.5</v>
      </c>
      <c r="D29">
        <v>20</v>
      </c>
      <c r="E29">
        <v>8.26</v>
      </c>
      <c r="F29">
        <v>54.235946159999997</v>
      </c>
      <c r="J29">
        <v>120</v>
      </c>
      <c r="K29">
        <v>45.212746090000003</v>
      </c>
      <c r="L29">
        <v>50</v>
      </c>
      <c r="M29">
        <f t="shared" si="8"/>
        <v>27.393626954999998</v>
      </c>
      <c r="N29">
        <f t="shared" si="9"/>
        <v>22.606373045000002</v>
      </c>
      <c r="O29">
        <f t="shared" si="10"/>
        <v>45.212746090000003</v>
      </c>
      <c r="P29">
        <v>114.9425</v>
      </c>
      <c r="Q29">
        <f t="shared" si="11"/>
        <v>69.729753909999999</v>
      </c>
      <c r="R29">
        <f t="shared" si="12"/>
        <v>4.2446271120426964</v>
      </c>
      <c r="S29">
        <f t="shared" si="13"/>
        <v>2.654118813334835</v>
      </c>
      <c r="T29">
        <f t="shared" si="14"/>
        <v>10.954451150103322</v>
      </c>
      <c r="U29">
        <v>45.212746090000003</v>
      </c>
    </row>
    <row r="30" spans="1:23">
      <c r="A30">
        <v>30</v>
      </c>
      <c r="B30" t="s">
        <v>6</v>
      </c>
      <c r="C30">
        <v>0.5</v>
      </c>
      <c r="D30">
        <v>20</v>
      </c>
      <c r="E30">
        <v>9.2899999999999991</v>
      </c>
      <c r="F30">
        <v>58.782343990000001</v>
      </c>
      <c r="J30">
        <v>150</v>
      </c>
      <c r="K30">
        <v>42.384446799999999</v>
      </c>
      <c r="L30">
        <v>50</v>
      </c>
      <c r="M30">
        <f t="shared" si="8"/>
        <v>28.8077766</v>
      </c>
      <c r="N30">
        <f t="shared" si="9"/>
        <v>21.1922234</v>
      </c>
      <c r="O30">
        <f t="shared" si="10"/>
        <v>42.384446799999999</v>
      </c>
      <c r="P30">
        <v>114.9425</v>
      </c>
      <c r="Q30">
        <f t="shared" si="11"/>
        <v>72.558053199999989</v>
      </c>
      <c r="R30">
        <f t="shared" si="12"/>
        <v>4.2843869752374628</v>
      </c>
      <c r="S30">
        <f t="shared" si="13"/>
        <v>3.5390340401941969</v>
      </c>
      <c r="T30">
        <f t="shared" si="14"/>
        <v>12.24744871391589</v>
      </c>
      <c r="U30">
        <v>42.384446799999999</v>
      </c>
    </row>
    <row r="31" spans="1:23">
      <c r="A31">
        <v>30</v>
      </c>
      <c r="B31" t="s">
        <v>6</v>
      </c>
      <c r="C31">
        <v>0.5</v>
      </c>
      <c r="D31">
        <v>20</v>
      </c>
      <c r="E31">
        <v>10.69</v>
      </c>
      <c r="F31">
        <v>26.27474505</v>
      </c>
    </row>
    <row r="32" spans="1:23" ht="15">
      <c r="A32">
        <v>30</v>
      </c>
      <c r="B32" t="s">
        <v>6</v>
      </c>
      <c r="C32">
        <v>1</v>
      </c>
      <c r="D32" s="6">
        <v>1</v>
      </c>
      <c r="E32">
        <v>6.56</v>
      </c>
      <c r="F32" s="1">
        <v>100</v>
      </c>
    </row>
    <row r="33" spans="1:6" ht="15">
      <c r="A33">
        <v>30</v>
      </c>
      <c r="B33" t="s">
        <v>6</v>
      </c>
      <c r="C33">
        <v>1</v>
      </c>
      <c r="D33" s="6">
        <v>5</v>
      </c>
      <c r="E33">
        <v>6.56</v>
      </c>
      <c r="F33" s="1">
        <v>98.332905870000005</v>
      </c>
    </row>
    <row r="34" spans="1:6" ht="15">
      <c r="A34">
        <v>30</v>
      </c>
      <c r="B34" t="s">
        <v>6</v>
      </c>
      <c r="C34">
        <v>1</v>
      </c>
      <c r="D34" s="6">
        <v>10</v>
      </c>
      <c r="E34">
        <v>6.56</v>
      </c>
      <c r="F34" s="1">
        <v>94.477560240000003</v>
      </c>
    </row>
    <row r="35" spans="1:6" ht="15">
      <c r="A35">
        <v>30</v>
      </c>
      <c r="B35" t="s">
        <v>6</v>
      </c>
      <c r="C35">
        <v>1</v>
      </c>
      <c r="D35" s="6">
        <v>25</v>
      </c>
      <c r="E35">
        <v>6.56</v>
      </c>
      <c r="F35" s="1">
        <v>81.050441269999993</v>
      </c>
    </row>
    <row r="36" spans="1:6" ht="15">
      <c r="A36">
        <v>30</v>
      </c>
      <c r="B36" t="s">
        <v>6</v>
      </c>
      <c r="C36">
        <v>1</v>
      </c>
      <c r="D36" s="6">
        <v>50</v>
      </c>
      <c r="E36">
        <v>6.56</v>
      </c>
      <c r="F36" s="1">
        <v>56.067580069999998</v>
      </c>
    </row>
  </sheetData>
  <mergeCells count="1">
    <mergeCell ref="L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G15" workbookViewId="0">
      <selection activeCell="T22" activeCellId="1" sqref="K22:K30 T22:T30"/>
    </sheetView>
  </sheetViews>
  <sheetFormatPr defaultRowHeight="14.2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14" t="s">
        <v>37</v>
      </c>
      <c r="N1" s="14"/>
      <c r="O1" s="14"/>
      <c r="P1" s="14"/>
      <c r="Q1" s="14"/>
      <c r="R1" s="14"/>
      <c r="S1" s="14"/>
    </row>
    <row r="2" spans="1:23">
      <c r="A2">
        <v>60</v>
      </c>
      <c r="B2" t="s">
        <v>7</v>
      </c>
      <c r="C2">
        <v>0.5</v>
      </c>
      <c r="D2">
        <v>20</v>
      </c>
      <c r="E2">
        <v>3.15</v>
      </c>
      <c r="F2">
        <v>28.90669591</v>
      </c>
      <c r="K2" t="s">
        <v>11</v>
      </c>
      <c r="L2" t="s">
        <v>29</v>
      </c>
      <c r="M2" t="s">
        <v>32</v>
      </c>
      <c r="N2" t="s">
        <v>13</v>
      </c>
      <c r="O2" t="s">
        <v>30</v>
      </c>
      <c r="P2" t="s">
        <v>33</v>
      </c>
      <c r="Q2" t="s">
        <v>15</v>
      </c>
      <c r="R2" t="s">
        <v>34</v>
      </c>
      <c r="S2" t="s">
        <v>35</v>
      </c>
      <c r="T2" t="s">
        <v>50</v>
      </c>
      <c r="U2" t="s">
        <v>10</v>
      </c>
    </row>
    <row r="3" spans="1:23">
      <c r="A3">
        <v>60</v>
      </c>
      <c r="B3" t="s">
        <v>7</v>
      </c>
      <c r="C3">
        <v>0.5</v>
      </c>
      <c r="D3">
        <v>20</v>
      </c>
      <c r="E3">
        <v>4.95</v>
      </c>
      <c r="F3">
        <v>45.079503289999998</v>
      </c>
      <c r="K3">
        <v>1</v>
      </c>
      <c r="L3">
        <v>0.25</v>
      </c>
      <c r="M3">
        <v>100</v>
      </c>
      <c r="N3">
        <v>1E-3</v>
      </c>
      <c r="O3">
        <f>K3-N3</f>
        <v>0.999</v>
      </c>
      <c r="P3">
        <f>O3/L3</f>
        <v>3.996</v>
      </c>
      <c r="Q3">
        <f>N3/P3</f>
        <v>2.5025025025025025E-4</v>
      </c>
      <c r="R3">
        <f>LN(N3)</f>
        <v>-6.9077552789821368</v>
      </c>
      <c r="S3">
        <f>LN(P3)</f>
        <v>1.385293860786307</v>
      </c>
      <c r="T3">
        <f>P3/N3</f>
        <v>3996</v>
      </c>
      <c r="U3">
        <f>P3</f>
        <v>3.996</v>
      </c>
      <c r="V3" t="s">
        <v>18</v>
      </c>
      <c r="W3">
        <f>1/0.0078</f>
        <v>128.2051282051282</v>
      </c>
    </row>
    <row r="4" spans="1:23">
      <c r="A4">
        <v>60</v>
      </c>
      <c r="B4" t="s">
        <v>7</v>
      </c>
      <c r="C4">
        <v>0.5</v>
      </c>
      <c r="D4">
        <v>20</v>
      </c>
      <c r="E4">
        <v>7.56</v>
      </c>
      <c r="F4">
        <v>60.854687060000003</v>
      </c>
      <c r="K4">
        <v>5</v>
      </c>
      <c r="L4">
        <v>0.25</v>
      </c>
      <c r="M4">
        <v>98.874355249999994</v>
      </c>
      <c r="N4">
        <f t="shared" ref="N4:N7" si="0">K4-(K4*M4)/100</f>
        <v>5.6282237500000498E-2</v>
      </c>
      <c r="O4">
        <f t="shared" ref="O4:O7" si="1">K4-N4</f>
        <v>4.9437177624999995</v>
      </c>
      <c r="P4">
        <f t="shared" ref="P4:P7" si="2">O4/L4</f>
        <v>19.774871049999998</v>
      </c>
      <c r="Q4">
        <f t="shared" ref="Q4:Q7" si="3">N4/P4</f>
        <v>2.846149406369985E-3</v>
      </c>
      <c r="R4">
        <f t="shared" ref="R4:R7" si="4">LN(N4)</f>
        <v>-2.8773762909519403</v>
      </c>
      <c r="S4">
        <f t="shared" ref="S4:S7" si="5">LN(P4)</f>
        <v>2.9844119927727855</v>
      </c>
      <c r="T4">
        <f t="shared" ref="T4:T7" si="6">P4/N4</f>
        <v>351.35189943363258</v>
      </c>
      <c r="U4">
        <f t="shared" ref="U4:U7" si="7">P4</f>
        <v>19.774871049999998</v>
      </c>
    </row>
    <row r="5" spans="1:23">
      <c r="A5">
        <v>60</v>
      </c>
      <c r="B5" t="s">
        <v>7</v>
      </c>
      <c r="C5">
        <v>0.5</v>
      </c>
      <c r="D5">
        <v>20</v>
      </c>
      <c r="E5">
        <v>9.3000000000000007</v>
      </c>
      <c r="F5">
        <v>92.102698689999997</v>
      </c>
      <c r="K5">
        <v>10</v>
      </c>
      <c r="L5">
        <v>0.25</v>
      </c>
      <c r="M5">
        <v>95.982702810000006</v>
      </c>
      <c r="N5">
        <f t="shared" si="0"/>
        <v>0.40172971900000043</v>
      </c>
      <c r="O5">
        <f t="shared" si="1"/>
        <v>9.5982702809999996</v>
      </c>
      <c r="P5">
        <f t="shared" si="2"/>
        <v>38.393081123999998</v>
      </c>
      <c r="Q5">
        <f t="shared" si="3"/>
        <v>1.0463596753345074E-2</v>
      </c>
      <c r="R5">
        <f t="shared" si="4"/>
        <v>-0.91197575728156777</v>
      </c>
      <c r="S5">
        <f t="shared" si="5"/>
        <v>3.6478772642969837</v>
      </c>
      <c r="T5">
        <f t="shared" si="6"/>
        <v>95.569432153462259</v>
      </c>
      <c r="U5">
        <f t="shared" si="7"/>
        <v>38.393081123999998</v>
      </c>
    </row>
    <row r="6" spans="1:23">
      <c r="A6">
        <v>60</v>
      </c>
      <c r="B6" t="s">
        <v>7</v>
      </c>
      <c r="C6">
        <v>0.5</v>
      </c>
      <c r="D6">
        <v>20</v>
      </c>
      <c r="E6">
        <v>10.8</v>
      </c>
      <c r="F6">
        <v>27.585891879999998</v>
      </c>
      <c r="K6">
        <v>25</v>
      </c>
      <c r="L6">
        <v>0.25</v>
      </c>
      <c r="M6">
        <v>88.917270569999999</v>
      </c>
      <c r="N6">
        <f t="shared" si="0"/>
        <v>2.7706823575000001</v>
      </c>
      <c r="O6">
        <f t="shared" si="1"/>
        <v>22.2293176425</v>
      </c>
      <c r="P6">
        <f t="shared" si="2"/>
        <v>88.917270569999999</v>
      </c>
      <c r="Q6">
        <f t="shared" si="3"/>
        <v>3.1160227251001642E-2</v>
      </c>
      <c r="R6">
        <f t="shared" si="4"/>
        <v>1.0190936283105672</v>
      </c>
      <c r="S6">
        <f t="shared" si="5"/>
        <v>4.4877063932807548</v>
      </c>
      <c r="T6">
        <f t="shared" si="6"/>
        <v>32.092192137907311</v>
      </c>
      <c r="U6">
        <f t="shared" si="7"/>
        <v>88.917270569999999</v>
      </c>
    </row>
    <row r="7" spans="1:23">
      <c r="A7">
        <v>60</v>
      </c>
      <c r="B7" t="s">
        <v>7</v>
      </c>
      <c r="C7">
        <v>0.1</v>
      </c>
      <c r="D7">
        <v>50</v>
      </c>
      <c r="E7">
        <v>6.56</v>
      </c>
      <c r="F7">
        <v>28.320355540000001</v>
      </c>
      <c r="K7">
        <v>50</v>
      </c>
      <c r="L7">
        <v>0.25</v>
      </c>
      <c r="M7">
        <v>62.130344950000001</v>
      </c>
      <c r="N7">
        <f t="shared" si="0"/>
        <v>18.934827524999999</v>
      </c>
      <c r="O7">
        <f t="shared" si="1"/>
        <v>31.065172475000001</v>
      </c>
      <c r="P7">
        <f t="shared" si="2"/>
        <v>124.2606899</v>
      </c>
      <c r="Q7">
        <f t="shared" si="3"/>
        <v>0.15237986800361389</v>
      </c>
      <c r="R7">
        <f t="shared" si="4"/>
        <v>2.9410029525190327</v>
      </c>
      <c r="S7">
        <f t="shared" si="5"/>
        <v>4.822381696688379</v>
      </c>
      <c r="T7">
        <f t="shared" si="6"/>
        <v>6.562546700567319</v>
      </c>
      <c r="U7">
        <f t="shared" si="7"/>
        <v>124.2606899</v>
      </c>
    </row>
    <row r="8" spans="1:23">
      <c r="A8">
        <v>60</v>
      </c>
      <c r="B8" t="s">
        <v>7</v>
      </c>
      <c r="C8">
        <v>0.25</v>
      </c>
      <c r="D8">
        <v>50</v>
      </c>
      <c r="E8">
        <v>6.56</v>
      </c>
      <c r="F8">
        <v>29.65945542</v>
      </c>
    </row>
    <row r="9" spans="1:23">
      <c r="A9">
        <v>60</v>
      </c>
      <c r="B9" t="s">
        <v>7</v>
      </c>
      <c r="C9">
        <v>0.5</v>
      </c>
      <c r="D9">
        <v>50</v>
      </c>
      <c r="E9">
        <v>6.56</v>
      </c>
      <c r="F9">
        <v>46.905837560000002</v>
      </c>
    </row>
    <row r="10" spans="1:23">
      <c r="A10">
        <v>60</v>
      </c>
      <c r="B10" t="s">
        <v>7</v>
      </c>
      <c r="C10">
        <v>1</v>
      </c>
      <c r="D10">
        <v>50</v>
      </c>
      <c r="E10">
        <v>6.56</v>
      </c>
      <c r="F10">
        <v>55.851024760000001</v>
      </c>
      <c r="I10" t="s">
        <v>82</v>
      </c>
      <c r="J10" t="s">
        <v>81</v>
      </c>
      <c r="K10" t="s">
        <v>85</v>
      </c>
      <c r="L10" t="s">
        <v>86</v>
      </c>
      <c r="M10" t="s">
        <v>83</v>
      </c>
      <c r="N10" t="s">
        <v>84</v>
      </c>
    </row>
    <row r="11" spans="1:23">
      <c r="A11">
        <v>60</v>
      </c>
      <c r="B11" t="s">
        <v>7</v>
      </c>
      <c r="C11">
        <v>2.5</v>
      </c>
      <c r="D11">
        <v>50</v>
      </c>
      <c r="E11">
        <v>6.56</v>
      </c>
      <c r="F11">
        <v>83.77163985</v>
      </c>
      <c r="I11">
        <v>5.5142344000000065E-2</v>
      </c>
      <c r="J11">
        <v>19.779430624</v>
      </c>
      <c r="K11">
        <v>5.6282237500000498E-2</v>
      </c>
      <c r="L11">
        <v>19.774871049999998</v>
      </c>
      <c r="M11">
        <v>8.3354706499999764E-2</v>
      </c>
      <c r="N11">
        <v>19.666581174000001</v>
      </c>
    </row>
    <row r="12" spans="1:23" ht="15">
      <c r="A12">
        <v>60</v>
      </c>
      <c r="B12" s="7" t="s">
        <v>7</v>
      </c>
      <c r="C12" s="5">
        <v>0.1</v>
      </c>
      <c r="D12">
        <v>50</v>
      </c>
      <c r="E12">
        <v>6.56</v>
      </c>
      <c r="F12" s="2">
        <v>28.757089029999999</v>
      </c>
      <c r="I12">
        <v>0.13773249099999951</v>
      </c>
      <c r="J12">
        <v>39.449070036000002</v>
      </c>
      <c r="K12">
        <v>0.40172971900000043</v>
      </c>
      <c r="L12">
        <v>38.393081123999998</v>
      </c>
      <c r="M12">
        <v>0.55224397599999975</v>
      </c>
      <c r="N12">
        <v>37.791024096000001</v>
      </c>
    </row>
    <row r="13" spans="1:23" ht="15">
      <c r="A13">
        <v>60</v>
      </c>
      <c r="B13" s="7" t="s">
        <v>7</v>
      </c>
      <c r="C13" s="5">
        <v>0.25</v>
      </c>
      <c r="D13">
        <v>50</v>
      </c>
      <c r="E13">
        <v>6.56</v>
      </c>
      <c r="F13" s="2">
        <v>29.91789</v>
      </c>
      <c r="I13">
        <v>2.173471095</v>
      </c>
      <c r="J13">
        <v>91.30611562</v>
      </c>
      <c r="K13">
        <v>2.7706823575000001</v>
      </c>
      <c r="L13">
        <v>88.917270569999999</v>
      </c>
      <c r="M13">
        <v>4.7373896825000017</v>
      </c>
      <c r="N13">
        <v>81.050441269999993</v>
      </c>
    </row>
    <row r="14" spans="1:23" ht="15">
      <c r="A14">
        <v>60</v>
      </c>
      <c r="B14" s="7" t="s">
        <v>7</v>
      </c>
      <c r="C14" s="5">
        <v>0.5</v>
      </c>
      <c r="D14">
        <v>50</v>
      </c>
      <c r="E14">
        <v>6.56</v>
      </c>
      <c r="F14" s="2">
        <v>46.760899850000001</v>
      </c>
      <c r="I14">
        <v>14.114980199999998</v>
      </c>
      <c r="J14">
        <v>143.54007920000001</v>
      </c>
      <c r="K14">
        <v>18.934827524999999</v>
      </c>
      <c r="L14">
        <v>124.2606899</v>
      </c>
      <c r="M14">
        <v>21.966209965000004</v>
      </c>
      <c r="N14">
        <v>112.13516013999998</v>
      </c>
    </row>
    <row r="15" spans="1:23" ht="15">
      <c r="A15">
        <v>60</v>
      </c>
      <c r="B15" s="7" t="s">
        <v>7</v>
      </c>
      <c r="C15" s="5">
        <v>1</v>
      </c>
      <c r="D15">
        <v>50</v>
      </c>
      <c r="E15">
        <v>6.56</v>
      </c>
      <c r="F15" s="2">
        <v>55.972674920000003</v>
      </c>
    </row>
    <row r="16" spans="1:23" ht="15">
      <c r="A16">
        <v>60</v>
      </c>
      <c r="B16" s="7" t="s">
        <v>7</v>
      </c>
      <c r="C16" s="5">
        <v>2.5</v>
      </c>
      <c r="D16">
        <v>50</v>
      </c>
      <c r="E16">
        <v>6.56</v>
      </c>
      <c r="F16" s="2">
        <v>83.819154080000004</v>
      </c>
    </row>
    <row r="17" spans="1:24" ht="15">
      <c r="A17" s="8">
        <v>5</v>
      </c>
      <c r="B17" t="s">
        <v>7</v>
      </c>
      <c r="C17">
        <v>0.5</v>
      </c>
      <c r="D17">
        <v>20</v>
      </c>
      <c r="E17">
        <v>6.56</v>
      </c>
      <c r="F17" s="9">
        <v>30.739232699999999</v>
      </c>
    </row>
    <row r="18" spans="1:24" ht="15">
      <c r="A18" s="8">
        <v>10</v>
      </c>
      <c r="B18" t="s">
        <v>7</v>
      </c>
      <c r="C18">
        <v>0.5</v>
      </c>
      <c r="D18">
        <v>20</v>
      </c>
      <c r="E18">
        <v>6.56</v>
      </c>
      <c r="F18" s="9">
        <v>39.259904419999998</v>
      </c>
    </row>
    <row r="19" spans="1:24" ht="15">
      <c r="A19" s="8">
        <v>15</v>
      </c>
      <c r="B19" t="s">
        <v>7</v>
      </c>
      <c r="C19">
        <v>0.5</v>
      </c>
      <c r="D19">
        <v>20</v>
      </c>
      <c r="E19">
        <v>6.56</v>
      </c>
      <c r="F19" s="9">
        <v>48.13331264</v>
      </c>
    </row>
    <row r="20" spans="1:24" ht="15">
      <c r="A20" s="8">
        <v>30</v>
      </c>
      <c r="B20" t="s">
        <v>7</v>
      </c>
      <c r="C20">
        <v>0.5</v>
      </c>
      <c r="D20">
        <v>20</v>
      </c>
      <c r="E20">
        <v>6.56</v>
      </c>
      <c r="F20" s="9">
        <v>61.648708020000001</v>
      </c>
    </row>
    <row r="21" spans="1:24" ht="15">
      <c r="A21" s="8">
        <v>60</v>
      </c>
      <c r="B21" t="s">
        <v>7</v>
      </c>
      <c r="C21">
        <v>0.5</v>
      </c>
      <c r="D21">
        <v>20</v>
      </c>
      <c r="E21">
        <v>6.56</v>
      </c>
      <c r="F21" s="9">
        <v>76.241481309999998</v>
      </c>
      <c r="K21" t="s">
        <v>38</v>
      </c>
    </row>
    <row r="22" spans="1:24" ht="15">
      <c r="A22" s="8">
        <v>90</v>
      </c>
      <c r="B22" t="s">
        <v>7</v>
      </c>
      <c r="C22">
        <v>0.5</v>
      </c>
      <c r="D22">
        <v>20</v>
      </c>
      <c r="E22">
        <v>6.56</v>
      </c>
      <c r="F22" s="9">
        <v>83.572573809999994</v>
      </c>
      <c r="K22" t="s">
        <v>39</v>
      </c>
      <c r="L22" t="s">
        <v>40</v>
      </c>
      <c r="M22" t="s">
        <v>11</v>
      </c>
      <c r="N22" t="s">
        <v>13</v>
      </c>
      <c r="O22" t="s">
        <v>30</v>
      </c>
      <c r="P22" t="s">
        <v>41</v>
      </c>
      <c r="Q22" t="s">
        <v>47</v>
      </c>
      <c r="R22" t="s">
        <v>42</v>
      </c>
      <c r="S22" t="s">
        <v>43</v>
      </c>
      <c r="T22" t="s">
        <v>44</v>
      </c>
      <c r="U22" t="s">
        <v>45</v>
      </c>
      <c r="V22" t="s">
        <v>41</v>
      </c>
    </row>
    <row r="23" spans="1:24" ht="15">
      <c r="A23" s="8">
        <v>120</v>
      </c>
      <c r="B23" t="s">
        <v>7</v>
      </c>
      <c r="C23">
        <v>0.5</v>
      </c>
      <c r="D23">
        <v>20</v>
      </c>
      <c r="E23">
        <v>6.56</v>
      </c>
      <c r="F23" s="9">
        <v>88.769582389999997</v>
      </c>
      <c r="K23">
        <v>5</v>
      </c>
      <c r="L23">
        <v>30.739232699999999</v>
      </c>
      <c r="M23">
        <v>50</v>
      </c>
      <c r="N23">
        <f>M23-(L23*M23)/100</f>
        <v>34.630383649999999</v>
      </c>
      <c r="O23">
        <f>M23-N23</f>
        <v>15.369616350000001</v>
      </c>
      <c r="P23">
        <f>O23/0.5</f>
        <v>30.739232700000002</v>
      </c>
      <c r="Q23">
        <v>128.20509999999999</v>
      </c>
      <c r="R23">
        <f>Q23-P23</f>
        <v>97.465867299999985</v>
      </c>
      <c r="S23">
        <f>LN(R23)</f>
        <v>4.5795022377374934</v>
      </c>
      <c r="T23">
        <f>K23/P23</f>
        <v>0.16265858191053675</v>
      </c>
      <c r="U23">
        <f>SQRT(K23)</f>
        <v>2.2360679774997898</v>
      </c>
      <c r="V23">
        <v>30.739232700000002</v>
      </c>
    </row>
    <row r="24" spans="1:24" ht="15">
      <c r="A24" s="8">
        <v>150</v>
      </c>
      <c r="B24" t="s">
        <v>7</v>
      </c>
      <c r="C24">
        <v>0.5</v>
      </c>
      <c r="D24">
        <v>20</v>
      </c>
      <c r="E24">
        <v>6.56</v>
      </c>
      <c r="F24" s="9">
        <v>91.361498519999998</v>
      </c>
      <c r="K24">
        <v>10</v>
      </c>
      <c r="L24">
        <v>39.259904419999998</v>
      </c>
      <c r="M24">
        <v>50</v>
      </c>
      <c r="N24">
        <f t="shared" ref="N24:N30" si="8">M24-(L24*M24)/100</f>
        <v>30.370047790000001</v>
      </c>
      <c r="O24">
        <f t="shared" ref="O24:O30" si="9">M24-N24</f>
        <v>19.629952209999999</v>
      </c>
      <c r="P24">
        <f t="shared" ref="P24:P30" si="10">O24/0.5</f>
        <v>39.259904419999998</v>
      </c>
      <c r="Q24">
        <v>128.20509999999999</v>
      </c>
      <c r="R24">
        <f t="shared" ref="R24:R30" si="11">Q24-P24</f>
        <v>88.945195579999989</v>
      </c>
      <c r="S24">
        <f t="shared" ref="S24:S30" si="12">LN(R24)</f>
        <v>4.4880204000617683</v>
      </c>
      <c r="T24">
        <f t="shared" ref="T24:T30" si="13">K24/P24</f>
        <v>0.25471279535020325</v>
      </c>
      <c r="U24">
        <f t="shared" ref="U24:U30" si="14">SQRT(K24)</f>
        <v>3.1622776601683795</v>
      </c>
      <c r="V24">
        <v>39.259904419999998</v>
      </c>
    </row>
    <row r="25" spans="1:24">
      <c r="A25">
        <v>30</v>
      </c>
      <c r="B25" t="s">
        <v>7</v>
      </c>
      <c r="C25">
        <v>0.5</v>
      </c>
      <c r="D25">
        <v>20</v>
      </c>
      <c r="E25">
        <v>2.27</v>
      </c>
      <c r="F25">
        <v>51.373626369999997</v>
      </c>
      <c r="K25">
        <v>15</v>
      </c>
      <c r="L25">
        <v>48.13331264</v>
      </c>
      <c r="M25">
        <v>50</v>
      </c>
      <c r="N25">
        <f t="shared" si="8"/>
        <v>25.933343679999997</v>
      </c>
      <c r="O25">
        <f t="shared" si="9"/>
        <v>24.066656320000003</v>
      </c>
      <c r="P25">
        <f t="shared" si="10"/>
        <v>48.133312640000007</v>
      </c>
      <c r="Q25">
        <v>128.20509999999999</v>
      </c>
      <c r="R25">
        <f t="shared" si="11"/>
        <v>80.071787359999973</v>
      </c>
      <c r="S25">
        <f t="shared" si="12"/>
        <v>4.3829235743032404</v>
      </c>
      <c r="T25">
        <f t="shared" si="13"/>
        <v>0.31163448300740099</v>
      </c>
      <c r="U25">
        <f t="shared" si="14"/>
        <v>3.872983346207417</v>
      </c>
      <c r="V25">
        <v>48.133312640000007</v>
      </c>
      <c r="W25" t="s">
        <v>48</v>
      </c>
      <c r="X25">
        <f>1/0.01</f>
        <v>100</v>
      </c>
    </row>
    <row r="26" spans="1:24">
      <c r="A26">
        <v>30</v>
      </c>
      <c r="B26" t="s">
        <v>7</v>
      </c>
      <c r="C26">
        <v>0.5</v>
      </c>
      <c r="D26">
        <v>20</v>
      </c>
      <c r="E26">
        <v>3.34</v>
      </c>
      <c r="F26">
        <v>50.91830272</v>
      </c>
      <c r="K26">
        <v>30</v>
      </c>
      <c r="L26">
        <v>61.648708020000001</v>
      </c>
      <c r="M26">
        <v>50</v>
      </c>
      <c r="N26">
        <f t="shared" si="8"/>
        <v>19.17564599</v>
      </c>
      <c r="O26">
        <f t="shared" si="9"/>
        <v>30.82435401</v>
      </c>
      <c r="P26">
        <f t="shared" si="10"/>
        <v>61.648708020000001</v>
      </c>
      <c r="Q26">
        <v>128.20509999999999</v>
      </c>
      <c r="R26">
        <f t="shared" si="11"/>
        <v>66.556391979999987</v>
      </c>
      <c r="S26">
        <f t="shared" si="12"/>
        <v>4.1980495880124487</v>
      </c>
      <c r="T26">
        <f t="shared" si="13"/>
        <v>0.48662820298306064</v>
      </c>
      <c r="U26">
        <f t="shared" si="14"/>
        <v>5.4772255750516612</v>
      </c>
      <c r="V26">
        <v>61.648708020000001</v>
      </c>
      <c r="W26" t="s">
        <v>49</v>
      </c>
      <c r="X26">
        <f>EXP(4.4851)</f>
        <v>88.685818951441448</v>
      </c>
    </row>
    <row r="27" spans="1:24">
      <c r="A27">
        <v>30</v>
      </c>
      <c r="B27" t="s">
        <v>7</v>
      </c>
      <c r="C27">
        <v>0.5</v>
      </c>
      <c r="D27">
        <v>20</v>
      </c>
      <c r="E27">
        <v>4.53</v>
      </c>
      <c r="F27">
        <v>57.705038620000003</v>
      </c>
      <c r="K27">
        <v>60</v>
      </c>
      <c r="L27">
        <v>76.241481309999998</v>
      </c>
      <c r="M27">
        <v>50</v>
      </c>
      <c r="N27">
        <f t="shared" si="8"/>
        <v>11.879259345000001</v>
      </c>
      <c r="O27">
        <f t="shared" si="9"/>
        <v>38.120740654999999</v>
      </c>
      <c r="P27">
        <f t="shared" si="10"/>
        <v>76.241481309999998</v>
      </c>
      <c r="Q27">
        <v>128.20509999999999</v>
      </c>
      <c r="R27">
        <f t="shared" si="11"/>
        <v>51.96361868999999</v>
      </c>
      <c r="S27">
        <f t="shared" si="12"/>
        <v>3.9505438331418183</v>
      </c>
      <c r="T27">
        <f t="shared" si="13"/>
        <v>0.78697316695669017</v>
      </c>
      <c r="U27">
        <f t="shared" si="14"/>
        <v>7.745966692414834</v>
      </c>
      <c r="V27">
        <v>76.241481309999998</v>
      </c>
    </row>
    <row r="28" spans="1:24">
      <c r="A28">
        <v>30</v>
      </c>
      <c r="B28" t="s">
        <v>7</v>
      </c>
      <c r="C28">
        <v>0.5</v>
      </c>
      <c r="D28">
        <v>20</v>
      </c>
      <c r="E28">
        <v>7.32</v>
      </c>
      <c r="F28">
        <v>54.915627290000003</v>
      </c>
      <c r="K28">
        <v>90</v>
      </c>
      <c r="L28">
        <v>83.572573809999994</v>
      </c>
      <c r="M28">
        <v>50</v>
      </c>
      <c r="N28">
        <f t="shared" si="8"/>
        <v>8.2137130950000028</v>
      </c>
      <c r="O28">
        <f t="shared" si="9"/>
        <v>41.786286904999997</v>
      </c>
      <c r="P28">
        <f t="shared" si="10"/>
        <v>83.572573809999994</v>
      </c>
      <c r="Q28">
        <v>128.20509999999999</v>
      </c>
      <c r="R28">
        <f t="shared" si="11"/>
        <v>44.632526189999993</v>
      </c>
      <c r="S28">
        <f t="shared" si="12"/>
        <v>3.7984628799969431</v>
      </c>
      <c r="T28">
        <f t="shared" si="13"/>
        <v>1.0769083192844173</v>
      </c>
      <c r="U28">
        <f t="shared" si="14"/>
        <v>9.4868329805051381</v>
      </c>
      <c r="V28">
        <v>83.572573809999994</v>
      </c>
    </row>
    <row r="29" spans="1:24">
      <c r="A29">
        <v>30</v>
      </c>
      <c r="B29" t="s">
        <v>7</v>
      </c>
      <c r="C29">
        <v>0.5</v>
      </c>
      <c r="D29">
        <v>20</v>
      </c>
      <c r="E29">
        <v>8.26</v>
      </c>
      <c r="F29">
        <v>55.265241490000001</v>
      </c>
      <c r="K29">
        <v>120</v>
      </c>
      <c r="L29">
        <v>88.769582389999997</v>
      </c>
      <c r="M29">
        <v>50</v>
      </c>
      <c r="N29">
        <f t="shared" si="8"/>
        <v>5.6152088050000017</v>
      </c>
      <c r="O29">
        <f t="shared" si="9"/>
        <v>44.384791194999998</v>
      </c>
      <c r="P29">
        <f t="shared" si="10"/>
        <v>88.769582389999997</v>
      </c>
      <c r="Q29">
        <v>128.20509999999999</v>
      </c>
      <c r="R29">
        <f t="shared" si="11"/>
        <v>39.435517609999991</v>
      </c>
      <c r="S29">
        <f t="shared" si="12"/>
        <v>3.6746668724136167</v>
      </c>
      <c r="T29">
        <f t="shared" si="13"/>
        <v>1.3518144027398078</v>
      </c>
      <c r="U29">
        <f t="shared" si="14"/>
        <v>10.954451150103322</v>
      </c>
      <c r="V29">
        <v>88.769582389999997</v>
      </c>
    </row>
    <row r="30" spans="1:24">
      <c r="A30">
        <v>30</v>
      </c>
      <c r="B30" t="s">
        <v>7</v>
      </c>
      <c r="C30">
        <v>0.5</v>
      </c>
      <c r="D30">
        <v>20</v>
      </c>
      <c r="E30">
        <v>9.2899999999999991</v>
      </c>
      <c r="F30">
        <v>67.184170469999998</v>
      </c>
      <c r="K30">
        <v>150</v>
      </c>
      <c r="L30">
        <v>91.361498519999998</v>
      </c>
      <c r="M30">
        <v>50</v>
      </c>
      <c r="N30">
        <f t="shared" si="8"/>
        <v>4.3192507400000011</v>
      </c>
      <c r="O30">
        <f t="shared" si="9"/>
        <v>45.680749259999999</v>
      </c>
      <c r="P30">
        <f t="shared" si="10"/>
        <v>91.361498519999998</v>
      </c>
      <c r="Q30">
        <v>128.20509999999999</v>
      </c>
      <c r="R30">
        <f t="shared" si="11"/>
        <v>36.84360147999999</v>
      </c>
      <c r="S30">
        <f t="shared" si="12"/>
        <v>3.6066819666523351</v>
      </c>
      <c r="T30">
        <f t="shared" si="13"/>
        <v>1.6418294624093037</v>
      </c>
      <c r="U30">
        <f t="shared" si="14"/>
        <v>12.24744871391589</v>
      </c>
      <c r="V30">
        <v>91.361498519999998</v>
      </c>
    </row>
    <row r="31" spans="1:24">
      <c r="A31">
        <v>30</v>
      </c>
      <c r="B31" t="s">
        <v>7</v>
      </c>
      <c r="C31">
        <v>0.5</v>
      </c>
      <c r="D31">
        <v>20</v>
      </c>
      <c r="E31">
        <v>10.69</v>
      </c>
      <c r="F31">
        <v>21.47570486</v>
      </c>
    </row>
    <row r="32" spans="1:24" ht="15">
      <c r="A32">
        <v>30</v>
      </c>
      <c r="B32" t="s">
        <v>7</v>
      </c>
      <c r="C32">
        <v>1</v>
      </c>
      <c r="D32" s="6">
        <v>1</v>
      </c>
      <c r="E32">
        <v>6.56</v>
      </c>
      <c r="F32" s="1">
        <v>100</v>
      </c>
    </row>
    <row r="33" spans="1:6" ht="15">
      <c r="A33">
        <v>30</v>
      </c>
      <c r="B33" t="s">
        <v>7</v>
      </c>
      <c r="C33">
        <v>1</v>
      </c>
      <c r="D33" s="6">
        <v>5</v>
      </c>
      <c r="E33">
        <v>6.56</v>
      </c>
      <c r="F33" s="1">
        <v>98.874355249999994</v>
      </c>
    </row>
    <row r="34" spans="1:6" ht="15">
      <c r="A34">
        <v>30</v>
      </c>
      <c r="B34" t="s">
        <v>7</v>
      </c>
      <c r="C34">
        <v>1</v>
      </c>
      <c r="D34" s="6">
        <v>10</v>
      </c>
      <c r="E34">
        <v>6.56</v>
      </c>
      <c r="F34" s="1">
        <v>95.982702810000006</v>
      </c>
    </row>
    <row r="35" spans="1:6" ht="15">
      <c r="A35">
        <v>30</v>
      </c>
      <c r="B35" t="s">
        <v>7</v>
      </c>
      <c r="C35">
        <v>1</v>
      </c>
      <c r="D35" s="6">
        <v>25</v>
      </c>
      <c r="E35">
        <v>6.56</v>
      </c>
      <c r="F35" s="1">
        <v>88.917270569999999</v>
      </c>
    </row>
    <row r="36" spans="1:6" ht="15">
      <c r="A36">
        <v>30</v>
      </c>
      <c r="B36" t="s">
        <v>7</v>
      </c>
      <c r="C36">
        <v>1</v>
      </c>
      <c r="D36" s="6">
        <v>50</v>
      </c>
      <c r="E36">
        <v>6.56</v>
      </c>
      <c r="F36" s="1">
        <v>62.130344950000001</v>
      </c>
    </row>
  </sheetData>
  <mergeCells count="1">
    <mergeCell ref="M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Cooh</vt:lpstr>
      <vt:lpstr>MSN</vt:lpstr>
      <vt:lpstr>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Tajudeen Oyehan (PhD Div Env Health Risk Mgt FT)</dc:creator>
  <cp:lastModifiedBy>Admin</cp:lastModifiedBy>
  <dcterms:created xsi:type="dcterms:W3CDTF">2025-01-28T20:48:51Z</dcterms:created>
  <dcterms:modified xsi:type="dcterms:W3CDTF">2025-01-30T23:37:17Z</dcterms:modified>
</cp:coreProperties>
</file>