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\data analysis\4\"/>
    </mc:Choice>
  </mc:AlternateContent>
  <xr:revisionPtr revIDLastSave="0" documentId="13_ncr:1_{374CF498-07FB-4017-A747-6335556B11A2}" xr6:coauthVersionLast="47" xr6:coauthVersionMax="47" xr10:uidLastSave="{00000000-0000-0000-0000-000000000000}"/>
  <bookViews>
    <workbookView xWindow="-108" yWindow="-108" windowWidth="23256" windowHeight="12576" xr2:uid="{9EF3F72C-A655-4854-9946-4F0806A20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1" i="1" l="1"/>
  <c r="K131" i="1"/>
  <c r="L131" i="1"/>
  <c r="M131" i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2" i="1"/>
  <c r="AN130" i="1"/>
  <c r="AI130" i="1"/>
  <c r="AJ130" i="1" s="1"/>
  <c r="AN129" i="1"/>
  <c r="AI129" i="1"/>
  <c r="AJ129" i="1" s="1"/>
  <c r="AN128" i="1"/>
  <c r="AI128" i="1"/>
  <c r="AJ128" i="1" s="1"/>
  <c r="AN127" i="1"/>
  <c r="AI127" i="1"/>
  <c r="AJ127" i="1" s="1"/>
  <c r="AK126" i="1"/>
  <c r="AN126" i="1" s="1"/>
  <c r="AI126" i="1"/>
  <c r="AJ126" i="1" s="1"/>
  <c r="AN125" i="1"/>
  <c r="AI125" i="1"/>
  <c r="AJ125" i="1" s="1"/>
  <c r="AN124" i="1"/>
  <c r="AI124" i="1"/>
  <c r="AJ124" i="1" s="1"/>
  <c r="AN123" i="1"/>
  <c r="AL123" i="1"/>
  <c r="AI123" i="1"/>
  <c r="AJ123" i="1" s="1"/>
  <c r="AN122" i="1"/>
  <c r="AI122" i="1"/>
  <c r="AJ122" i="1" s="1"/>
  <c r="AN121" i="1"/>
  <c r="AI121" i="1"/>
  <c r="AJ121" i="1" s="1"/>
  <c r="AN120" i="1"/>
  <c r="AI120" i="1"/>
  <c r="AJ120" i="1" s="1"/>
  <c r="AN119" i="1"/>
  <c r="AI119" i="1"/>
  <c r="AJ119" i="1" s="1"/>
  <c r="AN118" i="1"/>
  <c r="AI118" i="1"/>
  <c r="AJ118" i="1" s="1"/>
  <c r="AN117" i="1"/>
  <c r="AI117" i="1"/>
  <c r="AJ117" i="1" s="1"/>
  <c r="AN116" i="1"/>
  <c r="AI116" i="1"/>
  <c r="AJ116" i="1" s="1"/>
  <c r="AN115" i="1"/>
  <c r="AI115" i="1"/>
  <c r="AJ115" i="1" s="1"/>
  <c r="AN114" i="1"/>
  <c r="AI114" i="1"/>
  <c r="AJ114" i="1" s="1"/>
  <c r="AN113" i="1"/>
  <c r="AI113" i="1"/>
  <c r="AJ113" i="1" s="1"/>
  <c r="AN112" i="1"/>
  <c r="AI112" i="1"/>
  <c r="AJ112" i="1" s="1"/>
  <c r="AN111" i="1"/>
  <c r="AI111" i="1"/>
  <c r="AJ111" i="1" s="1"/>
  <c r="AN110" i="1"/>
  <c r="AI110" i="1"/>
  <c r="AJ110" i="1" s="1"/>
  <c r="AN109" i="1"/>
  <c r="AI109" i="1"/>
  <c r="AJ109" i="1" s="1"/>
  <c r="AN108" i="1"/>
  <c r="AI108" i="1"/>
  <c r="AJ108" i="1" s="1"/>
  <c r="AM107" i="1"/>
  <c r="AN107" i="1" s="1"/>
  <c r="AI107" i="1"/>
  <c r="AJ107" i="1" s="1"/>
  <c r="AN106" i="1"/>
  <c r="AI106" i="1"/>
  <c r="AJ106" i="1" s="1"/>
  <c r="AN105" i="1"/>
  <c r="AI105" i="1"/>
  <c r="AJ105" i="1" s="1"/>
  <c r="AN104" i="1"/>
  <c r="AI104" i="1"/>
  <c r="AJ104" i="1" s="1"/>
  <c r="AN103" i="1"/>
  <c r="AI103" i="1"/>
  <c r="AJ103" i="1" s="1"/>
  <c r="AN102" i="1"/>
  <c r="AI102" i="1"/>
  <c r="AJ102" i="1" s="1"/>
  <c r="AN101" i="1"/>
  <c r="AJ101" i="1"/>
  <c r="AN100" i="1"/>
  <c r="AI100" i="1"/>
  <c r="AJ100" i="1" s="1"/>
  <c r="AN99" i="1"/>
  <c r="AI99" i="1"/>
  <c r="AJ99" i="1" s="1"/>
  <c r="AN98" i="1"/>
  <c r="AI98" i="1"/>
  <c r="AJ98" i="1" s="1"/>
  <c r="AN97" i="1"/>
  <c r="AI97" i="1"/>
  <c r="AJ97" i="1" s="1"/>
  <c r="AN96" i="1"/>
  <c r="AI96" i="1"/>
  <c r="AJ96" i="1" s="1"/>
  <c r="AN95" i="1"/>
  <c r="AI95" i="1"/>
  <c r="AJ95" i="1" s="1"/>
  <c r="AN94" i="1"/>
  <c r="AI94" i="1"/>
  <c r="AJ94" i="1" s="1"/>
  <c r="AN93" i="1"/>
  <c r="AI93" i="1"/>
  <c r="AJ93" i="1" s="1"/>
  <c r="AN92" i="1"/>
  <c r="AI92" i="1"/>
  <c r="AJ92" i="1" s="1"/>
  <c r="AN91" i="1"/>
  <c r="AI91" i="1"/>
  <c r="AJ91" i="1" s="1"/>
  <c r="AN90" i="1"/>
  <c r="AI90" i="1"/>
  <c r="AJ90" i="1" s="1"/>
  <c r="AK89" i="1"/>
  <c r="AN89" i="1" s="1"/>
  <c r="AI89" i="1"/>
  <c r="AJ89" i="1" s="1"/>
  <c r="AN88" i="1"/>
  <c r="AI88" i="1"/>
  <c r="AJ88" i="1" s="1"/>
  <c r="AN87" i="1"/>
  <c r="AI87" i="1"/>
  <c r="AJ87" i="1" s="1"/>
  <c r="AH87" i="1"/>
  <c r="AN86" i="1"/>
  <c r="AI86" i="1"/>
  <c r="AJ86" i="1" s="1"/>
  <c r="AN85" i="1"/>
  <c r="AI85" i="1"/>
  <c r="AJ85" i="1" s="1"/>
  <c r="AN84" i="1"/>
  <c r="AN83" i="1"/>
  <c r="AI83" i="1"/>
  <c r="AJ83" i="1" s="1"/>
  <c r="AN82" i="1"/>
  <c r="AI82" i="1"/>
  <c r="AJ82" i="1" s="1"/>
  <c r="AN81" i="1"/>
  <c r="AI81" i="1"/>
  <c r="AJ81" i="1" s="1"/>
  <c r="AN80" i="1"/>
  <c r="AI80" i="1"/>
  <c r="AJ80" i="1" s="1"/>
  <c r="AN79" i="1"/>
  <c r="AI79" i="1"/>
  <c r="AJ79" i="1" s="1"/>
  <c r="AN78" i="1"/>
  <c r="AI78" i="1"/>
  <c r="AJ78" i="1" s="1"/>
  <c r="AN77" i="1"/>
  <c r="AI77" i="1"/>
  <c r="AJ77" i="1" s="1"/>
  <c r="AN76" i="1"/>
  <c r="AI76" i="1"/>
  <c r="AJ76" i="1" s="1"/>
  <c r="AN75" i="1"/>
  <c r="AI75" i="1"/>
  <c r="AJ75" i="1" s="1"/>
  <c r="AN74" i="1"/>
  <c r="AI74" i="1"/>
  <c r="AJ74" i="1" s="1"/>
  <c r="AN73" i="1"/>
  <c r="AI73" i="1"/>
  <c r="AJ73" i="1" s="1"/>
  <c r="AN72" i="1"/>
  <c r="AI72" i="1"/>
  <c r="AJ72" i="1" s="1"/>
  <c r="AN71" i="1"/>
  <c r="AI71" i="1"/>
  <c r="AJ71" i="1" s="1"/>
  <c r="AN70" i="1"/>
  <c r="AI70" i="1"/>
  <c r="AJ70" i="1" s="1"/>
  <c r="AM69" i="1"/>
  <c r="AN69" i="1" s="1"/>
  <c r="AI69" i="1"/>
  <c r="AJ69" i="1" s="1"/>
  <c r="AN68" i="1"/>
  <c r="AI68" i="1"/>
  <c r="AJ68" i="1" s="1"/>
  <c r="AN67" i="1"/>
  <c r="AI67" i="1"/>
  <c r="AJ67" i="1" s="1"/>
  <c r="AN66" i="1"/>
  <c r="AI66" i="1"/>
  <c r="AJ66" i="1" s="1"/>
  <c r="AN65" i="1"/>
  <c r="AI65" i="1"/>
  <c r="AJ65" i="1" s="1"/>
  <c r="AN64" i="1"/>
  <c r="AI64" i="1"/>
  <c r="AJ64" i="1" s="1"/>
  <c r="AN63" i="1"/>
  <c r="AI63" i="1"/>
  <c r="AJ63" i="1" s="1"/>
  <c r="AN62" i="1"/>
  <c r="AI62" i="1"/>
  <c r="AJ62" i="1" s="1"/>
  <c r="AN61" i="1"/>
  <c r="AI61" i="1"/>
  <c r="AJ61" i="1" s="1"/>
  <c r="AN60" i="1"/>
  <c r="AI60" i="1"/>
  <c r="AJ60" i="1" s="1"/>
  <c r="AN59" i="1"/>
  <c r="AI59" i="1"/>
  <c r="AJ59" i="1" s="1"/>
  <c r="AM58" i="1"/>
  <c r="AN58" i="1" s="1"/>
  <c r="AI58" i="1"/>
  <c r="AJ58" i="1" s="1"/>
  <c r="AN57" i="1"/>
  <c r="AJ57" i="1"/>
  <c r="AN56" i="1"/>
  <c r="AI56" i="1"/>
  <c r="AJ56" i="1" s="1"/>
  <c r="AN55" i="1"/>
  <c r="AI55" i="1"/>
  <c r="AJ55" i="1" s="1"/>
  <c r="AN54" i="1"/>
  <c r="AI54" i="1"/>
  <c r="AJ54" i="1" s="1"/>
  <c r="AN53" i="1"/>
  <c r="AI53" i="1"/>
  <c r="AJ53" i="1" s="1"/>
  <c r="AN52" i="1"/>
  <c r="AI52" i="1"/>
  <c r="AJ52" i="1" s="1"/>
  <c r="AN51" i="1"/>
  <c r="AI51" i="1"/>
  <c r="AJ51" i="1" s="1"/>
  <c r="AN50" i="1"/>
  <c r="AI50" i="1"/>
  <c r="AJ50" i="1" s="1"/>
  <c r="AN49" i="1"/>
  <c r="AI49" i="1"/>
  <c r="AJ49" i="1" s="1"/>
  <c r="AN48" i="1"/>
  <c r="AI48" i="1"/>
  <c r="AJ48" i="1" s="1"/>
  <c r="AN47" i="1"/>
  <c r="AI47" i="1"/>
  <c r="AJ47" i="1" s="1"/>
  <c r="AN46" i="1"/>
  <c r="AI46" i="1"/>
  <c r="AJ46" i="1" s="1"/>
  <c r="AN45" i="1"/>
  <c r="AJ45" i="1"/>
  <c r="AN44" i="1"/>
  <c r="AI44" i="1"/>
  <c r="AJ44" i="1" s="1"/>
  <c r="AN43" i="1"/>
  <c r="AI43" i="1"/>
  <c r="AJ43" i="1" s="1"/>
  <c r="AN42" i="1"/>
  <c r="AI42" i="1"/>
  <c r="AJ42" i="1" s="1"/>
  <c r="AN41" i="1"/>
  <c r="AI41" i="1"/>
  <c r="AJ41" i="1" s="1"/>
  <c r="AN40" i="1"/>
  <c r="AJ40" i="1"/>
  <c r="AN39" i="1"/>
  <c r="AI39" i="1"/>
  <c r="AJ39" i="1" s="1"/>
  <c r="AN38" i="1"/>
  <c r="AI38" i="1"/>
  <c r="AJ38" i="1" s="1"/>
  <c r="AN37" i="1"/>
  <c r="AJ37" i="1"/>
  <c r="AN36" i="1"/>
  <c r="AI36" i="1"/>
  <c r="AJ36" i="1" s="1"/>
  <c r="AN35" i="1"/>
  <c r="AI35" i="1"/>
  <c r="AJ35" i="1" s="1"/>
  <c r="AN34" i="1"/>
  <c r="AI34" i="1"/>
  <c r="AJ34" i="1" s="1"/>
  <c r="AN33" i="1"/>
  <c r="AI33" i="1"/>
  <c r="AJ33" i="1" s="1"/>
  <c r="AN32" i="1"/>
  <c r="AI32" i="1"/>
  <c r="AJ32" i="1" s="1"/>
  <c r="AN31" i="1"/>
  <c r="AI31" i="1"/>
  <c r="AJ31" i="1" s="1"/>
  <c r="AN30" i="1"/>
  <c r="AI30" i="1"/>
  <c r="AJ30" i="1" s="1"/>
  <c r="AH30" i="1"/>
  <c r="AN29" i="1"/>
  <c r="AI29" i="1"/>
  <c r="AJ29" i="1" s="1"/>
  <c r="AN28" i="1"/>
  <c r="AI28" i="1"/>
  <c r="AJ28" i="1" s="1"/>
  <c r="AN27" i="1"/>
  <c r="AJ27" i="1"/>
  <c r="AN26" i="1"/>
  <c r="AI26" i="1"/>
  <c r="AJ26" i="1" s="1"/>
  <c r="AN25" i="1"/>
  <c r="AJ25" i="1"/>
  <c r="AM24" i="1"/>
  <c r="AN24" i="1" s="1"/>
  <c r="AI24" i="1"/>
  <c r="AJ24" i="1" s="1"/>
  <c r="AM23" i="1"/>
  <c r="AN23" i="1" s="1"/>
  <c r="AI23" i="1"/>
  <c r="AJ23" i="1" s="1"/>
  <c r="AN22" i="1"/>
  <c r="AJ22" i="1"/>
  <c r="AN21" i="1"/>
  <c r="AJ21" i="1"/>
  <c r="AN20" i="1"/>
  <c r="AJ20" i="1"/>
  <c r="AN19" i="1"/>
  <c r="AI19" i="1"/>
  <c r="AJ19" i="1" s="1"/>
  <c r="AN18" i="1"/>
  <c r="AI18" i="1"/>
  <c r="AJ18" i="1" s="1"/>
  <c r="AN17" i="1"/>
  <c r="AI17" i="1"/>
  <c r="AJ17" i="1" s="1"/>
  <c r="AN16" i="1"/>
  <c r="AI16" i="1"/>
  <c r="AJ16" i="1" s="1"/>
  <c r="AN15" i="1"/>
  <c r="AI15" i="1"/>
  <c r="AJ15" i="1" s="1"/>
  <c r="AH15" i="1"/>
  <c r="AN14" i="1"/>
  <c r="AI14" i="1"/>
  <c r="AJ14" i="1" s="1"/>
  <c r="AN13" i="1"/>
  <c r="AI13" i="1"/>
  <c r="AJ13" i="1" s="1"/>
  <c r="AN12" i="1"/>
  <c r="AJ12" i="1"/>
  <c r="AN11" i="1"/>
  <c r="AJ11" i="1"/>
  <c r="AN10" i="1"/>
  <c r="AJ10" i="1"/>
  <c r="AN9" i="1"/>
  <c r="AN8" i="1"/>
  <c r="AJ8" i="1"/>
  <c r="AN7" i="1"/>
  <c r="AN6" i="1"/>
  <c r="AJ6" i="1"/>
  <c r="AN5" i="1"/>
  <c r="AJ5" i="1"/>
  <c r="AN4" i="1"/>
  <c r="AN3" i="1"/>
  <c r="AI3" i="1"/>
  <c r="AJ3" i="1" s="1"/>
  <c r="AH3" i="1"/>
  <c r="AN2" i="1"/>
  <c r="AI2" i="1"/>
  <c r="AJ2" i="1" s="1"/>
  <c r="Z2" i="1" l="1"/>
  <c r="Z114" i="1"/>
  <c r="Z66" i="1"/>
  <c r="Z42" i="1"/>
  <c r="Z129" i="1"/>
  <c r="Z97" i="1"/>
  <c r="Z81" i="1"/>
  <c r="Z73" i="1"/>
  <c r="Z41" i="1"/>
  <c r="Z9" i="1"/>
  <c r="Z124" i="1"/>
  <c r="Z116" i="1"/>
  <c r="Z108" i="1"/>
  <c r="Z100" i="1"/>
  <c r="Z92" i="1"/>
  <c r="Z84" i="1"/>
  <c r="Z76" i="1"/>
  <c r="Z68" i="1"/>
  <c r="Z60" i="1"/>
  <c r="Z52" i="1"/>
  <c r="Z44" i="1"/>
  <c r="Z36" i="1"/>
  <c r="Z28" i="1"/>
  <c r="Z20" i="1"/>
  <c r="Z12" i="1"/>
  <c r="Z4" i="1"/>
  <c r="Z106" i="1"/>
  <c r="Z74" i="1"/>
  <c r="Z50" i="1"/>
  <c r="Z113" i="1"/>
  <c r="Z49" i="1"/>
  <c r="Z123" i="1"/>
  <c r="Z115" i="1"/>
  <c r="Z107" i="1"/>
  <c r="Z99" i="1"/>
  <c r="Z91" i="1"/>
  <c r="Z83" i="1"/>
  <c r="Z75" i="1"/>
  <c r="Z67" i="1"/>
  <c r="Z59" i="1"/>
  <c r="Z51" i="1"/>
  <c r="Z43" i="1"/>
  <c r="Z35" i="1"/>
  <c r="Z27" i="1"/>
  <c r="Z19" i="1"/>
  <c r="Z11" i="1"/>
  <c r="Z3" i="1"/>
  <c r="Z130" i="1"/>
  <c r="Z82" i="1"/>
  <c r="Z58" i="1"/>
  <c r="Z18" i="1"/>
  <c r="Z89" i="1"/>
  <c r="Z65" i="1"/>
  <c r="Z17" i="1"/>
  <c r="Z128" i="1"/>
  <c r="Z120" i="1"/>
  <c r="Z112" i="1"/>
  <c r="Z104" i="1"/>
  <c r="Z96" i="1"/>
  <c r="Z88" i="1"/>
  <c r="Z80" i="1"/>
  <c r="Z72" i="1"/>
  <c r="Z64" i="1"/>
  <c r="Z56" i="1"/>
  <c r="Z48" i="1"/>
  <c r="Z40" i="1"/>
  <c r="Z32" i="1"/>
  <c r="Z24" i="1"/>
  <c r="Z16" i="1"/>
  <c r="Z8" i="1"/>
  <c r="Z98" i="1"/>
  <c r="Z26" i="1"/>
  <c r="Z121" i="1"/>
  <c r="Z25" i="1"/>
  <c r="Z127" i="1"/>
  <c r="Z119" i="1"/>
  <c r="Z111" i="1"/>
  <c r="Z103" i="1"/>
  <c r="Z95" i="1"/>
  <c r="Z87" i="1"/>
  <c r="Z79" i="1"/>
  <c r="Z71" i="1"/>
  <c r="Z63" i="1"/>
  <c r="Z55" i="1"/>
  <c r="Z47" i="1"/>
  <c r="Z39" i="1"/>
  <c r="Z31" i="1"/>
  <c r="Z23" i="1"/>
  <c r="Z15" i="1"/>
  <c r="Z7" i="1"/>
  <c r="Z90" i="1"/>
  <c r="Z10" i="1"/>
  <c r="Z57" i="1"/>
  <c r="Z126" i="1"/>
  <c r="Z118" i="1"/>
  <c r="Z110" i="1"/>
  <c r="Z102" i="1"/>
  <c r="Z94" i="1"/>
  <c r="Z86" i="1"/>
  <c r="Z78" i="1"/>
  <c r="Z70" i="1"/>
  <c r="Z62" i="1"/>
  <c r="Z54" i="1"/>
  <c r="Z46" i="1"/>
  <c r="Z38" i="1"/>
  <c r="Z30" i="1"/>
  <c r="Z22" i="1"/>
  <c r="Z14" i="1"/>
  <c r="Z6" i="1"/>
  <c r="Z122" i="1"/>
  <c r="Z34" i="1"/>
  <c r="Z105" i="1"/>
  <c r="Z33" i="1"/>
  <c r="Z125" i="1"/>
  <c r="Z117" i="1"/>
  <c r="Z109" i="1"/>
  <c r="Z101" i="1"/>
  <c r="Z93" i="1"/>
  <c r="Z85" i="1"/>
  <c r="Z77" i="1"/>
  <c r="Z69" i="1"/>
  <c r="Z61" i="1"/>
  <c r="Z53" i="1"/>
  <c r="Z45" i="1"/>
  <c r="Z37" i="1"/>
  <c r="Z29" i="1"/>
  <c r="Z21" i="1"/>
  <c r="Z13" i="1"/>
  <c r="Z5" i="1"/>
</calcChain>
</file>

<file path=xl/sharedStrings.xml><?xml version="1.0" encoding="utf-8"?>
<sst xmlns="http://schemas.openxmlformats.org/spreadsheetml/2006/main" count="41" uniqueCount="41">
  <si>
    <t>Companies</t>
  </si>
  <si>
    <t>Categorization</t>
  </si>
  <si>
    <t>HausaFulani</t>
  </si>
  <si>
    <t>Igbo</t>
  </si>
  <si>
    <t>Yoruba</t>
  </si>
  <si>
    <t xml:space="preserve">Minority </t>
  </si>
  <si>
    <t>Female</t>
  </si>
  <si>
    <t>Male</t>
  </si>
  <si>
    <t>ChairmanH</t>
  </si>
  <si>
    <t>ChairmanI</t>
  </si>
  <si>
    <t>ChairmanY</t>
  </si>
  <si>
    <t>ChairmanM</t>
  </si>
  <si>
    <t>ChairmanNN</t>
  </si>
  <si>
    <t>Executive</t>
  </si>
  <si>
    <t>NonExecutive</t>
  </si>
  <si>
    <t>IndExecutive</t>
  </si>
  <si>
    <t>CeoH</t>
  </si>
  <si>
    <t>CeoI</t>
  </si>
  <si>
    <t>CeoY</t>
  </si>
  <si>
    <t>CeoM</t>
  </si>
  <si>
    <t>CeoNN</t>
  </si>
  <si>
    <t>Years</t>
  </si>
  <si>
    <t>Employees</t>
  </si>
  <si>
    <t>OperatingExpenses</t>
  </si>
  <si>
    <t>TotalExpenses</t>
  </si>
  <si>
    <t>Sales</t>
  </si>
  <si>
    <t>Cash</t>
  </si>
  <si>
    <t>TotalAssets</t>
  </si>
  <si>
    <t>AssetTurnover</t>
  </si>
  <si>
    <t>GroupNotgroup</t>
  </si>
  <si>
    <t>NonNative</t>
  </si>
  <si>
    <t>Sector</t>
  </si>
  <si>
    <t>TotalCeos</t>
  </si>
  <si>
    <t>TotalBoardMembers</t>
  </si>
  <si>
    <t>TotalNumberOfDirectors</t>
  </si>
  <si>
    <t>TotalNumberOfChairmen</t>
  </si>
  <si>
    <t>BoardMembers</t>
  </si>
  <si>
    <t>DummyIgbo</t>
  </si>
  <si>
    <t>DummyHausa/Fulani</t>
  </si>
  <si>
    <t>DummyYoruba</t>
  </si>
  <si>
    <t xml:space="preserve">DummyNonPredominant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</si>
</sst>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7030A0"/>
      <name val="Times New Roman"/>
      <family val="1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4" fillId="0" borderId="0" xfId="0" applyFont="1"/>
    <xf numFmtId="0" fontId="3" fillId="0" borderId="2" xfId="0" applyFont="1" applyBorder="1"/>
    <xf numFmtId="0" fontId="2" fillId="0" borderId="2" xfId="0" applyFont="1" applyBorder="1"/>
    <xf numFmtId="0" fontId="5" fillId="2" borderId="2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horizontal="right"/>
    </xf>
    <xf numFmtId="43" fontId="2" fillId="0" borderId="2" xfId="1" applyFont="1" applyBorder="1"/>
    <xf numFmtId="164" fontId="2" fillId="0" borderId="2" xfId="1" applyNumberFormat="1" applyFont="1" applyBorder="1"/>
    <xf numFmtId="0" fontId="3" fillId="0" borderId="3" xfId="0" applyFont="1" applyBorder="1"/>
    <xf numFmtId="0" fontId="5" fillId="3" borderId="2" xfId="0" applyFont="1" applyFill="1" applyBorder="1" applyAlignment="1">
      <alignment horizontal="left" vertical="center" wrapText="1" indent="1"/>
    </xf>
    <xf numFmtId="0" fontId="6" fillId="0" borderId="2" xfId="0" applyFont="1" applyBorder="1"/>
    <xf numFmtId="43" fontId="3" fillId="0" borderId="2" xfId="1" applyFont="1" applyBorder="1"/>
    <xf numFmtId="1" fontId="2" fillId="0" borderId="2" xfId="1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" fontId="3" fillId="0" borderId="2" xfId="1" applyNumberFormat="1" applyFont="1" applyBorder="1" applyAlignment="1">
      <alignment horizontal="right"/>
    </xf>
    <xf numFmtId="43" fontId="7" fillId="0" borderId="2" xfId="1" applyFont="1" applyBorder="1"/>
    <xf numFmtId="0" fontId="7" fillId="0" borderId="2" xfId="0" applyFont="1" applyBorder="1"/>
    <xf numFmtId="1" fontId="7" fillId="0" borderId="2" xfId="1" applyNumberFormat="1" applyFont="1" applyBorder="1" applyAlignment="1">
      <alignment horizontal="right"/>
    </xf>
    <xf numFmtId="2" fontId="2" fillId="0" borderId="2" xfId="1" applyNumberFormat="1" applyFont="1" applyBorder="1"/>
    <xf numFmtId="0" fontId="3" fillId="2" borderId="2" xfId="0" applyFont="1" applyFill="1" applyBorder="1" applyAlignment="1">
      <alignment horizontal="left" vertical="center" wrapText="1" indent="1"/>
    </xf>
    <xf numFmtId="0" fontId="8" fillId="0" borderId="0" xfId="0" applyFont="1"/>
    <xf numFmtId="0" fontId="2" fillId="0" borderId="4" xfId="0" applyFont="1" applyBorder="1"/>
    <xf numFmtId="0" fontId="5" fillId="3" borderId="4" xfId="0" applyFont="1" applyFill="1" applyBorder="1" applyAlignment="1">
      <alignment horizontal="left" vertical="center" wrapText="1" indent="1"/>
    </xf>
    <xf numFmtId="1" fontId="2" fillId="0" borderId="4" xfId="1" applyNumberFormat="1" applyFont="1" applyBorder="1" applyAlignment="1">
      <alignment horizontal="right"/>
    </xf>
    <xf numFmtId="43" fontId="2" fillId="0" borderId="4" xfId="1" applyFont="1" applyBorder="1"/>
    <xf numFmtId="164" fontId="2" fillId="0" borderId="4" xfId="1" applyNumberFormat="1" applyFont="1" applyBorder="1"/>
    <xf numFmtId="0" fontId="2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  <xf numFmtId="0" fontId="3" fillId="3" borderId="2" xfId="0" applyFont="1" applyFill="1" applyBorder="1" applyAlignment="1">
      <alignment horizontal="left" vertical="center" wrapText="1" indent="1"/>
    </xf>
    <xf numFmtId="0" fontId="2" fillId="0" borderId="6" xfId="0" applyFont="1" applyBorder="1"/>
    <xf numFmtId="0" fontId="3" fillId="0" borderId="7" xfId="0" applyFont="1" applyBorder="1"/>
    <xf numFmtId="0" fontId="2" fillId="0" borderId="7" xfId="0" applyFont="1" applyBorder="1"/>
    <xf numFmtId="0" fontId="3" fillId="0" borderId="8" xfId="0" applyFon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4" xfId="0" applyFont="1" applyBorder="1"/>
    <xf numFmtId="0" fontId="2" fillId="0" borderId="9" xfId="0" applyFont="1" applyBorder="1"/>
    <xf numFmtId="0" fontId="3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98B0-B869-4CA3-84B3-1CFE7C3B33E2}">
  <dimension ref="A1:AZ161"/>
  <sheetViews>
    <sheetView tabSelected="1" workbookViewId="0"/>
  </sheetViews>
  <sheetFormatPr defaultColWidth="13.109375" defaultRowHeight="15.6" x14ac:dyDescent="0.3"/>
  <cols>
    <col min="1" max="1" width="9.44140625" style="28" bestFit="1" customWidth="1"/>
    <col min="2" max="2" width="12.109375" style="28" bestFit="1" customWidth="1"/>
    <col min="3" max="3" width="6" style="28" bestFit="1" customWidth="1"/>
    <col min="4" max="4" width="16.77734375" style="28" bestFit="1" customWidth="1"/>
    <col min="5" max="5" width="10.21875" style="28" bestFit="1" customWidth="1"/>
    <col min="6" max="6" width="4.33203125" style="28" bestFit="1" customWidth="1"/>
    <col min="7" max="7" width="6.44140625" style="28" bestFit="1" customWidth="1"/>
    <col min="8" max="8" width="8.21875" style="28" bestFit="1" customWidth="1"/>
    <col min="9" max="9" width="9.109375" style="28" bestFit="1" customWidth="1"/>
    <col min="10" max="10" width="16.88671875" style="3" bestFit="1" customWidth="1"/>
    <col min="11" max="11" width="10.33203125" style="3" bestFit="1" customWidth="1"/>
    <col min="12" max="12" width="12.44140625" style="3" bestFit="1" customWidth="1"/>
    <col min="13" max="13" width="20.5546875" style="3" bestFit="1" customWidth="1"/>
    <col min="14" max="14" width="6.5546875" style="28" bestFit="1" customWidth="1"/>
    <col min="15" max="15" width="4.88671875" style="28" bestFit="1" customWidth="1"/>
    <col min="16" max="16" width="9.5546875" style="28" bestFit="1" customWidth="1"/>
    <col min="17" max="17" width="8.77734375" style="28" bestFit="1" customWidth="1"/>
    <col min="18" max="18" width="9.44140625" style="28" bestFit="1" customWidth="1"/>
    <col min="19" max="19" width="9.88671875" style="28" bestFit="1" customWidth="1"/>
    <col min="20" max="20" width="10.88671875" style="28" bestFit="1" customWidth="1"/>
    <col min="21" max="21" width="20.5546875" style="28" bestFit="1" customWidth="1"/>
    <col min="22" max="22" width="8.44140625" style="28" bestFit="1" customWidth="1"/>
    <col min="23" max="23" width="11.6640625" style="28" bestFit="1" customWidth="1"/>
    <col min="24" max="24" width="10.77734375" style="28" bestFit="1" customWidth="1"/>
    <col min="25" max="25" width="20.5546875" style="28" bestFit="1" customWidth="1"/>
    <col min="26" max="26" width="12.77734375" style="28" bestFit="1" customWidth="1"/>
    <col min="27" max="27" width="5.44140625" style="28" bestFit="1" customWidth="1"/>
    <col min="28" max="28" width="4.6640625" style="28" bestFit="1" customWidth="1"/>
    <col min="29" max="29" width="5.33203125" style="28" bestFit="1" customWidth="1"/>
    <col min="30" max="30" width="5.77734375" style="28" bestFit="1" customWidth="1"/>
    <col min="31" max="31" width="6.77734375" style="28" bestFit="1" customWidth="1"/>
    <col min="32" max="32" width="8.77734375" style="28" bestFit="1" customWidth="1"/>
    <col min="33" max="33" width="5.33203125" style="28" bestFit="1" customWidth="1"/>
    <col min="34" max="34" width="9.44140625" style="29" bestFit="1" customWidth="1"/>
    <col min="35" max="35" width="15.6640625" style="3" bestFit="1" customWidth="1"/>
    <col min="36" max="36" width="14.77734375" style="3" bestFit="1" customWidth="1"/>
    <col min="37" max="37" width="16.21875" style="3" bestFit="1" customWidth="1"/>
    <col min="38" max="38" width="14.77734375" style="3" bestFit="1" customWidth="1"/>
    <col min="39" max="39" width="16.21875" style="3" bestFit="1" customWidth="1"/>
    <col min="40" max="40" width="12" style="3" bestFit="1" customWidth="1"/>
    <col min="41" max="41" width="13.109375" style="30"/>
    <col min="46" max="46" width="13.109375" style="3"/>
    <col min="48" max="16384" width="13.109375" style="3"/>
  </cols>
  <sheetData>
    <row r="1" spans="1:41" ht="14.4" customHeight="1" x14ac:dyDescent="0.3">
      <c r="A1" s="32" t="s">
        <v>0</v>
      </c>
      <c r="B1" s="1" t="s">
        <v>1</v>
      </c>
      <c r="C1" s="1" t="s">
        <v>31</v>
      </c>
      <c r="D1" s="1" t="s">
        <v>33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30</v>
      </c>
      <c r="J1" s="1" t="s">
        <v>38</v>
      </c>
      <c r="K1" s="1" t="s">
        <v>37</v>
      </c>
      <c r="L1" s="1" t="s">
        <v>39</v>
      </c>
      <c r="M1" s="1" t="s">
        <v>40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35</v>
      </c>
      <c r="V1" s="1" t="s">
        <v>13</v>
      </c>
      <c r="W1" s="1" t="s">
        <v>14</v>
      </c>
      <c r="X1" s="1" t="s">
        <v>15</v>
      </c>
      <c r="Y1" s="1" t="s">
        <v>34</v>
      </c>
      <c r="Z1" s="1" t="s">
        <v>36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21</v>
      </c>
      <c r="AH1" s="2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39" t="s">
        <v>29</v>
      </c>
    </row>
    <row r="2" spans="1:41" ht="14.4" customHeight="1" x14ac:dyDescent="0.3">
      <c r="A2" s="33">
        <v>1</v>
      </c>
      <c r="B2" s="5">
        <v>2</v>
      </c>
      <c r="C2" s="6">
        <v>3</v>
      </c>
      <c r="D2" s="5">
        <v>10</v>
      </c>
      <c r="E2" s="4">
        <v>1</v>
      </c>
      <c r="F2" s="4">
        <v>3</v>
      </c>
      <c r="G2" s="4">
        <v>4</v>
      </c>
      <c r="H2" s="4">
        <v>2</v>
      </c>
      <c r="I2" s="4">
        <v>0</v>
      </c>
      <c r="J2" s="5">
        <v>0</v>
      </c>
      <c r="K2" s="5">
        <v>0</v>
      </c>
      <c r="L2" s="5">
        <v>1</v>
      </c>
      <c r="M2" s="5">
        <v>0</v>
      </c>
      <c r="N2" s="5">
        <v>1</v>
      </c>
      <c r="O2" s="5">
        <v>9</v>
      </c>
      <c r="P2" s="5">
        <v>0</v>
      </c>
      <c r="Q2" s="5">
        <v>1</v>
      </c>
      <c r="R2" s="5">
        <v>0</v>
      </c>
      <c r="S2" s="5">
        <v>0</v>
      </c>
      <c r="T2" s="5">
        <v>0</v>
      </c>
      <c r="U2" s="5">
        <f>P2+Q2+R2+S2+T2</f>
        <v>1</v>
      </c>
      <c r="V2" s="5">
        <v>3</v>
      </c>
      <c r="W2" s="5">
        <v>4</v>
      </c>
      <c r="X2" s="5">
        <v>1</v>
      </c>
      <c r="Y2" s="5">
        <f>V2+W2+X2</f>
        <v>8</v>
      </c>
      <c r="Z2" s="5">
        <f>U2+Y2</f>
        <v>9</v>
      </c>
      <c r="AA2" s="5">
        <v>0</v>
      </c>
      <c r="AB2" s="5">
        <v>0</v>
      </c>
      <c r="AC2" s="5">
        <v>0</v>
      </c>
      <c r="AD2" s="5">
        <v>1</v>
      </c>
      <c r="AE2" s="5">
        <v>0</v>
      </c>
      <c r="AF2" s="5">
        <f>AA2+AB2+AC2+AD2+AE2</f>
        <v>1</v>
      </c>
      <c r="AG2" s="5">
        <v>29</v>
      </c>
      <c r="AH2" s="7">
        <v>97</v>
      </c>
      <c r="AI2" s="8">
        <f>859107</f>
        <v>859107</v>
      </c>
      <c r="AJ2" s="8">
        <f>AI2+13796+79558+51943+10693</f>
        <v>1015097</v>
      </c>
      <c r="AK2" s="8">
        <v>1124745</v>
      </c>
      <c r="AL2" s="8">
        <v>1831940</v>
      </c>
      <c r="AM2" s="8">
        <v>12259792</v>
      </c>
      <c r="AN2" s="9">
        <f>AK2/AM2</f>
        <v>9.1742584213500525E-2</v>
      </c>
      <c r="AO2" s="10">
        <v>2</v>
      </c>
    </row>
    <row r="3" spans="1:41" ht="14.4" customHeight="1" x14ac:dyDescent="0.3">
      <c r="A3" s="33">
        <v>2</v>
      </c>
      <c r="B3" s="5">
        <v>2</v>
      </c>
      <c r="C3" s="11">
        <v>3</v>
      </c>
      <c r="D3" s="5">
        <v>8</v>
      </c>
      <c r="E3" s="4">
        <v>0</v>
      </c>
      <c r="F3" s="4">
        <v>0</v>
      </c>
      <c r="G3" s="4">
        <v>7</v>
      </c>
      <c r="H3" s="4">
        <v>0</v>
      </c>
      <c r="I3" s="4">
        <v>1</v>
      </c>
      <c r="J3" s="5">
        <v>0</v>
      </c>
      <c r="K3" s="5">
        <v>0</v>
      </c>
      <c r="L3" s="5">
        <v>1</v>
      </c>
      <c r="M3" s="5">
        <v>0</v>
      </c>
      <c r="N3" s="5">
        <v>1</v>
      </c>
      <c r="O3" s="5">
        <v>7</v>
      </c>
      <c r="P3" s="5">
        <v>0</v>
      </c>
      <c r="Q3" s="5">
        <v>0</v>
      </c>
      <c r="R3" s="5">
        <v>2</v>
      </c>
      <c r="S3" s="5">
        <v>0</v>
      </c>
      <c r="T3" s="5">
        <v>0</v>
      </c>
      <c r="U3" s="5">
        <f t="shared" ref="U3:U66" si="0">P3+Q3+R3+S3+T3</f>
        <v>2</v>
      </c>
      <c r="V3" s="5">
        <v>1</v>
      </c>
      <c r="W3" s="5">
        <v>4</v>
      </c>
      <c r="X3" s="5">
        <v>0</v>
      </c>
      <c r="Y3" s="5">
        <f t="shared" ref="Y3:Y66" si="1">V3+W3+X3</f>
        <v>5</v>
      </c>
      <c r="Z3" s="5">
        <f t="shared" ref="Z3:Z66" si="2">U3+Y3</f>
        <v>7</v>
      </c>
      <c r="AA3" s="5">
        <v>0</v>
      </c>
      <c r="AB3" s="5">
        <v>0</v>
      </c>
      <c r="AC3" s="5">
        <v>1</v>
      </c>
      <c r="AD3" s="5">
        <v>0</v>
      </c>
      <c r="AE3" s="5">
        <v>0</v>
      </c>
      <c r="AF3" s="5">
        <f t="shared" ref="AF3:AF66" si="3">AA3+AB3+AC3+AD3+AE3</f>
        <v>1</v>
      </c>
      <c r="AG3" s="5">
        <v>56</v>
      </c>
      <c r="AH3" s="7">
        <f>240+36</f>
        <v>276</v>
      </c>
      <c r="AI3" s="8">
        <f>51443+244334</f>
        <v>295777</v>
      </c>
      <c r="AJ3" s="8">
        <f>AI3+41994+42190</f>
        <v>379961</v>
      </c>
      <c r="AK3" s="8">
        <v>2037092</v>
      </c>
      <c r="AL3" s="8">
        <v>-61520</v>
      </c>
      <c r="AM3" s="8">
        <v>1966709</v>
      </c>
      <c r="AN3" s="9">
        <f t="shared" ref="AN3:AN66" si="4">AK3/AM3</f>
        <v>1.0357871957671421</v>
      </c>
      <c r="AO3" s="10">
        <v>1</v>
      </c>
    </row>
    <row r="4" spans="1:41" ht="14.4" customHeight="1" x14ac:dyDescent="0.3">
      <c r="A4" s="33">
        <v>4</v>
      </c>
      <c r="B4" s="5">
        <v>2</v>
      </c>
      <c r="C4" s="11">
        <v>3</v>
      </c>
      <c r="D4" s="5">
        <v>7</v>
      </c>
      <c r="E4" s="4">
        <v>0</v>
      </c>
      <c r="F4" s="4">
        <v>1</v>
      </c>
      <c r="G4" s="4">
        <v>4</v>
      </c>
      <c r="H4" s="4">
        <v>2</v>
      </c>
      <c r="I4" s="4">
        <v>0</v>
      </c>
      <c r="J4" s="5">
        <v>0</v>
      </c>
      <c r="K4" s="5">
        <v>0</v>
      </c>
      <c r="L4" s="5">
        <v>1</v>
      </c>
      <c r="M4" s="5">
        <v>0</v>
      </c>
      <c r="N4" s="12">
        <v>2</v>
      </c>
      <c r="O4" s="5">
        <v>5</v>
      </c>
      <c r="P4" s="5">
        <v>0</v>
      </c>
      <c r="Q4" s="5">
        <v>0</v>
      </c>
      <c r="R4" s="5">
        <v>1</v>
      </c>
      <c r="S4" s="5">
        <v>0</v>
      </c>
      <c r="T4" s="5">
        <v>0</v>
      </c>
      <c r="U4" s="5">
        <f t="shared" si="0"/>
        <v>1</v>
      </c>
      <c r="V4" s="5">
        <v>1</v>
      </c>
      <c r="W4" s="5">
        <v>4</v>
      </c>
      <c r="X4" s="5">
        <v>1</v>
      </c>
      <c r="Y4" s="5">
        <f t="shared" si="1"/>
        <v>6</v>
      </c>
      <c r="Z4" s="5">
        <f t="shared" si="2"/>
        <v>7</v>
      </c>
      <c r="AA4" s="5">
        <v>0</v>
      </c>
      <c r="AB4" s="5">
        <v>0</v>
      </c>
      <c r="AC4" s="5">
        <v>0</v>
      </c>
      <c r="AD4" s="5">
        <v>1</v>
      </c>
      <c r="AE4" s="5">
        <v>0</v>
      </c>
      <c r="AF4" s="5">
        <f t="shared" si="3"/>
        <v>1</v>
      </c>
      <c r="AG4" s="5">
        <v>14</v>
      </c>
      <c r="AH4" s="7">
        <v>76</v>
      </c>
      <c r="AI4" s="8">
        <v>1699463</v>
      </c>
      <c r="AJ4" s="8">
        <v>2523099</v>
      </c>
      <c r="AK4" s="8">
        <v>3902102</v>
      </c>
      <c r="AL4" s="8">
        <v>1622185</v>
      </c>
      <c r="AM4" s="8">
        <v>18649333</v>
      </c>
      <c r="AN4" s="9">
        <f t="shared" si="4"/>
        <v>0.20923547238928061</v>
      </c>
      <c r="AO4" s="10">
        <v>2</v>
      </c>
    </row>
    <row r="5" spans="1:41" ht="14.4" customHeight="1" x14ac:dyDescent="0.3">
      <c r="A5" s="33">
        <v>5</v>
      </c>
      <c r="B5" s="5">
        <v>2</v>
      </c>
      <c r="C5" s="6">
        <v>3</v>
      </c>
      <c r="D5" s="5">
        <v>5</v>
      </c>
      <c r="E5" s="4">
        <v>0</v>
      </c>
      <c r="F5" s="4">
        <v>1</v>
      </c>
      <c r="G5" s="4">
        <v>2</v>
      </c>
      <c r="H5" s="4">
        <v>2</v>
      </c>
      <c r="I5" s="4">
        <v>0</v>
      </c>
      <c r="J5" s="5">
        <v>0</v>
      </c>
      <c r="K5" s="5">
        <v>0</v>
      </c>
      <c r="L5" s="5">
        <v>1</v>
      </c>
      <c r="M5" s="5">
        <v>0</v>
      </c>
      <c r="N5" s="5">
        <v>2</v>
      </c>
      <c r="O5" s="5">
        <v>3</v>
      </c>
      <c r="P5" s="5">
        <v>0</v>
      </c>
      <c r="Q5" s="5">
        <v>1</v>
      </c>
      <c r="R5" s="5">
        <v>0</v>
      </c>
      <c r="S5" s="5">
        <v>0</v>
      </c>
      <c r="T5" s="5">
        <v>0</v>
      </c>
      <c r="U5" s="5">
        <f t="shared" si="0"/>
        <v>1</v>
      </c>
      <c r="V5" s="5">
        <v>1</v>
      </c>
      <c r="W5" s="5">
        <v>2</v>
      </c>
      <c r="X5" s="5">
        <v>0</v>
      </c>
      <c r="Y5" s="5">
        <f t="shared" si="1"/>
        <v>3</v>
      </c>
      <c r="Z5" s="5">
        <f t="shared" si="2"/>
        <v>4</v>
      </c>
      <c r="AA5" s="5">
        <v>0</v>
      </c>
      <c r="AB5" s="5">
        <v>0</v>
      </c>
      <c r="AC5" s="5">
        <v>1</v>
      </c>
      <c r="AD5" s="5">
        <v>0</v>
      </c>
      <c r="AE5" s="5">
        <v>0</v>
      </c>
      <c r="AF5" s="5">
        <f t="shared" si="3"/>
        <v>1</v>
      </c>
      <c r="AG5" s="5">
        <v>60</v>
      </c>
      <c r="AH5" s="7">
        <v>99</v>
      </c>
      <c r="AI5" s="8">
        <v>2320813</v>
      </c>
      <c r="AJ5" s="8">
        <f>16241553+942781+90699+18712</f>
        <v>17293745</v>
      </c>
      <c r="AK5" s="8">
        <v>7029956</v>
      </c>
      <c r="AL5" s="8">
        <v>931931</v>
      </c>
      <c r="AM5" s="8">
        <v>37706917</v>
      </c>
      <c r="AN5" s="9">
        <f t="shared" si="4"/>
        <v>0.18643677498216044</v>
      </c>
      <c r="AO5" s="10">
        <v>1</v>
      </c>
    </row>
    <row r="6" spans="1:41" ht="14.4" customHeight="1" x14ac:dyDescent="0.3">
      <c r="A6" s="33">
        <v>6</v>
      </c>
      <c r="B6" s="5">
        <v>2</v>
      </c>
      <c r="C6" s="11">
        <v>3</v>
      </c>
      <c r="D6" s="5">
        <v>5</v>
      </c>
      <c r="E6" s="4">
        <v>1</v>
      </c>
      <c r="F6" s="4">
        <v>1</v>
      </c>
      <c r="G6" s="4">
        <v>3</v>
      </c>
      <c r="H6" s="4">
        <v>0</v>
      </c>
      <c r="I6" s="4">
        <v>0</v>
      </c>
      <c r="J6" s="5">
        <v>0</v>
      </c>
      <c r="K6" s="5">
        <v>0</v>
      </c>
      <c r="L6" s="5">
        <v>1</v>
      </c>
      <c r="M6" s="5">
        <v>0</v>
      </c>
      <c r="N6" s="5">
        <v>0</v>
      </c>
      <c r="O6" s="5">
        <v>5</v>
      </c>
      <c r="P6" s="5">
        <v>0</v>
      </c>
      <c r="Q6" s="5">
        <v>0</v>
      </c>
      <c r="R6" s="5">
        <v>1</v>
      </c>
      <c r="S6" s="5">
        <v>0</v>
      </c>
      <c r="T6" s="5">
        <v>0</v>
      </c>
      <c r="U6" s="5">
        <f t="shared" si="0"/>
        <v>1</v>
      </c>
      <c r="V6" s="5">
        <v>2</v>
      </c>
      <c r="W6" s="5">
        <v>1</v>
      </c>
      <c r="X6" s="5">
        <v>0</v>
      </c>
      <c r="Y6" s="5">
        <f t="shared" si="1"/>
        <v>3</v>
      </c>
      <c r="Z6" s="5">
        <f t="shared" si="2"/>
        <v>4</v>
      </c>
      <c r="AA6" s="5">
        <v>0</v>
      </c>
      <c r="AB6" s="5">
        <v>0</v>
      </c>
      <c r="AC6" s="5">
        <v>1</v>
      </c>
      <c r="AD6" s="5">
        <v>0</v>
      </c>
      <c r="AE6" s="5">
        <v>0</v>
      </c>
      <c r="AF6" s="5">
        <f t="shared" si="3"/>
        <v>1</v>
      </c>
      <c r="AG6" s="5">
        <v>61</v>
      </c>
      <c r="AH6" s="7">
        <v>20</v>
      </c>
      <c r="AI6" s="8">
        <v>172591</v>
      </c>
      <c r="AJ6" s="8">
        <f>AI6+160</f>
        <v>172751</v>
      </c>
      <c r="AK6" s="8">
        <v>347316</v>
      </c>
      <c r="AL6" s="8">
        <v>31829</v>
      </c>
      <c r="AM6" s="8">
        <v>2110184</v>
      </c>
      <c r="AN6" s="9">
        <f t="shared" si="4"/>
        <v>0.16459038643075674</v>
      </c>
      <c r="AO6" s="10">
        <v>2</v>
      </c>
    </row>
    <row r="7" spans="1:41" ht="14.4" customHeight="1" x14ac:dyDescent="0.3">
      <c r="A7" s="33">
        <v>7</v>
      </c>
      <c r="B7" s="5">
        <v>2</v>
      </c>
      <c r="C7" s="6">
        <v>3</v>
      </c>
      <c r="D7" s="5">
        <v>10</v>
      </c>
      <c r="E7" s="4">
        <v>1</v>
      </c>
      <c r="F7" s="4">
        <v>0</v>
      </c>
      <c r="G7" s="4">
        <v>7</v>
      </c>
      <c r="H7" s="4">
        <v>1</v>
      </c>
      <c r="I7" s="4">
        <v>1</v>
      </c>
      <c r="J7" s="5">
        <v>0</v>
      </c>
      <c r="K7" s="5">
        <v>0</v>
      </c>
      <c r="L7" s="5">
        <v>1</v>
      </c>
      <c r="M7" s="5">
        <v>0</v>
      </c>
      <c r="N7" s="5">
        <v>1</v>
      </c>
      <c r="O7" s="5">
        <v>9</v>
      </c>
      <c r="P7" s="5">
        <v>0</v>
      </c>
      <c r="Q7" s="5">
        <v>0</v>
      </c>
      <c r="R7" s="5">
        <v>0</v>
      </c>
      <c r="S7" s="5">
        <v>0</v>
      </c>
      <c r="T7" s="5">
        <v>1</v>
      </c>
      <c r="U7" s="5">
        <f t="shared" si="0"/>
        <v>1</v>
      </c>
      <c r="V7" s="5">
        <v>2</v>
      </c>
      <c r="W7" s="5">
        <v>5</v>
      </c>
      <c r="X7" s="5">
        <v>1</v>
      </c>
      <c r="Y7" s="5">
        <f t="shared" si="1"/>
        <v>8</v>
      </c>
      <c r="Z7" s="5">
        <f t="shared" si="2"/>
        <v>9</v>
      </c>
      <c r="AA7" s="5">
        <v>0</v>
      </c>
      <c r="AB7" s="5">
        <v>0</v>
      </c>
      <c r="AC7" s="5">
        <v>1</v>
      </c>
      <c r="AD7" s="5">
        <v>0</v>
      </c>
      <c r="AE7" s="5">
        <v>0</v>
      </c>
      <c r="AF7" s="5">
        <f t="shared" si="3"/>
        <v>1</v>
      </c>
      <c r="AG7" s="5">
        <v>50</v>
      </c>
      <c r="AH7" s="7">
        <v>290</v>
      </c>
      <c r="AI7" s="8">
        <v>16242254</v>
      </c>
      <c r="AJ7" s="8">
        <v>41165793</v>
      </c>
      <c r="AK7" s="8">
        <v>49376338</v>
      </c>
      <c r="AL7" s="8">
        <v>8166352</v>
      </c>
      <c r="AM7" s="8">
        <v>135263455</v>
      </c>
      <c r="AN7" s="9">
        <f t="shared" si="4"/>
        <v>0.36503827290231494</v>
      </c>
      <c r="AO7" s="10">
        <v>1</v>
      </c>
    </row>
    <row r="8" spans="1:41" ht="14.4" customHeight="1" x14ac:dyDescent="0.3">
      <c r="A8" s="33">
        <v>8</v>
      </c>
      <c r="B8" s="5">
        <v>2</v>
      </c>
      <c r="C8" s="11">
        <v>3</v>
      </c>
      <c r="D8" s="5">
        <v>11</v>
      </c>
      <c r="E8" s="4">
        <v>0</v>
      </c>
      <c r="F8" s="4">
        <v>0</v>
      </c>
      <c r="G8" s="4">
        <v>0</v>
      </c>
      <c r="H8" s="4">
        <v>1</v>
      </c>
      <c r="I8" s="4">
        <v>10</v>
      </c>
      <c r="J8" s="5">
        <v>0</v>
      </c>
      <c r="K8" s="5">
        <v>0</v>
      </c>
      <c r="L8" s="5">
        <v>0</v>
      </c>
      <c r="M8" s="5">
        <v>1</v>
      </c>
      <c r="N8" s="5">
        <v>2</v>
      </c>
      <c r="O8" s="5">
        <v>9</v>
      </c>
      <c r="P8" s="5">
        <v>0</v>
      </c>
      <c r="Q8" s="5">
        <v>0</v>
      </c>
      <c r="R8" s="5">
        <v>0</v>
      </c>
      <c r="S8" s="5">
        <v>0</v>
      </c>
      <c r="T8" s="5">
        <v>1</v>
      </c>
      <c r="U8" s="5">
        <f t="shared" si="0"/>
        <v>1</v>
      </c>
      <c r="V8" s="5">
        <v>0</v>
      </c>
      <c r="W8" s="5">
        <v>9</v>
      </c>
      <c r="X8" s="5">
        <v>0</v>
      </c>
      <c r="Y8" s="5">
        <f t="shared" si="1"/>
        <v>9</v>
      </c>
      <c r="Z8" s="5">
        <f t="shared" si="2"/>
        <v>10</v>
      </c>
      <c r="AA8" s="5">
        <v>0</v>
      </c>
      <c r="AB8" s="5">
        <v>0</v>
      </c>
      <c r="AC8" s="5">
        <v>0</v>
      </c>
      <c r="AD8" s="5">
        <v>0</v>
      </c>
      <c r="AE8" s="5">
        <v>1</v>
      </c>
      <c r="AF8" s="5">
        <f t="shared" si="3"/>
        <v>1</v>
      </c>
      <c r="AG8" s="5">
        <v>2</v>
      </c>
      <c r="AH8" s="7">
        <v>591</v>
      </c>
      <c r="AI8" s="8">
        <v>179000</v>
      </c>
      <c r="AJ8" s="8">
        <f>AI8+180000</f>
        <v>359000</v>
      </c>
      <c r="AK8" s="8">
        <v>1106000</v>
      </c>
      <c r="AL8" s="8">
        <v>23000</v>
      </c>
      <c r="AM8" s="8">
        <v>1258000</v>
      </c>
      <c r="AN8" s="9">
        <f t="shared" si="4"/>
        <v>0.87917329093799679</v>
      </c>
      <c r="AO8" s="10">
        <v>2</v>
      </c>
    </row>
    <row r="9" spans="1:41" ht="14.4" customHeight="1" x14ac:dyDescent="0.3">
      <c r="A9" s="33">
        <v>9</v>
      </c>
      <c r="B9" s="5">
        <v>2</v>
      </c>
      <c r="C9" s="6">
        <v>1</v>
      </c>
      <c r="D9" s="5">
        <v>4</v>
      </c>
      <c r="E9" s="4">
        <v>0</v>
      </c>
      <c r="F9" s="4">
        <v>3</v>
      </c>
      <c r="G9" s="4">
        <v>0</v>
      </c>
      <c r="H9" s="4">
        <v>0</v>
      </c>
      <c r="I9" s="4">
        <v>1</v>
      </c>
      <c r="J9" s="5">
        <v>0</v>
      </c>
      <c r="K9" s="5">
        <v>1</v>
      </c>
      <c r="L9" s="5">
        <v>0</v>
      </c>
      <c r="M9" s="5">
        <v>0</v>
      </c>
      <c r="N9" s="5">
        <v>0</v>
      </c>
      <c r="O9" s="5">
        <v>4</v>
      </c>
      <c r="P9" s="5">
        <v>0</v>
      </c>
      <c r="Q9" s="5">
        <v>1</v>
      </c>
      <c r="R9" s="5">
        <v>0</v>
      </c>
      <c r="S9" s="5">
        <v>0</v>
      </c>
      <c r="T9" s="5">
        <v>0</v>
      </c>
      <c r="U9" s="5">
        <f t="shared" si="0"/>
        <v>1</v>
      </c>
      <c r="V9" s="5">
        <v>0</v>
      </c>
      <c r="W9" s="5">
        <v>2</v>
      </c>
      <c r="X9" s="5">
        <v>0</v>
      </c>
      <c r="Y9" s="5">
        <f t="shared" si="1"/>
        <v>2</v>
      </c>
      <c r="Z9" s="5">
        <f t="shared" si="2"/>
        <v>3</v>
      </c>
      <c r="AA9" s="5">
        <v>0</v>
      </c>
      <c r="AB9" s="5">
        <v>0</v>
      </c>
      <c r="AC9" s="5">
        <v>0</v>
      </c>
      <c r="AD9" s="5">
        <v>0</v>
      </c>
      <c r="AE9" s="5">
        <v>1</v>
      </c>
      <c r="AF9" s="5">
        <f t="shared" si="3"/>
        <v>1</v>
      </c>
      <c r="AG9" s="5">
        <v>38</v>
      </c>
      <c r="AH9" s="7">
        <v>63</v>
      </c>
      <c r="AI9" s="8">
        <v>92615</v>
      </c>
      <c r="AJ9" s="8">
        <v>167576</v>
      </c>
      <c r="AK9" s="8">
        <v>2606543</v>
      </c>
      <c r="AL9" s="8">
        <v>74374</v>
      </c>
      <c r="AM9" s="8">
        <v>2476057</v>
      </c>
      <c r="AN9" s="9">
        <f t="shared" si="4"/>
        <v>1.0526991099154825</v>
      </c>
      <c r="AO9" s="10">
        <v>2</v>
      </c>
    </row>
    <row r="10" spans="1:41" ht="14.4" customHeight="1" x14ac:dyDescent="0.3">
      <c r="A10" s="33">
        <v>10</v>
      </c>
      <c r="B10" s="5">
        <v>2</v>
      </c>
      <c r="C10" s="11">
        <v>2</v>
      </c>
      <c r="D10" s="5">
        <v>6</v>
      </c>
      <c r="E10" s="4">
        <v>0</v>
      </c>
      <c r="F10" s="4">
        <v>1</v>
      </c>
      <c r="G10" s="4">
        <v>3</v>
      </c>
      <c r="H10" s="4">
        <v>1</v>
      </c>
      <c r="I10" s="4">
        <v>1</v>
      </c>
      <c r="J10" s="5">
        <v>0</v>
      </c>
      <c r="K10" s="5">
        <v>0</v>
      </c>
      <c r="L10" s="5">
        <v>1</v>
      </c>
      <c r="M10" s="5">
        <v>0</v>
      </c>
      <c r="N10" s="5">
        <v>0</v>
      </c>
      <c r="O10" s="5">
        <v>6</v>
      </c>
      <c r="P10" s="5">
        <v>0</v>
      </c>
      <c r="Q10" s="5">
        <v>0</v>
      </c>
      <c r="R10" s="5">
        <v>1</v>
      </c>
      <c r="S10" s="5">
        <v>0</v>
      </c>
      <c r="T10" s="5">
        <v>0</v>
      </c>
      <c r="U10" s="5">
        <f t="shared" si="0"/>
        <v>1</v>
      </c>
      <c r="V10" s="5">
        <v>0</v>
      </c>
      <c r="W10" s="5">
        <v>4</v>
      </c>
      <c r="X10" s="5">
        <v>0</v>
      </c>
      <c r="Y10" s="5">
        <f t="shared" si="1"/>
        <v>4</v>
      </c>
      <c r="Z10" s="5">
        <f t="shared" si="2"/>
        <v>5</v>
      </c>
      <c r="AA10" s="5">
        <v>0</v>
      </c>
      <c r="AB10" s="5">
        <v>0</v>
      </c>
      <c r="AC10" s="5">
        <v>0</v>
      </c>
      <c r="AD10" s="5">
        <v>0</v>
      </c>
      <c r="AE10" s="5">
        <v>1</v>
      </c>
      <c r="AF10" s="5">
        <f t="shared" si="3"/>
        <v>1</v>
      </c>
      <c r="AG10" s="5">
        <v>62</v>
      </c>
      <c r="AH10" s="7">
        <v>232</v>
      </c>
      <c r="AI10" s="8">
        <v>970458</v>
      </c>
      <c r="AJ10" s="8">
        <f>3948873+970458+521839+407672</f>
        <v>5848842</v>
      </c>
      <c r="AK10" s="8">
        <v>5871282</v>
      </c>
      <c r="AL10" s="8">
        <v>133042</v>
      </c>
      <c r="AM10" s="8">
        <v>7390839</v>
      </c>
      <c r="AN10" s="9">
        <f t="shared" si="4"/>
        <v>0.79439993213219773</v>
      </c>
      <c r="AO10" s="10">
        <v>1</v>
      </c>
    </row>
    <row r="11" spans="1:41" ht="14.4" customHeight="1" x14ac:dyDescent="0.3">
      <c r="A11" s="34">
        <v>11</v>
      </c>
      <c r="B11" s="5">
        <v>2</v>
      </c>
      <c r="C11" s="6">
        <v>1</v>
      </c>
      <c r="D11" s="5">
        <v>7</v>
      </c>
      <c r="E11" s="4">
        <v>1</v>
      </c>
      <c r="F11" s="4">
        <v>0</v>
      </c>
      <c r="G11" s="4">
        <v>6</v>
      </c>
      <c r="H11" s="4">
        <v>0</v>
      </c>
      <c r="I11" s="4">
        <v>0</v>
      </c>
      <c r="J11" s="5">
        <v>0</v>
      </c>
      <c r="K11" s="5">
        <v>0</v>
      </c>
      <c r="L11" s="5">
        <v>1</v>
      </c>
      <c r="M11" s="5">
        <v>0</v>
      </c>
      <c r="N11" s="5">
        <v>1</v>
      </c>
      <c r="O11" s="5">
        <v>6</v>
      </c>
      <c r="P11" s="5">
        <v>0</v>
      </c>
      <c r="Q11" s="5">
        <v>0</v>
      </c>
      <c r="R11" s="5">
        <v>1</v>
      </c>
      <c r="S11" s="5">
        <v>0</v>
      </c>
      <c r="T11" s="5">
        <v>0</v>
      </c>
      <c r="U11" s="5">
        <f t="shared" si="0"/>
        <v>1</v>
      </c>
      <c r="V11" s="5">
        <v>2</v>
      </c>
      <c r="W11" s="5">
        <v>3</v>
      </c>
      <c r="X11" s="5">
        <v>0</v>
      </c>
      <c r="Y11" s="5">
        <f t="shared" si="1"/>
        <v>5</v>
      </c>
      <c r="Z11" s="5">
        <f t="shared" si="2"/>
        <v>6</v>
      </c>
      <c r="AA11" s="5">
        <v>0</v>
      </c>
      <c r="AB11" s="5">
        <v>0</v>
      </c>
      <c r="AC11" s="5">
        <v>1</v>
      </c>
      <c r="AD11" s="5">
        <v>0</v>
      </c>
      <c r="AE11" s="5">
        <v>0</v>
      </c>
      <c r="AF11" s="5">
        <f t="shared" si="3"/>
        <v>1</v>
      </c>
      <c r="AG11" s="5">
        <v>56</v>
      </c>
      <c r="AH11" s="7">
        <v>99</v>
      </c>
      <c r="AI11" s="8">
        <v>10674426</v>
      </c>
      <c r="AJ11" s="8">
        <f>2280966+8393460+2402697</f>
        <v>13077123</v>
      </c>
      <c r="AK11" s="8">
        <v>176550766</v>
      </c>
      <c r="AL11" s="8">
        <v>1867487</v>
      </c>
      <c r="AM11" s="8">
        <v>47018954</v>
      </c>
      <c r="AN11" s="9">
        <f t="shared" si="4"/>
        <v>3.7548850193477294</v>
      </c>
      <c r="AO11" s="10">
        <v>2</v>
      </c>
    </row>
    <row r="12" spans="1:41" ht="14.4" customHeight="1" x14ac:dyDescent="0.3">
      <c r="A12" s="34">
        <v>13</v>
      </c>
      <c r="B12" s="5">
        <v>2</v>
      </c>
      <c r="C12" s="6">
        <v>3</v>
      </c>
      <c r="D12" s="5">
        <v>7</v>
      </c>
      <c r="E12" s="4">
        <v>0</v>
      </c>
      <c r="F12" s="4">
        <v>4</v>
      </c>
      <c r="G12" s="4">
        <v>3</v>
      </c>
      <c r="H12" s="4">
        <v>0</v>
      </c>
      <c r="I12" s="4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7</v>
      </c>
      <c r="P12" s="5">
        <v>0</v>
      </c>
      <c r="Q12" s="5">
        <v>0</v>
      </c>
      <c r="R12" s="5">
        <v>1</v>
      </c>
      <c r="S12" s="5">
        <v>0</v>
      </c>
      <c r="T12" s="5">
        <v>0</v>
      </c>
      <c r="U12" s="5">
        <f t="shared" si="0"/>
        <v>1</v>
      </c>
      <c r="V12" s="5">
        <v>2</v>
      </c>
      <c r="W12" s="5">
        <v>2</v>
      </c>
      <c r="X12" s="5">
        <v>1</v>
      </c>
      <c r="Y12" s="5">
        <f t="shared" si="1"/>
        <v>5</v>
      </c>
      <c r="Z12" s="5">
        <f t="shared" si="2"/>
        <v>6</v>
      </c>
      <c r="AA12" s="5">
        <v>0</v>
      </c>
      <c r="AB12" s="5">
        <v>1</v>
      </c>
      <c r="AC12" s="5">
        <v>0</v>
      </c>
      <c r="AD12" s="5">
        <v>0</v>
      </c>
      <c r="AE12" s="5">
        <v>0</v>
      </c>
      <c r="AF12" s="5">
        <f t="shared" si="3"/>
        <v>1</v>
      </c>
      <c r="AG12" s="5">
        <v>27</v>
      </c>
      <c r="AH12" s="7">
        <v>1298</v>
      </c>
      <c r="AI12" s="8">
        <v>1124903</v>
      </c>
      <c r="AJ12" s="8">
        <f>1124903+4314920</f>
        <v>5439823</v>
      </c>
      <c r="AK12" s="8">
        <v>5301950</v>
      </c>
      <c r="AL12" s="8">
        <v>139859</v>
      </c>
      <c r="AM12" s="8">
        <v>3623351</v>
      </c>
      <c r="AN12" s="9">
        <f t="shared" si="4"/>
        <v>1.4632725341817561</v>
      </c>
      <c r="AO12" s="10">
        <v>1</v>
      </c>
    </row>
    <row r="13" spans="1:41" ht="14.4" customHeight="1" x14ac:dyDescent="0.3">
      <c r="A13" s="34">
        <v>15</v>
      </c>
      <c r="B13" s="5">
        <v>2</v>
      </c>
      <c r="C13" s="6">
        <v>3</v>
      </c>
      <c r="D13" s="5">
        <v>11</v>
      </c>
      <c r="E13" s="4">
        <v>0</v>
      </c>
      <c r="F13" s="4">
        <v>0</v>
      </c>
      <c r="G13" s="4">
        <v>4</v>
      </c>
      <c r="H13" s="4">
        <v>1</v>
      </c>
      <c r="I13" s="4">
        <v>6</v>
      </c>
      <c r="J13" s="5">
        <v>0</v>
      </c>
      <c r="K13" s="5">
        <v>0</v>
      </c>
      <c r="L13" s="5">
        <v>0</v>
      </c>
      <c r="M13" s="5">
        <v>1</v>
      </c>
      <c r="N13" s="5">
        <v>1</v>
      </c>
      <c r="O13" s="5">
        <v>10</v>
      </c>
      <c r="P13" s="5">
        <v>0</v>
      </c>
      <c r="Q13" s="5">
        <v>0</v>
      </c>
      <c r="R13" s="5">
        <v>1</v>
      </c>
      <c r="S13" s="5">
        <v>0</v>
      </c>
      <c r="T13" s="5">
        <v>0</v>
      </c>
      <c r="U13" s="5">
        <f t="shared" si="0"/>
        <v>1</v>
      </c>
      <c r="V13" s="5">
        <v>3</v>
      </c>
      <c r="W13" s="5">
        <v>5</v>
      </c>
      <c r="X13" s="5">
        <v>1</v>
      </c>
      <c r="Y13" s="5">
        <f t="shared" si="1"/>
        <v>9</v>
      </c>
      <c r="Z13" s="5">
        <f t="shared" si="2"/>
        <v>10</v>
      </c>
      <c r="AA13" s="5">
        <v>0</v>
      </c>
      <c r="AB13" s="5">
        <v>0</v>
      </c>
      <c r="AC13" s="5">
        <v>1</v>
      </c>
      <c r="AD13" s="5">
        <v>0</v>
      </c>
      <c r="AE13" s="5">
        <v>0</v>
      </c>
      <c r="AF13" s="5">
        <f t="shared" si="3"/>
        <v>1</v>
      </c>
      <c r="AG13" s="5">
        <v>31</v>
      </c>
      <c r="AH13" s="7">
        <v>333</v>
      </c>
      <c r="AI13" s="13">
        <f>1835353+2835711</f>
        <v>4671064</v>
      </c>
      <c r="AJ13" s="13">
        <f>AI13+2590264</f>
        <v>7261328</v>
      </c>
      <c r="AK13" s="13">
        <v>12687959</v>
      </c>
      <c r="AL13" s="13">
        <v>35</v>
      </c>
      <c r="AM13" s="13">
        <v>67597041</v>
      </c>
      <c r="AN13" s="9">
        <f t="shared" si="4"/>
        <v>0.1876999172197493</v>
      </c>
      <c r="AO13" s="10">
        <v>1</v>
      </c>
    </row>
    <row r="14" spans="1:41" ht="14.4" customHeight="1" x14ac:dyDescent="0.3">
      <c r="A14" s="34">
        <v>16</v>
      </c>
      <c r="B14" s="5">
        <v>2</v>
      </c>
      <c r="C14" s="11">
        <v>2</v>
      </c>
      <c r="D14" s="5">
        <v>8</v>
      </c>
      <c r="E14" s="4">
        <v>1</v>
      </c>
      <c r="F14" s="4">
        <v>1</v>
      </c>
      <c r="G14" s="4">
        <v>2</v>
      </c>
      <c r="H14" s="4">
        <v>2</v>
      </c>
      <c r="I14" s="4">
        <v>2</v>
      </c>
      <c r="J14" s="5">
        <v>0</v>
      </c>
      <c r="K14" s="5">
        <v>0</v>
      </c>
      <c r="L14" s="5">
        <v>1</v>
      </c>
      <c r="M14" s="5">
        <v>0</v>
      </c>
      <c r="N14" s="5">
        <v>0</v>
      </c>
      <c r="O14" s="5">
        <v>8</v>
      </c>
      <c r="P14" s="5">
        <v>0</v>
      </c>
      <c r="Q14" s="5">
        <v>0</v>
      </c>
      <c r="R14" s="5">
        <v>1</v>
      </c>
      <c r="S14" s="5">
        <v>0</v>
      </c>
      <c r="T14" s="5">
        <v>0</v>
      </c>
      <c r="U14" s="5">
        <f t="shared" si="0"/>
        <v>1</v>
      </c>
      <c r="V14" s="5">
        <v>0</v>
      </c>
      <c r="W14" s="5">
        <v>5</v>
      </c>
      <c r="X14" s="5">
        <v>1</v>
      </c>
      <c r="Y14" s="5">
        <f t="shared" si="1"/>
        <v>6</v>
      </c>
      <c r="Z14" s="5">
        <f t="shared" si="2"/>
        <v>7</v>
      </c>
      <c r="AA14" s="5">
        <v>0</v>
      </c>
      <c r="AB14" s="5">
        <v>0</v>
      </c>
      <c r="AC14" s="5">
        <v>0</v>
      </c>
      <c r="AD14" s="5">
        <v>1</v>
      </c>
      <c r="AE14" s="5">
        <v>0</v>
      </c>
      <c r="AF14" s="5">
        <f t="shared" si="3"/>
        <v>1</v>
      </c>
      <c r="AG14" s="5">
        <v>61</v>
      </c>
      <c r="AH14" s="7">
        <v>179</v>
      </c>
      <c r="AI14" s="8">
        <f>219016+945283</f>
        <v>1164299</v>
      </c>
      <c r="AJ14" s="8">
        <f>AI14+17993+18462+84366</f>
        <v>1285120</v>
      </c>
      <c r="AK14" s="8">
        <v>3584804</v>
      </c>
      <c r="AL14" s="8">
        <v>216689</v>
      </c>
      <c r="AM14" s="8">
        <v>5066449</v>
      </c>
      <c r="AN14" s="9">
        <f t="shared" si="4"/>
        <v>0.70755750230585568</v>
      </c>
      <c r="AO14" s="10">
        <v>2</v>
      </c>
    </row>
    <row r="15" spans="1:41" ht="14.4" customHeight="1" x14ac:dyDescent="0.3">
      <c r="A15" s="34">
        <v>17</v>
      </c>
      <c r="B15" s="5">
        <v>2</v>
      </c>
      <c r="C15" s="6">
        <v>2</v>
      </c>
      <c r="D15" s="5">
        <v>9</v>
      </c>
      <c r="E15" s="4">
        <v>0</v>
      </c>
      <c r="F15" s="4">
        <v>0</v>
      </c>
      <c r="G15" s="4">
        <v>0</v>
      </c>
      <c r="H15" s="4">
        <v>0</v>
      </c>
      <c r="I15" s="4">
        <v>9</v>
      </c>
      <c r="J15" s="5">
        <v>0</v>
      </c>
      <c r="K15" s="5">
        <v>0</v>
      </c>
      <c r="L15" s="5">
        <v>0</v>
      </c>
      <c r="M15" s="5">
        <v>1</v>
      </c>
      <c r="N15" s="5">
        <v>0</v>
      </c>
      <c r="O15" s="5">
        <v>9</v>
      </c>
      <c r="P15" s="5">
        <v>0</v>
      </c>
      <c r="Q15" s="5">
        <v>0</v>
      </c>
      <c r="R15" s="5">
        <v>0</v>
      </c>
      <c r="S15" s="5">
        <v>0</v>
      </c>
      <c r="T15" s="5">
        <v>1</v>
      </c>
      <c r="U15" s="5">
        <f t="shared" si="0"/>
        <v>1</v>
      </c>
      <c r="V15" s="5">
        <v>0</v>
      </c>
      <c r="W15" s="5">
        <v>2</v>
      </c>
      <c r="X15" s="5">
        <v>5</v>
      </c>
      <c r="Y15" s="5">
        <f t="shared" si="1"/>
        <v>7</v>
      </c>
      <c r="Z15" s="5">
        <f t="shared" si="2"/>
        <v>8</v>
      </c>
      <c r="AA15" s="5">
        <v>0</v>
      </c>
      <c r="AB15" s="5">
        <v>0</v>
      </c>
      <c r="AC15" s="5">
        <v>0</v>
      </c>
      <c r="AD15" s="5">
        <v>0</v>
      </c>
      <c r="AE15" s="5">
        <v>1</v>
      </c>
      <c r="AF15" s="5">
        <f t="shared" si="3"/>
        <v>1</v>
      </c>
      <c r="AG15" s="5">
        <v>46</v>
      </c>
      <c r="AH15" s="14">
        <f>806+81+725</f>
        <v>1612</v>
      </c>
      <c r="AI15" s="8">
        <f>18617+4222</f>
        <v>22839</v>
      </c>
      <c r="AJ15" s="8">
        <f>AI15+1561+4505+192</f>
        <v>29097</v>
      </c>
      <c r="AK15" s="8">
        <v>39968</v>
      </c>
      <c r="AL15" s="8">
        <v>1402</v>
      </c>
      <c r="AM15" s="8">
        <v>90744</v>
      </c>
      <c r="AN15" s="9">
        <f t="shared" si="4"/>
        <v>0.44044785330159569</v>
      </c>
      <c r="AO15" s="10">
        <v>1</v>
      </c>
    </row>
    <row r="16" spans="1:41" ht="14.4" customHeight="1" x14ac:dyDescent="0.3">
      <c r="A16" s="33">
        <v>19</v>
      </c>
      <c r="B16" s="5">
        <v>2</v>
      </c>
      <c r="C16" s="6">
        <v>2</v>
      </c>
      <c r="D16" s="4">
        <v>7</v>
      </c>
      <c r="E16" s="4">
        <v>5</v>
      </c>
      <c r="F16" s="4">
        <v>1</v>
      </c>
      <c r="G16" s="4">
        <v>0</v>
      </c>
      <c r="H16" s="4">
        <v>0</v>
      </c>
      <c r="I16" s="4">
        <v>1</v>
      </c>
      <c r="J16" s="5">
        <v>1</v>
      </c>
      <c r="K16" s="5">
        <v>0</v>
      </c>
      <c r="L16" s="5">
        <v>0</v>
      </c>
      <c r="M16" s="5">
        <v>0</v>
      </c>
      <c r="N16" s="4">
        <v>1</v>
      </c>
      <c r="O16" s="4">
        <v>6</v>
      </c>
      <c r="P16" s="4">
        <v>1</v>
      </c>
      <c r="Q16" s="4">
        <v>0</v>
      </c>
      <c r="R16" s="4">
        <v>0</v>
      </c>
      <c r="S16" s="4">
        <v>0</v>
      </c>
      <c r="T16" s="4">
        <v>0</v>
      </c>
      <c r="U16" s="5">
        <f t="shared" si="0"/>
        <v>1</v>
      </c>
      <c r="V16" s="4">
        <v>0</v>
      </c>
      <c r="W16" s="4">
        <v>3</v>
      </c>
      <c r="X16" s="4">
        <v>2</v>
      </c>
      <c r="Y16" s="5">
        <f t="shared" si="1"/>
        <v>5</v>
      </c>
      <c r="Z16" s="5">
        <f t="shared" si="2"/>
        <v>6</v>
      </c>
      <c r="AA16" s="4">
        <v>1</v>
      </c>
      <c r="AB16" s="4">
        <v>0</v>
      </c>
      <c r="AC16" s="4">
        <v>0</v>
      </c>
      <c r="AD16" s="4">
        <v>0</v>
      </c>
      <c r="AE16" s="4">
        <v>0</v>
      </c>
      <c r="AF16" s="5">
        <f t="shared" si="3"/>
        <v>1</v>
      </c>
      <c r="AG16" s="4">
        <v>6</v>
      </c>
      <c r="AH16" s="15">
        <v>1062</v>
      </c>
      <c r="AI16" s="13">
        <f>10516380+11844509</f>
        <v>22360889</v>
      </c>
      <c r="AJ16" s="13">
        <f>AI16+5349056+5625678</f>
        <v>33335623</v>
      </c>
      <c r="AK16" s="13">
        <v>175518326</v>
      </c>
      <c r="AL16" s="13">
        <v>15024598</v>
      </c>
      <c r="AM16" s="13">
        <v>470566595</v>
      </c>
      <c r="AN16" s="9">
        <f t="shared" si="4"/>
        <v>0.37299359509359137</v>
      </c>
      <c r="AO16" s="10">
        <v>2</v>
      </c>
    </row>
    <row r="17" spans="1:41" ht="14.4" customHeight="1" x14ac:dyDescent="0.3">
      <c r="A17" s="34">
        <v>21</v>
      </c>
      <c r="B17" s="5">
        <v>2</v>
      </c>
      <c r="C17" s="6">
        <v>3</v>
      </c>
      <c r="D17" s="5">
        <v>9</v>
      </c>
      <c r="E17" s="4">
        <v>0</v>
      </c>
      <c r="F17" s="4">
        <v>4</v>
      </c>
      <c r="G17" s="4">
        <v>3</v>
      </c>
      <c r="H17" s="4">
        <v>1</v>
      </c>
      <c r="I17" s="4">
        <v>1</v>
      </c>
      <c r="J17" s="5">
        <v>0</v>
      </c>
      <c r="K17" s="5">
        <v>1</v>
      </c>
      <c r="L17" s="5">
        <v>0</v>
      </c>
      <c r="M17" s="5">
        <v>0</v>
      </c>
      <c r="N17" s="5">
        <v>0</v>
      </c>
      <c r="O17" s="5">
        <v>9</v>
      </c>
      <c r="P17" s="5">
        <v>0</v>
      </c>
      <c r="Q17" s="5">
        <v>2</v>
      </c>
      <c r="R17" s="5">
        <v>0</v>
      </c>
      <c r="S17" s="5">
        <v>0</v>
      </c>
      <c r="T17" s="5">
        <v>0</v>
      </c>
      <c r="U17" s="5">
        <f t="shared" si="0"/>
        <v>2</v>
      </c>
      <c r="V17" s="5">
        <v>1</v>
      </c>
      <c r="W17" s="5">
        <v>5</v>
      </c>
      <c r="X17" s="5">
        <v>0</v>
      </c>
      <c r="Y17" s="5">
        <f t="shared" si="1"/>
        <v>6</v>
      </c>
      <c r="Z17" s="5">
        <f t="shared" si="2"/>
        <v>8</v>
      </c>
      <c r="AA17" s="5">
        <v>0</v>
      </c>
      <c r="AB17" s="5">
        <v>0</v>
      </c>
      <c r="AC17" s="5">
        <v>0</v>
      </c>
      <c r="AD17" s="5">
        <v>1</v>
      </c>
      <c r="AE17" s="5">
        <v>0</v>
      </c>
      <c r="AF17" s="5">
        <f t="shared" si="3"/>
        <v>1</v>
      </c>
      <c r="AG17" s="5">
        <v>30</v>
      </c>
      <c r="AH17" s="14">
        <v>462</v>
      </c>
      <c r="AI17" s="8">
        <f>1239319+13334+1339990</f>
        <v>2592643</v>
      </c>
      <c r="AJ17" s="8">
        <f>AI17+1005365+10341394+7506548+92771+3723468+96844</f>
        <v>25359033</v>
      </c>
      <c r="AK17" s="8">
        <v>25834208</v>
      </c>
      <c r="AL17" s="8">
        <v>512287</v>
      </c>
      <c r="AM17" s="8">
        <v>42796517</v>
      </c>
      <c r="AN17" s="9">
        <f t="shared" si="4"/>
        <v>0.60365211496066373</v>
      </c>
      <c r="AO17" s="10">
        <v>1</v>
      </c>
    </row>
    <row r="18" spans="1:41" ht="14.4" customHeight="1" x14ac:dyDescent="0.3">
      <c r="A18" s="34">
        <v>22</v>
      </c>
      <c r="B18" s="5">
        <v>2</v>
      </c>
      <c r="C18" s="11">
        <v>2</v>
      </c>
      <c r="D18" s="5">
        <v>9</v>
      </c>
      <c r="E18" s="4">
        <v>0</v>
      </c>
      <c r="F18" s="4">
        <v>0</v>
      </c>
      <c r="G18" s="4">
        <v>4</v>
      </c>
      <c r="H18" s="4">
        <v>1</v>
      </c>
      <c r="I18" s="4">
        <v>4</v>
      </c>
      <c r="J18" s="5">
        <v>0</v>
      </c>
      <c r="K18" s="5">
        <v>0</v>
      </c>
      <c r="L18" s="5">
        <v>1</v>
      </c>
      <c r="M18" s="5">
        <v>0</v>
      </c>
      <c r="N18" s="5">
        <v>2</v>
      </c>
      <c r="O18" s="5">
        <v>7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f t="shared" si="0"/>
        <v>1</v>
      </c>
      <c r="V18" s="5">
        <v>1</v>
      </c>
      <c r="W18" s="5">
        <v>5</v>
      </c>
      <c r="X18" s="5">
        <v>0</v>
      </c>
      <c r="Y18" s="5">
        <f t="shared" si="1"/>
        <v>6</v>
      </c>
      <c r="Z18" s="5">
        <f t="shared" si="2"/>
        <v>7</v>
      </c>
      <c r="AA18" s="5">
        <v>0</v>
      </c>
      <c r="AB18" s="5">
        <v>0</v>
      </c>
      <c r="AC18" s="5">
        <v>1</v>
      </c>
      <c r="AD18" s="5">
        <v>0</v>
      </c>
      <c r="AE18" s="5">
        <v>1</v>
      </c>
      <c r="AF18" s="5">
        <f t="shared" si="3"/>
        <v>2</v>
      </c>
      <c r="AG18" s="5">
        <v>55</v>
      </c>
      <c r="AH18" s="14">
        <v>536</v>
      </c>
      <c r="AI18" s="8">
        <f>5208925+1819571</f>
        <v>7028496</v>
      </c>
      <c r="AJ18" s="8">
        <f>AI18+30622+468032</f>
        <v>7527150</v>
      </c>
      <c r="AK18" s="8">
        <v>39326807</v>
      </c>
      <c r="AL18" s="8">
        <v>2285899</v>
      </c>
      <c r="AM18" s="8">
        <v>28801938</v>
      </c>
      <c r="AN18" s="9">
        <f t="shared" si="4"/>
        <v>1.3654222504055109</v>
      </c>
      <c r="AO18" s="10">
        <v>2</v>
      </c>
    </row>
    <row r="19" spans="1:41" ht="14.4" customHeight="1" x14ac:dyDescent="0.3">
      <c r="A19" s="34">
        <v>23</v>
      </c>
      <c r="B19" s="5">
        <v>2</v>
      </c>
      <c r="C19" s="6">
        <v>2</v>
      </c>
      <c r="D19" s="5">
        <v>10</v>
      </c>
      <c r="E19" s="4">
        <v>0</v>
      </c>
      <c r="F19" s="4">
        <v>2</v>
      </c>
      <c r="G19" s="4">
        <v>6</v>
      </c>
      <c r="H19" s="4">
        <v>1</v>
      </c>
      <c r="I19" s="4">
        <v>1</v>
      </c>
      <c r="J19" s="5">
        <v>0</v>
      </c>
      <c r="K19" s="5">
        <v>0</v>
      </c>
      <c r="L19" s="5">
        <v>1</v>
      </c>
      <c r="M19" s="5">
        <v>0</v>
      </c>
      <c r="N19" s="12">
        <v>6</v>
      </c>
      <c r="O19" s="5">
        <v>4</v>
      </c>
      <c r="P19" s="5">
        <v>0</v>
      </c>
      <c r="Q19" s="5">
        <v>1</v>
      </c>
      <c r="R19" s="5">
        <v>0</v>
      </c>
      <c r="S19" s="5">
        <v>0</v>
      </c>
      <c r="T19" s="5">
        <v>0</v>
      </c>
      <c r="U19" s="5">
        <f t="shared" si="0"/>
        <v>1</v>
      </c>
      <c r="V19" s="5">
        <v>0</v>
      </c>
      <c r="W19" s="5">
        <v>4</v>
      </c>
      <c r="X19" s="5">
        <v>2</v>
      </c>
      <c r="Y19" s="5">
        <f t="shared" si="1"/>
        <v>6</v>
      </c>
      <c r="Z19" s="5">
        <f t="shared" si="2"/>
        <v>7</v>
      </c>
      <c r="AA19" s="5">
        <v>0</v>
      </c>
      <c r="AB19" s="5">
        <v>0</v>
      </c>
      <c r="AC19" s="5">
        <v>2</v>
      </c>
      <c r="AD19" s="5">
        <v>0</v>
      </c>
      <c r="AE19" s="5">
        <v>1</v>
      </c>
      <c r="AF19" s="5">
        <f t="shared" si="3"/>
        <v>3</v>
      </c>
      <c r="AG19" s="5">
        <v>55</v>
      </c>
      <c r="AH19" s="14">
        <v>214</v>
      </c>
      <c r="AI19" s="8">
        <f>584238+1366551</f>
        <v>1950789</v>
      </c>
      <c r="AJ19" s="8">
        <f>AI19+869+803647</f>
        <v>2755305</v>
      </c>
      <c r="AK19" s="8">
        <v>8410650</v>
      </c>
      <c r="AL19" s="8">
        <v>4322987</v>
      </c>
      <c r="AM19" s="8">
        <v>6760961</v>
      </c>
      <c r="AN19" s="9">
        <f t="shared" si="4"/>
        <v>1.2440021470320566</v>
      </c>
      <c r="AO19" s="10">
        <v>2</v>
      </c>
    </row>
    <row r="20" spans="1:41" ht="14.4" customHeight="1" x14ac:dyDescent="0.3">
      <c r="A20" s="34">
        <v>24</v>
      </c>
      <c r="B20" s="5">
        <v>2</v>
      </c>
      <c r="C20" s="11">
        <v>3</v>
      </c>
      <c r="D20" s="5">
        <v>10</v>
      </c>
      <c r="E20" s="4">
        <v>0</v>
      </c>
      <c r="F20" s="4">
        <v>0</v>
      </c>
      <c r="G20" s="4">
        <v>2</v>
      </c>
      <c r="H20" s="4">
        <v>7</v>
      </c>
      <c r="I20" s="4">
        <v>1</v>
      </c>
      <c r="J20" s="5">
        <v>0</v>
      </c>
      <c r="K20" s="5">
        <v>0</v>
      </c>
      <c r="L20" s="5">
        <v>0</v>
      </c>
      <c r="M20" s="5">
        <v>1</v>
      </c>
      <c r="N20" s="5">
        <v>3</v>
      </c>
      <c r="O20" s="5">
        <v>7</v>
      </c>
      <c r="P20" s="5">
        <v>0</v>
      </c>
      <c r="Q20" s="5">
        <v>0</v>
      </c>
      <c r="R20" s="5">
        <v>0</v>
      </c>
      <c r="S20" s="5">
        <v>1</v>
      </c>
      <c r="T20" s="5">
        <v>0</v>
      </c>
      <c r="U20" s="5">
        <f t="shared" si="0"/>
        <v>1</v>
      </c>
      <c r="V20" s="5">
        <v>0</v>
      </c>
      <c r="W20" s="5">
        <v>7</v>
      </c>
      <c r="X20" s="5">
        <v>1</v>
      </c>
      <c r="Y20" s="5">
        <f t="shared" si="1"/>
        <v>8</v>
      </c>
      <c r="Z20" s="5">
        <f t="shared" si="2"/>
        <v>9</v>
      </c>
      <c r="AA20" s="5">
        <v>0</v>
      </c>
      <c r="AB20" s="5">
        <v>0</v>
      </c>
      <c r="AC20" s="5">
        <v>0</v>
      </c>
      <c r="AD20" s="5">
        <v>1</v>
      </c>
      <c r="AE20" s="5">
        <v>0</v>
      </c>
      <c r="AF20" s="5">
        <f t="shared" si="3"/>
        <v>1</v>
      </c>
      <c r="AG20" s="5">
        <v>39</v>
      </c>
      <c r="AH20" s="14">
        <v>599</v>
      </c>
      <c r="AI20" s="8">
        <v>836872</v>
      </c>
      <c r="AJ20" s="8">
        <f>AI20+244621</f>
        <v>1081493</v>
      </c>
      <c r="AK20" s="8">
        <v>5188276</v>
      </c>
      <c r="AL20" s="8">
        <v>2426761</v>
      </c>
      <c r="AM20" s="8">
        <v>9900732</v>
      </c>
      <c r="AN20" s="9">
        <f t="shared" si="4"/>
        <v>0.52402953640195493</v>
      </c>
      <c r="AO20" s="10">
        <v>2</v>
      </c>
    </row>
    <row r="21" spans="1:41" ht="14.4" customHeight="1" x14ac:dyDescent="0.3">
      <c r="A21" s="34">
        <v>26</v>
      </c>
      <c r="B21" s="5">
        <v>2</v>
      </c>
      <c r="C21" s="11">
        <v>3</v>
      </c>
      <c r="D21" s="5">
        <v>10</v>
      </c>
      <c r="E21" s="4">
        <v>1</v>
      </c>
      <c r="F21" s="4">
        <v>1</v>
      </c>
      <c r="G21" s="4">
        <v>6</v>
      </c>
      <c r="H21" s="4">
        <v>2</v>
      </c>
      <c r="I21" s="4">
        <v>0</v>
      </c>
      <c r="J21" s="5">
        <v>0</v>
      </c>
      <c r="K21" s="5">
        <v>0</v>
      </c>
      <c r="L21" s="5">
        <v>1</v>
      </c>
      <c r="M21" s="5">
        <v>0</v>
      </c>
      <c r="N21" s="5">
        <v>1</v>
      </c>
      <c r="O21" s="5">
        <v>9</v>
      </c>
      <c r="P21" s="5">
        <v>0</v>
      </c>
      <c r="Q21" s="5">
        <v>0</v>
      </c>
      <c r="R21" s="5">
        <v>1</v>
      </c>
      <c r="S21" s="5">
        <v>0</v>
      </c>
      <c r="T21" s="5">
        <v>0</v>
      </c>
      <c r="U21" s="5">
        <f t="shared" si="0"/>
        <v>1</v>
      </c>
      <c r="V21" s="5">
        <v>2</v>
      </c>
      <c r="W21" s="5">
        <v>5</v>
      </c>
      <c r="X21" s="5">
        <v>1</v>
      </c>
      <c r="Y21" s="5">
        <f t="shared" si="1"/>
        <v>8</v>
      </c>
      <c r="Z21" s="5">
        <f t="shared" si="2"/>
        <v>9</v>
      </c>
      <c r="AA21" s="5">
        <v>0</v>
      </c>
      <c r="AB21" s="5">
        <v>0</v>
      </c>
      <c r="AC21" s="5">
        <v>1</v>
      </c>
      <c r="AD21" s="5">
        <v>0</v>
      </c>
      <c r="AE21" s="5">
        <v>0</v>
      </c>
      <c r="AF21" s="5">
        <f t="shared" si="3"/>
        <v>1</v>
      </c>
      <c r="AG21" s="5">
        <v>12</v>
      </c>
      <c r="AH21" s="14">
        <v>400</v>
      </c>
      <c r="AI21" s="8">
        <v>258367</v>
      </c>
      <c r="AJ21" s="8">
        <f>AI21+165553</f>
        <v>423920</v>
      </c>
      <c r="AK21" s="8">
        <v>990000</v>
      </c>
      <c r="AL21" s="8">
        <v>72</v>
      </c>
      <c r="AM21" s="8">
        <v>10132935</v>
      </c>
      <c r="AN21" s="9">
        <f t="shared" si="4"/>
        <v>9.7701208978445045E-2</v>
      </c>
      <c r="AO21" s="10">
        <v>1</v>
      </c>
    </row>
    <row r="22" spans="1:41" ht="14.4" customHeight="1" x14ac:dyDescent="0.3">
      <c r="A22" s="34">
        <v>27</v>
      </c>
      <c r="B22" s="5">
        <v>2</v>
      </c>
      <c r="C22" s="6">
        <v>2</v>
      </c>
      <c r="D22" s="5">
        <v>14</v>
      </c>
      <c r="E22" s="4">
        <v>1</v>
      </c>
      <c r="F22" s="4">
        <v>3</v>
      </c>
      <c r="G22" s="4">
        <v>3</v>
      </c>
      <c r="H22" s="4">
        <v>2</v>
      </c>
      <c r="I22" s="4">
        <v>5</v>
      </c>
      <c r="J22" s="5">
        <v>0</v>
      </c>
      <c r="K22" s="5">
        <v>0</v>
      </c>
      <c r="L22" s="5">
        <v>0</v>
      </c>
      <c r="M22" s="5">
        <v>1</v>
      </c>
      <c r="N22" s="5">
        <v>2</v>
      </c>
      <c r="O22" s="5">
        <v>12</v>
      </c>
      <c r="P22" s="5">
        <v>0</v>
      </c>
      <c r="Q22" s="5">
        <v>0</v>
      </c>
      <c r="R22" s="5">
        <v>0</v>
      </c>
      <c r="S22" s="5">
        <v>0</v>
      </c>
      <c r="T22" s="5">
        <v>1</v>
      </c>
      <c r="U22" s="5">
        <f t="shared" si="0"/>
        <v>1</v>
      </c>
      <c r="V22" s="5">
        <v>0</v>
      </c>
      <c r="W22" s="5">
        <v>11</v>
      </c>
      <c r="X22" s="5">
        <v>0</v>
      </c>
      <c r="Y22" s="5">
        <f t="shared" si="1"/>
        <v>11</v>
      </c>
      <c r="Z22" s="5">
        <f t="shared" si="2"/>
        <v>12</v>
      </c>
      <c r="AA22" s="5">
        <v>0</v>
      </c>
      <c r="AB22" s="5">
        <v>0</v>
      </c>
      <c r="AC22" s="5">
        <v>0</v>
      </c>
      <c r="AD22" s="5">
        <v>1</v>
      </c>
      <c r="AE22" s="5">
        <v>1</v>
      </c>
      <c r="AF22" s="5">
        <f t="shared" si="3"/>
        <v>2</v>
      </c>
      <c r="AG22" s="5">
        <v>46</v>
      </c>
      <c r="AH22" s="14">
        <v>163</v>
      </c>
      <c r="AI22" s="8">
        <v>1720291</v>
      </c>
      <c r="AJ22" s="8">
        <f>AI22+26865+34902+38070</f>
        <v>1820128</v>
      </c>
      <c r="AK22" s="8">
        <v>6927177</v>
      </c>
      <c r="AL22" s="8">
        <v>701962</v>
      </c>
      <c r="AM22" s="8">
        <v>10981383</v>
      </c>
      <c r="AN22" s="9">
        <f t="shared" si="4"/>
        <v>0.6308109825511049</v>
      </c>
      <c r="AO22" s="10">
        <v>1</v>
      </c>
    </row>
    <row r="23" spans="1:41" ht="14.4" customHeight="1" x14ac:dyDescent="0.3">
      <c r="A23" s="33">
        <v>28</v>
      </c>
      <c r="B23" s="5">
        <v>2</v>
      </c>
      <c r="C23" s="11">
        <v>3</v>
      </c>
      <c r="D23" s="4">
        <v>9</v>
      </c>
      <c r="E23" s="4">
        <v>1</v>
      </c>
      <c r="F23" s="4">
        <v>0</v>
      </c>
      <c r="G23" s="4">
        <v>5</v>
      </c>
      <c r="H23" s="4">
        <v>1</v>
      </c>
      <c r="I23" s="4">
        <v>2</v>
      </c>
      <c r="J23" s="5">
        <v>0</v>
      </c>
      <c r="K23" s="5">
        <v>0</v>
      </c>
      <c r="L23" s="5">
        <v>1</v>
      </c>
      <c r="M23" s="5">
        <v>0</v>
      </c>
      <c r="N23" s="4">
        <v>1</v>
      </c>
      <c r="O23" s="4">
        <v>8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5">
        <f t="shared" si="0"/>
        <v>1</v>
      </c>
      <c r="V23" s="4">
        <v>1</v>
      </c>
      <c r="W23" s="4">
        <v>6</v>
      </c>
      <c r="X23" s="4">
        <v>0</v>
      </c>
      <c r="Y23" s="5">
        <f t="shared" si="1"/>
        <v>7</v>
      </c>
      <c r="Z23" s="5">
        <f t="shared" si="2"/>
        <v>8</v>
      </c>
      <c r="AA23" s="4">
        <v>0</v>
      </c>
      <c r="AB23" s="4">
        <v>0</v>
      </c>
      <c r="AC23" s="4">
        <v>0</v>
      </c>
      <c r="AD23" s="4">
        <v>0</v>
      </c>
      <c r="AE23" s="4">
        <v>1</v>
      </c>
      <c r="AF23" s="5">
        <f t="shared" si="3"/>
        <v>1</v>
      </c>
      <c r="AG23" s="4">
        <v>35</v>
      </c>
      <c r="AH23" s="16">
        <v>53</v>
      </c>
      <c r="AI23" s="13">
        <f>624917</f>
        <v>624917</v>
      </c>
      <c r="AJ23" s="13">
        <f>AI23+10745+26440</f>
        <v>662102</v>
      </c>
      <c r="AK23" s="13">
        <v>469066</v>
      </c>
      <c r="AL23" s="13">
        <v>-127893</v>
      </c>
      <c r="AM23" s="13">
        <f>4422670+704433</f>
        <v>5127103</v>
      </c>
      <c r="AN23" s="9">
        <f t="shared" si="4"/>
        <v>9.1487532042949016E-2</v>
      </c>
      <c r="AO23" s="10">
        <v>1</v>
      </c>
    </row>
    <row r="24" spans="1:41" ht="14.4" customHeight="1" x14ac:dyDescent="0.3">
      <c r="A24" s="33">
        <v>29</v>
      </c>
      <c r="B24" s="5">
        <v>3</v>
      </c>
      <c r="C24" s="6">
        <v>2</v>
      </c>
      <c r="D24" s="4">
        <v>5</v>
      </c>
      <c r="E24" s="4">
        <v>1</v>
      </c>
      <c r="F24" s="4">
        <v>0</v>
      </c>
      <c r="G24" s="4">
        <v>2</v>
      </c>
      <c r="H24" s="4">
        <v>0</v>
      </c>
      <c r="I24" s="4">
        <v>2</v>
      </c>
      <c r="J24" s="5">
        <v>0</v>
      </c>
      <c r="K24" s="5">
        <v>0</v>
      </c>
      <c r="L24" s="5">
        <v>1</v>
      </c>
      <c r="M24" s="5">
        <v>0</v>
      </c>
      <c r="N24" s="4">
        <v>0</v>
      </c>
      <c r="O24" s="4">
        <v>5</v>
      </c>
      <c r="P24" s="4">
        <v>0</v>
      </c>
      <c r="Q24" s="4">
        <v>0</v>
      </c>
      <c r="R24" s="4">
        <v>1</v>
      </c>
      <c r="S24" s="4">
        <v>0</v>
      </c>
      <c r="T24" s="4">
        <v>0</v>
      </c>
      <c r="U24" s="5">
        <f t="shared" si="0"/>
        <v>1</v>
      </c>
      <c r="V24" s="4">
        <v>1</v>
      </c>
      <c r="W24" s="4">
        <v>2</v>
      </c>
      <c r="X24" s="4">
        <v>0</v>
      </c>
      <c r="Y24" s="5">
        <f t="shared" si="1"/>
        <v>3</v>
      </c>
      <c r="Z24" s="5">
        <f t="shared" si="2"/>
        <v>4</v>
      </c>
      <c r="AA24" s="4">
        <v>0</v>
      </c>
      <c r="AB24" s="4">
        <v>0</v>
      </c>
      <c r="AC24" s="4">
        <v>0</v>
      </c>
      <c r="AD24" s="4">
        <v>0</v>
      </c>
      <c r="AE24" s="4">
        <v>1</v>
      </c>
      <c r="AF24" s="5">
        <f t="shared" si="3"/>
        <v>1</v>
      </c>
      <c r="AG24" s="4">
        <v>73</v>
      </c>
      <c r="AH24" s="16">
        <v>193</v>
      </c>
      <c r="AI24" s="13">
        <f>7562+2241223</f>
        <v>2248785</v>
      </c>
      <c r="AJ24" s="13">
        <f>AI24+270102</f>
        <v>2518887</v>
      </c>
      <c r="AK24" s="13">
        <v>4156673</v>
      </c>
      <c r="AL24" s="13">
        <v>-1257165</v>
      </c>
      <c r="AM24" s="13">
        <f>5758163+5362165</f>
        <v>11120328</v>
      </c>
      <c r="AN24" s="9">
        <f t="shared" si="4"/>
        <v>0.37379050330170116</v>
      </c>
      <c r="AO24" s="10">
        <v>1</v>
      </c>
    </row>
    <row r="25" spans="1:41" ht="14.4" customHeight="1" x14ac:dyDescent="0.3">
      <c r="A25" s="34">
        <v>31</v>
      </c>
      <c r="B25" s="5">
        <v>2</v>
      </c>
      <c r="C25" s="6">
        <v>3</v>
      </c>
      <c r="D25" s="5">
        <v>12</v>
      </c>
      <c r="E25" s="4">
        <v>1</v>
      </c>
      <c r="F25" s="4">
        <v>5</v>
      </c>
      <c r="G25" s="4">
        <v>4</v>
      </c>
      <c r="H25" s="4">
        <v>1</v>
      </c>
      <c r="I25" s="4">
        <v>1</v>
      </c>
      <c r="J25" s="5">
        <v>0</v>
      </c>
      <c r="K25" s="5">
        <v>1</v>
      </c>
      <c r="L25" s="5">
        <v>0</v>
      </c>
      <c r="M25" s="5">
        <v>0</v>
      </c>
      <c r="N25" s="5">
        <v>4</v>
      </c>
      <c r="O25" s="5">
        <v>8</v>
      </c>
      <c r="P25" s="5">
        <v>0</v>
      </c>
      <c r="Q25" s="5">
        <v>2</v>
      </c>
      <c r="R25" s="5">
        <v>0</v>
      </c>
      <c r="S25" s="5">
        <v>0</v>
      </c>
      <c r="T25" s="5">
        <v>0</v>
      </c>
      <c r="U25" s="5">
        <f t="shared" si="0"/>
        <v>2</v>
      </c>
      <c r="V25" s="5">
        <v>2</v>
      </c>
      <c r="W25" s="5">
        <v>6</v>
      </c>
      <c r="X25" s="5">
        <v>1</v>
      </c>
      <c r="Y25" s="5">
        <f t="shared" si="1"/>
        <v>9</v>
      </c>
      <c r="Z25" s="5">
        <f t="shared" si="2"/>
        <v>11</v>
      </c>
      <c r="AA25" s="5">
        <v>0</v>
      </c>
      <c r="AB25" s="5">
        <v>0</v>
      </c>
      <c r="AC25" s="5">
        <v>0</v>
      </c>
      <c r="AD25" s="5">
        <v>1</v>
      </c>
      <c r="AE25" s="5">
        <v>0</v>
      </c>
      <c r="AF25" s="5">
        <f t="shared" si="3"/>
        <v>1</v>
      </c>
      <c r="AG25" s="5">
        <v>29</v>
      </c>
      <c r="AH25" s="14">
        <v>249</v>
      </c>
      <c r="AI25" s="8">
        <v>1716472.889</v>
      </c>
      <c r="AJ25" s="8">
        <f>AI25+3357536.001+3316118.494+1939548.37+72636.175+81307.778</f>
        <v>10483619.707000002</v>
      </c>
      <c r="AK25" s="8">
        <v>8385947.2850000001</v>
      </c>
      <c r="AL25" s="8">
        <v>1154788.206</v>
      </c>
      <c r="AM25" s="8">
        <v>11291006.944</v>
      </c>
      <c r="AN25" s="9">
        <f t="shared" si="4"/>
        <v>0.74271031154190037</v>
      </c>
      <c r="AO25" s="10">
        <v>1</v>
      </c>
    </row>
    <row r="26" spans="1:41" ht="14.4" customHeight="1" x14ac:dyDescent="0.3">
      <c r="A26" s="34">
        <v>32</v>
      </c>
      <c r="B26" s="5">
        <v>2</v>
      </c>
      <c r="C26" s="11">
        <v>3</v>
      </c>
      <c r="D26" s="5">
        <v>9</v>
      </c>
      <c r="E26" s="4">
        <v>1</v>
      </c>
      <c r="F26" s="4">
        <v>3</v>
      </c>
      <c r="G26" s="4">
        <v>2</v>
      </c>
      <c r="H26" s="4">
        <v>3</v>
      </c>
      <c r="I26" s="4">
        <v>0</v>
      </c>
      <c r="J26" s="5">
        <v>0</v>
      </c>
      <c r="K26" s="5">
        <v>1</v>
      </c>
      <c r="L26" s="5">
        <v>0</v>
      </c>
      <c r="M26" s="5">
        <v>0</v>
      </c>
      <c r="N26" s="5">
        <v>1</v>
      </c>
      <c r="O26" s="5">
        <v>8</v>
      </c>
      <c r="P26" s="5">
        <v>0</v>
      </c>
      <c r="Q26" s="5">
        <v>0</v>
      </c>
      <c r="R26" s="5">
        <v>1</v>
      </c>
      <c r="S26" s="5">
        <v>0</v>
      </c>
      <c r="T26" s="5">
        <v>0</v>
      </c>
      <c r="U26" s="5">
        <f t="shared" si="0"/>
        <v>1</v>
      </c>
      <c r="V26" s="5">
        <v>2</v>
      </c>
      <c r="W26" s="5">
        <v>3</v>
      </c>
      <c r="X26" s="5">
        <v>2</v>
      </c>
      <c r="Y26" s="5">
        <f t="shared" si="1"/>
        <v>7</v>
      </c>
      <c r="Z26" s="5">
        <f t="shared" si="2"/>
        <v>8</v>
      </c>
      <c r="AA26" s="5">
        <v>1</v>
      </c>
      <c r="AB26" s="5">
        <v>0</v>
      </c>
      <c r="AC26" s="5">
        <v>0</v>
      </c>
      <c r="AD26" s="5">
        <v>0</v>
      </c>
      <c r="AE26" s="5">
        <v>0</v>
      </c>
      <c r="AF26" s="5">
        <f t="shared" si="3"/>
        <v>1</v>
      </c>
      <c r="AG26" s="5">
        <v>29</v>
      </c>
      <c r="AH26" s="14">
        <v>165</v>
      </c>
      <c r="AI26" s="8">
        <f>51089+1500717+124508+19936+1202913</f>
        <v>2899163</v>
      </c>
      <c r="AJ26" s="8">
        <f>AI26+56929+48921+48585</f>
        <v>3053598</v>
      </c>
      <c r="AK26" s="8">
        <v>12105513</v>
      </c>
      <c r="AL26" s="8">
        <v>8193360</v>
      </c>
      <c r="AM26" s="8">
        <v>29382749</v>
      </c>
      <c r="AN26" s="9">
        <f t="shared" si="4"/>
        <v>0.41199388797828279</v>
      </c>
      <c r="AO26" s="10">
        <v>1</v>
      </c>
    </row>
    <row r="27" spans="1:41" ht="14.4" customHeight="1" x14ac:dyDescent="0.3">
      <c r="A27" s="34">
        <v>33</v>
      </c>
      <c r="B27" s="5">
        <v>2</v>
      </c>
      <c r="C27" s="6">
        <v>3</v>
      </c>
      <c r="D27" s="5">
        <v>11</v>
      </c>
      <c r="E27" s="4">
        <v>3</v>
      </c>
      <c r="F27" s="4">
        <v>1</v>
      </c>
      <c r="G27" s="4">
        <v>5</v>
      </c>
      <c r="H27" s="4">
        <v>2</v>
      </c>
      <c r="I27" s="4">
        <v>0</v>
      </c>
      <c r="J27" s="5">
        <v>0</v>
      </c>
      <c r="K27" s="5">
        <v>0</v>
      </c>
      <c r="L27" s="5">
        <v>1</v>
      </c>
      <c r="M27" s="5">
        <v>0</v>
      </c>
      <c r="N27" s="5">
        <v>4</v>
      </c>
      <c r="O27" s="5">
        <v>7</v>
      </c>
      <c r="P27" s="5">
        <v>0</v>
      </c>
      <c r="Q27" s="5">
        <v>1</v>
      </c>
      <c r="R27" s="5">
        <v>0</v>
      </c>
      <c r="S27" s="5">
        <v>0</v>
      </c>
      <c r="T27" s="5">
        <v>0</v>
      </c>
      <c r="U27" s="5">
        <f t="shared" si="0"/>
        <v>1</v>
      </c>
      <c r="V27" s="5">
        <v>3</v>
      </c>
      <c r="W27" s="5">
        <v>4</v>
      </c>
      <c r="X27" s="5">
        <v>2</v>
      </c>
      <c r="Y27" s="5">
        <f t="shared" si="1"/>
        <v>9</v>
      </c>
      <c r="Z27" s="5">
        <f t="shared" si="2"/>
        <v>10</v>
      </c>
      <c r="AA27" s="5">
        <v>0</v>
      </c>
      <c r="AB27" s="5">
        <v>0</v>
      </c>
      <c r="AC27" s="5">
        <v>1</v>
      </c>
      <c r="AD27" s="5">
        <v>0</v>
      </c>
      <c r="AE27" s="5">
        <v>0</v>
      </c>
      <c r="AF27" s="5">
        <f t="shared" si="3"/>
        <v>1</v>
      </c>
      <c r="AG27" s="5">
        <v>62</v>
      </c>
      <c r="AH27" s="14">
        <v>84</v>
      </c>
      <c r="AI27" s="8">
        <v>3571428</v>
      </c>
      <c r="AJ27" s="8">
        <f>AI27+1782187</f>
        <v>5353615</v>
      </c>
      <c r="AK27" s="8">
        <v>11819205</v>
      </c>
      <c r="AL27" s="8">
        <v>506399</v>
      </c>
      <c r="AM27" s="8">
        <v>21556410</v>
      </c>
      <c r="AN27" s="9">
        <f t="shared" si="4"/>
        <v>0.54829190018189489</v>
      </c>
      <c r="AO27" s="10">
        <v>1</v>
      </c>
    </row>
    <row r="28" spans="1:41" ht="14.4" customHeight="1" x14ac:dyDescent="0.3">
      <c r="A28" s="34">
        <v>34</v>
      </c>
      <c r="B28" s="5">
        <v>2</v>
      </c>
      <c r="C28" s="11">
        <v>3</v>
      </c>
      <c r="D28" s="5">
        <v>7</v>
      </c>
      <c r="E28" s="4">
        <v>0</v>
      </c>
      <c r="F28" s="4">
        <v>1</v>
      </c>
      <c r="G28" s="4">
        <v>5</v>
      </c>
      <c r="H28" s="4">
        <v>1</v>
      </c>
      <c r="I28" s="4">
        <v>0</v>
      </c>
      <c r="J28" s="5">
        <v>0</v>
      </c>
      <c r="K28" s="5">
        <v>0</v>
      </c>
      <c r="L28" s="5">
        <v>1</v>
      </c>
      <c r="M28" s="5">
        <v>0</v>
      </c>
      <c r="N28" s="5">
        <v>1</v>
      </c>
      <c r="O28" s="5">
        <v>6</v>
      </c>
      <c r="P28" s="5">
        <v>0</v>
      </c>
      <c r="Q28" s="5">
        <v>1</v>
      </c>
      <c r="R28" s="5">
        <v>0</v>
      </c>
      <c r="S28" s="5">
        <v>0</v>
      </c>
      <c r="T28" s="5">
        <v>0</v>
      </c>
      <c r="U28" s="5">
        <f t="shared" si="0"/>
        <v>1</v>
      </c>
      <c r="V28" s="5">
        <v>2</v>
      </c>
      <c r="W28" s="5">
        <v>3</v>
      </c>
      <c r="X28" s="5">
        <v>0</v>
      </c>
      <c r="Y28" s="5">
        <f t="shared" si="1"/>
        <v>5</v>
      </c>
      <c r="Z28" s="5">
        <f t="shared" si="2"/>
        <v>6</v>
      </c>
      <c r="AA28" s="5">
        <v>0</v>
      </c>
      <c r="AB28" s="5">
        <v>0</v>
      </c>
      <c r="AC28" s="5">
        <v>1</v>
      </c>
      <c r="AD28" s="5">
        <v>0</v>
      </c>
      <c r="AE28" s="5">
        <v>0</v>
      </c>
      <c r="AF28" s="5">
        <f t="shared" si="3"/>
        <v>1</v>
      </c>
      <c r="AG28" s="5">
        <v>15</v>
      </c>
      <c r="AH28" s="14">
        <v>121</v>
      </c>
      <c r="AI28" s="8">
        <f>115000+17116.046+30984.336+480627.967+375248.278</f>
        <v>1018976.6270000001</v>
      </c>
      <c r="AJ28" s="8">
        <f>AI28+15122.247+185546.953</f>
        <v>1219645.827</v>
      </c>
      <c r="AK28" s="8">
        <v>1905535.2879999999</v>
      </c>
      <c r="AL28" s="8">
        <v>33854.008999999998</v>
      </c>
      <c r="AM28" s="8">
        <v>4028054.088</v>
      </c>
      <c r="AN28" s="9">
        <f t="shared" si="4"/>
        <v>0.47306596345783725</v>
      </c>
      <c r="AO28" s="10">
        <v>1</v>
      </c>
    </row>
    <row r="29" spans="1:41" ht="14.4" customHeight="1" x14ac:dyDescent="0.3">
      <c r="A29" s="34">
        <v>35</v>
      </c>
      <c r="B29" s="5">
        <v>2</v>
      </c>
      <c r="C29" s="6">
        <v>3</v>
      </c>
      <c r="D29" s="5">
        <v>7</v>
      </c>
      <c r="E29" s="4">
        <v>1</v>
      </c>
      <c r="F29" s="4">
        <v>0</v>
      </c>
      <c r="G29" s="4">
        <v>4</v>
      </c>
      <c r="H29" s="4">
        <v>1</v>
      </c>
      <c r="I29" s="4">
        <v>1</v>
      </c>
      <c r="J29" s="5">
        <v>0</v>
      </c>
      <c r="K29" s="5">
        <v>0</v>
      </c>
      <c r="L29" s="5">
        <v>1</v>
      </c>
      <c r="M29" s="5">
        <v>0</v>
      </c>
      <c r="N29" s="5">
        <v>2</v>
      </c>
      <c r="O29" s="5">
        <v>5</v>
      </c>
      <c r="P29" s="5">
        <v>0</v>
      </c>
      <c r="Q29" s="5">
        <v>0</v>
      </c>
      <c r="R29" s="5">
        <v>1</v>
      </c>
      <c r="S29" s="5">
        <v>0</v>
      </c>
      <c r="T29" s="5">
        <v>0</v>
      </c>
      <c r="U29" s="5">
        <f t="shared" si="0"/>
        <v>1</v>
      </c>
      <c r="V29" s="5">
        <v>0</v>
      </c>
      <c r="W29" s="5">
        <v>3</v>
      </c>
      <c r="X29" s="5">
        <v>2</v>
      </c>
      <c r="Y29" s="5">
        <f t="shared" si="1"/>
        <v>5</v>
      </c>
      <c r="Z29" s="5">
        <f t="shared" si="2"/>
        <v>6</v>
      </c>
      <c r="AA29" s="5">
        <v>0</v>
      </c>
      <c r="AB29" s="5">
        <v>0</v>
      </c>
      <c r="AC29" s="5">
        <v>1</v>
      </c>
      <c r="AD29" s="5">
        <v>0</v>
      </c>
      <c r="AE29" s="5">
        <v>0</v>
      </c>
      <c r="AF29" s="5">
        <f t="shared" si="3"/>
        <v>1</v>
      </c>
      <c r="AG29" s="5">
        <v>29</v>
      </c>
      <c r="AH29" s="14">
        <v>22</v>
      </c>
      <c r="AI29" s="8">
        <f>18415+20730+863027</f>
        <v>902172</v>
      </c>
      <c r="AJ29" s="8">
        <f>AI29+923248</f>
        <v>1825420</v>
      </c>
      <c r="AK29" s="8">
        <v>5698352</v>
      </c>
      <c r="AL29" s="8">
        <v>1524553</v>
      </c>
      <c r="AM29" s="8">
        <v>21522893</v>
      </c>
      <c r="AN29" s="9">
        <f t="shared" si="4"/>
        <v>0.26475771635346607</v>
      </c>
      <c r="AO29" s="10">
        <v>1</v>
      </c>
    </row>
    <row r="30" spans="1:41" ht="14.4" customHeight="1" x14ac:dyDescent="0.3">
      <c r="A30" s="34">
        <v>36</v>
      </c>
      <c r="B30" s="5">
        <v>2</v>
      </c>
      <c r="C30" s="11">
        <v>2</v>
      </c>
      <c r="D30" s="5">
        <v>7</v>
      </c>
      <c r="E30" s="4">
        <v>0</v>
      </c>
      <c r="F30" s="4">
        <v>7</v>
      </c>
      <c r="G30" s="4">
        <v>0</v>
      </c>
      <c r="H30" s="4">
        <v>0</v>
      </c>
      <c r="I30" s="4">
        <v>0</v>
      </c>
      <c r="J30" s="5">
        <v>0</v>
      </c>
      <c r="K30" s="5">
        <v>1</v>
      </c>
      <c r="L30" s="5">
        <v>0</v>
      </c>
      <c r="M30" s="5">
        <v>0</v>
      </c>
      <c r="N30" s="5">
        <v>3</v>
      </c>
      <c r="O30" s="5">
        <v>4</v>
      </c>
      <c r="P30" s="5">
        <v>0</v>
      </c>
      <c r="Q30" s="5">
        <v>1</v>
      </c>
      <c r="R30" s="5">
        <v>0</v>
      </c>
      <c r="S30" s="5">
        <v>0</v>
      </c>
      <c r="T30" s="5">
        <v>0</v>
      </c>
      <c r="U30" s="5">
        <f t="shared" si="0"/>
        <v>1</v>
      </c>
      <c r="V30" s="5">
        <v>0</v>
      </c>
      <c r="W30" s="5">
        <v>3</v>
      </c>
      <c r="X30" s="5">
        <v>2</v>
      </c>
      <c r="Y30" s="5">
        <f t="shared" si="1"/>
        <v>5</v>
      </c>
      <c r="Z30" s="5">
        <f t="shared" si="2"/>
        <v>6</v>
      </c>
      <c r="AA30" s="5">
        <v>0</v>
      </c>
      <c r="AB30" s="5">
        <v>1</v>
      </c>
      <c r="AC30" s="5">
        <v>0</v>
      </c>
      <c r="AD30" s="5">
        <v>0</v>
      </c>
      <c r="AE30" s="5">
        <v>0</v>
      </c>
      <c r="AF30" s="5">
        <f t="shared" si="3"/>
        <v>1</v>
      </c>
      <c r="AG30" s="5">
        <v>38</v>
      </c>
      <c r="AH30" s="14">
        <f>73+47+50+26+53</f>
        <v>249</v>
      </c>
      <c r="AI30" s="8">
        <f>168155+704059</f>
        <v>872214</v>
      </c>
      <c r="AJ30" s="8">
        <f>AI30+107185+202262</f>
        <v>1181661</v>
      </c>
      <c r="AK30" s="8">
        <v>5434107</v>
      </c>
      <c r="AL30" s="8">
        <v>112612</v>
      </c>
      <c r="AM30" s="8">
        <v>2861339</v>
      </c>
      <c r="AN30" s="9">
        <f t="shared" si="4"/>
        <v>1.8991482658992871</v>
      </c>
      <c r="AO30" s="10">
        <v>1</v>
      </c>
    </row>
    <row r="31" spans="1:41" ht="14.4" customHeight="1" x14ac:dyDescent="0.3">
      <c r="A31" s="34">
        <v>37</v>
      </c>
      <c r="B31" s="5">
        <v>2</v>
      </c>
      <c r="C31" s="6">
        <v>3</v>
      </c>
      <c r="D31" s="5">
        <v>6</v>
      </c>
      <c r="E31" s="4">
        <v>0</v>
      </c>
      <c r="F31" s="4">
        <v>2</v>
      </c>
      <c r="G31" s="4">
        <v>4</v>
      </c>
      <c r="H31" s="4">
        <v>0</v>
      </c>
      <c r="I31" s="4">
        <v>0</v>
      </c>
      <c r="J31" s="5">
        <v>0</v>
      </c>
      <c r="K31" s="5">
        <v>0</v>
      </c>
      <c r="L31" s="5">
        <v>1</v>
      </c>
      <c r="M31" s="5">
        <v>0</v>
      </c>
      <c r="N31" s="5">
        <v>0</v>
      </c>
      <c r="O31" s="5">
        <v>6</v>
      </c>
      <c r="P31" s="5">
        <v>0</v>
      </c>
      <c r="Q31" s="5">
        <v>1</v>
      </c>
      <c r="R31" s="5">
        <v>0</v>
      </c>
      <c r="S31" s="5">
        <v>0</v>
      </c>
      <c r="T31" s="5">
        <v>0</v>
      </c>
      <c r="U31" s="5">
        <f t="shared" si="0"/>
        <v>1</v>
      </c>
      <c r="V31" s="5">
        <v>0</v>
      </c>
      <c r="W31" s="5">
        <v>4</v>
      </c>
      <c r="X31" s="5">
        <v>0</v>
      </c>
      <c r="Y31" s="5">
        <f t="shared" si="1"/>
        <v>4</v>
      </c>
      <c r="Z31" s="5">
        <f t="shared" si="2"/>
        <v>5</v>
      </c>
      <c r="AA31" s="5">
        <v>0</v>
      </c>
      <c r="AB31" s="5">
        <v>0</v>
      </c>
      <c r="AC31" s="5">
        <v>1</v>
      </c>
      <c r="AD31" s="5">
        <v>0</v>
      </c>
      <c r="AE31" s="5">
        <v>0</v>
      </c>
      <c r="AF31" s="5">
        <f t="shared" si="3"/>
        <v>1</v>
      </c>
      <c r="AG31" s="5">
        <v>29</v>
      </c>
      <c r="AH31" s="14">
        <v>597</v>
      </c>
      <c r="AI31" s="8">
        <f>2074194+245864</f>
        <v>2320058</v>
      </c>
      <c r="AJ31" s="8">
        <f>AI31+60830+547868</f>
        <v>2928756</v>
      </c>
      <c r="AK31" s="8">
        <v>7090060</v>
      </c>
      <c r="AL31" s="8">
        <v>56613</v>
      </c>
      <c r="AM31" s="8">
        <v>7420026</v>
      </c>
      <c r="AN31" s="9">
        <f t="shared" si="4"/>
        <v>0.95553034450283603</v>
      </c>
      <c r="AO31" s="10">
        <v>1</v>
      </c>
    </row>
    <row r="32" spans="1:41" ht="14.4" customHeight="1" x14ac:dyDescent="0.3">
      <c r="A32" s="33">
        <v>38</v>
      </c>
      <c r="B32" s="5">
        <v>2</v>
      </c>
      <c r="C32" s="11">
        <v>3</v>
      </c>
      <c r="D32" s="4">
        <v>14</v>
      </c>
      <c r="E32" s="4">
        <v>1</v>
      </c>
      <c r="F32" s="4">
        <v>0</v>
      </c>
      <c r="G32" s="4">
        <v>4</v>
      </c>
      <c r="H32" s="4">
        <v>9</v>
      </c>
      <c r="I32" s="4">
        <v>0</v>
      </c>
      <c r="J32" s="5">
        <v>0</v>
      </c>
      <c r="K32" s="5">
        <v>0</v>
      </c>
      <c r="L32" s="5">
        <v>0</v>
      </c>
      <c r="M32" s="5">
        <v>1</v>
      </c>
      <c r="N32" s="4">
        <v>2</v>
      </c>
      <c r="O32" s="4">
        <v>12</v>
      </c>
      <c r="P32" s="4">
        <v>0</v>
      </c>
      <c r="Q32" s="4">
        <v>0</v>
      </c>
      <c r="R32" s="4">
        <v>0</v>
      </c>
      <c r="S32" s="4">
        <v>1</v>
      </c>
      <c r="T32" s="4">
        <v>0</v>
      </c>
      <c r="U32" s="5">
        <f t="shared" si="0"/>
        <v>1</v>
      </c>
      <c r="V32" s="4">
        <v>4</v>
      </c>
      <c r="W32" s="4">
        <v>7</v>
      </c>
      <c r="X32" s="4">
        <v>1</v>
      </c>
      <c r="Y32" s="5">
        <f t="shared" si="1"/>
        <v>12</v>
      </c>
      <c r="Z32" s="5">
        <f t="shared" si="2"/>
        <v>13</v>
      </c>
      <c r="AA32" s="4">
        <v>0</v>
      </c>
      <c r="AB32" s="4">
        <v>0</v>
      </c>
      <c r="AC32" s="4">
        <v>0</v>
      </c>
      <c r="AD32" s="4">
        <v>1</v>
      </c>
      <c r="AE32" s="4">
        <v>0</v>
      </c>
      <c r="AF32" s="5">
        <f t="shared" si="3"/>
        <v>1</v>
      </c>
      <c r="AG32" s="4">
        <v>32</v>
      </c>
      <c r="AH32" s="16">
        <v>572</v>
      </c>
      <c r="AI32" s="13">
        <f>157402+1998158+2143858</f>
        <v>4299418</v>
      </c>
      <c r="AJ32" s="13">
        <f>AI32+58438+310509</f>
        <v>4668365</v>
      </c>
      <c r="AK32" s="13">
        <v>5152448</v>
      </c>
      <c r="AL32" s="13">
        <v>246281</v>
      </c>
      <c r="AM32" s="13">
        <v>18072656</v>
      </c>
      <c r="AN32" s="9">
        <f t="shared" si="4"/>
        <v>0.28509633559118264</v>
      </c>
      <c r="AO32" s="10">
        <v>2</v>
      </c>
    </row>
    <row r="33" spans="1:41" ht="14.4" customHeight="1" x14ac:dyDescent="0.3">
      <c r="A33" s="33">
        <v>39</v>
      </c>
      <c r="B33" s="5">
        <v>1</v>
      </c>
      <c r="C33" s="6">
        <v>2</v>
      </c>
      <c r="D33" s="4">
        <v>16</v>
      </c>
      <c r="E33" s="4">
        <v>3</v>
      </c>
      <c r="F33" s="4">
        <v>2</v>
      </c>
      <c r="G33" s="4">
        <v>2</v>
      </c>
      <c r="H33" s="4">
        <v>2</v>
      </c>
      <c r="I33" s="4">
        <v>7</v>
      </c>
      <c r="J33" s="5">
        <v>0</v>
      </c>
      <c r="K33" s="5">
        <v>0</v>
      </c>
      <c r="L33" s="5">
        <v>0</v>
      </c>
      <c r="M33" s="5">
        <v>1</v>
      </c>
      <c r="N33" s="4">
        <v>2</v>
      </c>
      <c r="O33" s="4">
        <v>14</v>
      </c>
      <c r="P33" s="4">
        <v>1</v>
      </c>
      <c r="Q33" s="4">
        <v>0</v>
      </c>
      <c r="R33" s="4">
        <v>0</v>
      </c>
      <c r="S33" s="4">
        <v>0</v>
      </c>
      <c r="T33" s="4">
        <v>0</v>
      </c>
      <c r="U33" s="5">
        <f t="shared" si="0"/>
        <v>1</v>
      </c>
      <c r="V33" s="4">
        <v>2</v>
      </c>
      <c r="W33" s="4">
        <v>7</v>
      </c>
      <c r="X33" s="4">
        <v>5</v>
      </c>
      <c r="Y33" s="5">
        <f t="shared" si="1"/>
        <v>14</v>
      </c>
      <c r="Z33" s="5">
        <f t="shared" si="2"/>
        <v>15</v>
      </c>
      <c r="AA33" s="4">
        <v>0</v>
      </c>
      <c r="AB33" s="4">
        <v>0</v>
      </c>
      <c r="AC33" s="4">
        <v>1</v>
      </c>
      <c r="AD33" s="4">
        <v>0</v>
      </c>
      <c r="AE33" s="4">
        <v>0</v>
      </c>
      <c r="AF33" s="5">
        <f t="shared" si="3"/>
        <v>1</v>
      </c>
      <c r="AG33" s="4">
        <v>28</v>
      </c>
      <c r="AH33" s="16">
        <v>14409</v>
      </c>
      <c r="AI33" s="13">
        <f>27400000+109186000</f>
        <v>136586000</v>
      </c>
      <c r="AJ33" s="13">
        <f>AI33+26037000+54071000</f>
        <v>216694000</v>
      </c>
      <c r="AK33" s="13">
        <v>610247000</v>
      </c>
      <c r="AL33" s="13">
        <v>55787000</v>
      </c>
      <c r="AM33" s="13">
        <v>1823984000</v>
      </c>
      <c r="AN33" s="9">
        <f t="shared" si="4"/>
        <v>0.33456817603663191</v>
      </c>
      <c r="AO33" s="10">
        <v>1</v>
      </c>
    </row>
    <row r="34" spans="1:41" ht="14.4" customHeight="1" x14ac:dyDescent="0.3">
      <c r="A34" s="33">
        <v>40</v>
      </c>
      <c r="B34" s="5">
        <v>2</v>
      </c>
      <c r="C34" s="11">
        <v>2</v>
      </c>
      <c r="D34" s="4">
        <v>9</v>
      </c>
      <c r="E34" s="4">
        <v>4</v>
      </c>
      <c r="F34" s="4">
        <v>1</v>
      </c>
      <c r="G34" s="4">
        <v>2</v>
      </c>
      <c r="H34" s="4">
        <v>1</v>
      </c>
      <c r="I34" s="4">
        <v>1</v>
      </c>
      <c r="J34" s="5">
        <v>1</v>
      </c>
      <c r="K34" s="5">
        <v>0</v>
      </c>
      <c r="L34" s="5">
        <v>0</v>
      </c>
      <c r="M34" s="5">
        <v>0</v>
      </c>
      <c r="N34" s="4">
        <v>2</v>
      </c>
      <c r="O34" s="4">
        <v>7</v>
      </c>
      <c r="P34" s="4">
        <v>1</v>
      </c>
      <c r="Q34" s="4">
        <v>0</v>
      </c>
      <c r="R34" s="4">
        <v>0</v>
      </c>
      <c r="S34" s="4">
        <v>0</v>
      </c>
      <c r="T34" s="4">
        <v>0</v>
      </c>
      <c r="U34" s="5">
        <f t="shared" si="0"/>
        <v>1</v>
      </c>
      <c r="V34" s="4">
        <v>0</v>
      </c>
      <c r="W34" s="4">
        <v>6</v>
      </c>
      <c r="X34" s="4">
        <v>1</v>
      </c>
      <c r="Y34" s="5">
        <f t="shared" si="1"/>
        <v>7</v>
      </c>
      <c r="Z34" s="5">
        <f t="shared" si="2"/>
        <v>8</v>
      </c>
      <c r="AA34" s="4">
        <v>0</v>
      </c>
      <c r="AB34" s="4">
        <v>0</v>
      </c>
      <c r="AC34" s="4">
        <v>0</v>
      </c>
      <c r="AD34" s="4">
        <v>0</v>
      </c>
      <c r="AE34" s="4">
        <v>1</v>
      </c>
      <c r="AF34" s="5">
        <f t="shared" si="3"/>
        <v>1</v>
      </c>
      <c r="AG34" s="4">
        <v>15</v>
      </c>
      <c r="AH34" s="16">
        <v>1592</v>
      </c>
      <c r="AI34" s="13">
        <f>810067+5970768</f>
        <v>6780835</v>
      </c>
      <c r="AJ34" s="13">
        <f>AI34+270868+10726425</f>
        <v>17778128</v>
      </c>
      <c r="AK34" s="13">
        <v>158104577</v>
      </c>
      <c r="AL34" s="13">
        <v>23663403</v>
      </c>
      <c r="AM34" s="13">
        <v>198129122</v>
      </c>
      <c r="AN34" s="9">
        <f t="shared" si="4"/>
        <v>0.79798757196329773</v>
      </c>
      <c r="AO34" s="10">
        <v>1</v>
      </c>
    </row>
    <row r="35" spans="1:41" ht="14.4" customHeight="1" x14ac:dyDescent="0.3">
      <c r="A35" s="33">
        <v>43</v>
      </c>
      <c r="B35" s="5">
        <v>2</v>
      </c>
      <c r="C35" s="6">
        <v>3</v>
      </c>
      <c r="D35" s="4">
        <v>5</v>
      </c>
      <c r="E35" s="4">
        <v>0</v>
      </c>
      <c r="F35" s="4">
        <v>1</v>
      </c>
      <c r="G35" s="4">
        <v>3</v>
      </c>
      <c r="H35" s="4">
        <v>1</v>
      </c>
      <c r="I35" s="4">
        <v>0</v>
      </c>
      <c r="J35" s="5">
        <v>0</v>
      </c>
      <c r="K35" s="5">
        <v>0</v>
      </c>
      <c r="L35" s="5">
        <v>1</v>
      </c>
      <c r="M35" s="5">
        <v>0</v>
      </c>
      <c r="N35" s="4">
        <v>1</v>
      </c>
      <c r="O35" s="4">
        <v>4</v>
      </c>
      <c r="P35" s="4">
        <v>0</v>
      </c>
      <c r="Q35" s="4">
        <v>0</v>
      </c>
      <c r="R35" s="4">
        <v>0</v>
      </c>
      <c r="S35" s="4">
        <v>1</v>
      </c>
      <c r="T35" s="4">
        <v>0</v>
      </c>
      <c r="U35" s="5">
        <f t="shared" si="0"/>
        <v>1</v>
      </c>
      <c r="V35" s="4">
        <v>0</v>
      </c>
      <c r="W35" s="4">
        <v>3</v>
      </c>
      <c r="X35" s="4">
        <v>0</v>
      </c>
      <c r="Y35" s="5">
        <f t="shared" si="1"/>
        <v>3</v>
      </c>
      <c r="Z35" s="5">
        <f t="shared" si="2"/>
        <v>4</v>
      </c>
      <c r="AA35" s="4">
        <v>0</v>
      </c>
      <c r="AB35" s="4">
        <v>0</v>
      </c>
      <c r="AC35" s="4">
        <v>1</v>
      </c>
      <c r="AD35" s="4">
        <v>0</v>
      </c>
      <c r="AE35" s="4">
        <v>0</v>
      </c>
      <c r="AF35" s="5">
        <f t="shared" si="3"/>
        <v>1</v>
      </c>
      <c r="AG35" s="4">
        <v>17</v>
      </c>
      <c r="AH35" s="16">
        <v>220</v>
      </c>
      <c r="AI35" s="13">
        <f>73294+827641+1064347</f>
        <v>1965282</v>
      </c>
      <c r="AJ35" s="13">
        <f>AI35+16034+144570</f>
        <v>2125886</v>
      </c>
      <c r="AK35" s="13">
        <v>25193379</v>
      </c>
      <c r="AL35" s="13">
        <v>1053525</v>
      </c>
      <c r="AM35" s="13">
        <v>6883345</v>
      </c>
      <c r="AN35" s="9">
        <f t="shared" si="4"/>
        <v>3.6600488570600485</v>
      </c>
      <c r="AO35" s="10">
        <v>2</v>
      </c>
    </row>
    <row r="36" spans="1:41" ht="14.4" customHeight="1" x14ac:dyDescent="0.3">
      <c r="A36" s="33">
        <v>44</v>
      </c>
      <c r="B36" s="5">
        <v>2</v>
      </c>
      <c r="C36" s="11">
        <v>3</v>
      </c>
      <c r="D36" s="4">
        <v>13</v>
      </c>
      <c r="E36" s="4">
        <v>1</v>
      </c>
      <c r="F36" s="4">
        <v>0</v>
      </c>
      <c r="G36" s="4">
        <v>1</v>
      </c>
      <c r="H36" s="4">
        <v>2</v>
      </c>
      <c r="I36" s="4">
        <v>9</v>
      </c>
      <c r="J36" s="5">
        <v>0</v>
      </c>
      <c r="K36" s="5">
        <v>0</v>
      </c>
      <c r="L36" s="5">
        <v>0</v>
      </c>
      <c r="M36" s="5">
        <v>1</v>
      </c>
      <c r="N36" s="4">
        <v>3</v>
      </c>
      <c r="O36" s="4">
        <v>10</v>
      </c>
      <c r="P36" s="4">
        <v>0</v>
      </c>
      <c r="Q36" s="4">
        <v>0</v>
      </c>
      <c r="R36" s="4">
        <v>0</v>
      </c>
      <c r="S36" s="4">
        <v>1</v>
      </c>
      <c r="T36" s="4">
        <v>0</v>
      </c>
      <c r="U36" s="5">
        <f t="shared" si="0"/>
        <v>1</v>
      </c>
      <c r="V36" s="4">
        <v>1</v>
      </c>
      <c r="W36" s="4">
        <v>10</v>
      </c>
      <c r="X36" s="4">
        <v>0</v>
      </c>
      <c r="Y36" s="5">
        <f t="shared" si="1"/>
        <v>11</v>
      </c>
      <c r="Z36" s="5">
        <f t="shared" si="2"/>
        <v>12</v>
      </c>
      <c r="AA36" s="4">
        <v>0</v>
      </c>
      <c r="AB36" s="4">
        <v>0</v>
      </c>
      <c r="AC36" s="4">
        <v>1</v>
      </c>
      <c r="AD36" s="4">
        <v>0</v>
      </c>
      <c r="AE36" s="4">
        <v>0</v>
      </c>
      <c r="AF36" s="5">
        <f t="shared" si="3"/>
        <v>1</v>
      </c>
      <c r="AG36" s="4">
        <v>35</v>
      </c>
      <c r="AH36" s="16">
        <v>14878</v>
      </c>
      <c r="AI36" s="13">
        <f>40350+490311+108504+474566</f>
        <v>1113731</v>
      </c>
      <c r="AJ36" s="13">
        <f>AI36+109915+23642+134865</f>
        <v>1382153</v>
      </c>
      <c r="AK36" s="13">
        <v>1411998</v>
      </c>
      <c r="AL36" s="13">
        <v>2559766</v>
      </c>
      <c r="AM36" s="13">
        <v>23641184</v>
      </c>
      <c r="AN36" s="9">
        <f t="shared" si="4"/>
        <v>5.9726196454458459E-2</v>
      </c>
      <c r="AO36" s="10">
        <v>1</v>
      </c>
    </row>
    <row r="37" spans="1:41" ht="14.4" customHeight="1" x14ac:dyDescent="0.3">
      <c r="A37" s="34">
        <v>46</v>
      </c>
      <c r="B37" s="5">
        <v>2</v>
      </c>
      <c r="C37" s="11">
        <v>1</v>
      </c>
      <c r="D37" s="5">
        <v>12</v>
      </c>
      <c r="E37" s="4">
        <v>3</v>
      </c>
      <c r="F37" s="4">
        <v>2</v>
      </c>
      <c r="G37" s="4">
        <v>1</v>
      </c>
      <c r="H37" s="4">
        <v>6</v>
      </c>
      <c r="I37" s="4">
        <v>0</v>
      </c>
      <c r="J37" s="5">
        <v>0</v>
      </c>
      <c r="K37" s="5">
        <v>0</v>
      </c>
      <c r="L37" s="5">
        <v>0</v>
      </c>
      <c r="M37" s="5">
        <v>1</v>
      </c>
      <c r="N37" s="5">
        <v>2</v>
      </c>
      <c r="O37" s="5">
        <v>10</v>
      </c>
      <c r="P37" s="5">
        <v>1</v>
      </c>
      <c r="Q37" s="5">
        <v>0</v>
      </c>
      <c r="R37" s="5">
        <v>0</v>
      </c>
      <c r="S37" s="5">
        <v>0</v>
      </c>
      <c r="T37" s="5">
        <v>0</v>
      </c>
      <c r="U37" s="5">
        <f t="shared" si="0"/>
        <v>1</v>
      </c>
      <c r="V37" s="5">
        <v>0</v>
      </c>
      <c r="W37" s="5">
        <v>10</v>
      </c>
      <c r="X37" s="5">
        <v>0</v>
      </c>
      <c r="Y37" s="5">
        <f t="shared" si="1"/>
        <v>10</v>
      </c>
      <c r="Z37" s="5">
        <f t="shared" si="2"/>
        <v>11</v>
      </c>
      <c r="AA37" s="5">
        <v>0</v>
      </c>
      <c r="AB37" s="5">
        <v>1</v>
      </c>
      <c r="AC37" s="5">
        <v>0</v>
      </c>
      <c r="AD37" s="5">
        <v>0</v>
      </c>
      <c r="AE37" s="5">
        <v>0</v>
      </c>
      <c r="AF37" s="5">
        <f t="shared" si="3"/>
        <v>1</v>
      </c>
      <c r="AG37" s="5">
        <v>40</v>
      </c>
      <c r="AH37" s="14">
        <v>100</v>
      </c>
      <c r="AI37" s="8">
        <v>738903</v>
      </c>
      <c r="AJ37" s="8">
        <f>AI37+0</f>
        <v>738903</v>
      </c>
      <c r="AK37" s="8">
        <v>70</v>
      </c>
      <c r="AL37" s="8">
        <v>390</v>
      </c>
      <c r="AM37" s="8">
        <v>4794390</v>
      </c>
      <c r="AN37" s="9">
        <f t="shared" si="4"/>
        <v>1.460039754796752E-5</v>
      </c>
      <c r="AO37" s="10">
        <v>1</v>
      </c>
    </row>
    <row r="38" spans="1:41" ht="14.4" customHeight="1" x14ac:dyDescent="0.3">
      <c r="A38" s="34">
        <v>47</v>
      </c>
      <c r="B38" s="5">
        <v>2</v>
      </c>
      <c r="C38" s="6">
        <v>1</v>
      </c>
      <c r="D38" s="5">
        <v>9</v>
      </c>
      <c r="E38" s="4">
        <v>2</v>
      </c>
      <c r="F38" s="4">
        <v>1</v>
      </c>
      <c r="G38" s="4">
        <v>6</v>
      </c>
      <c r="H38" s="4">
        <v>0</v>
      </c>
      <c r="I38" s="4">
        <v>0</v>
      </c>
      <c r="J38" s="5">
        <v>0</v>
      </c>
      <c r="K38" s="5">
        <v>0</v>
      </c>
      <c r="L38" s="5">
        <v>1</v>
      </c>
      <c r="M38" s="5">
        <v>0</v>
      </c>
      <c r="N38" s="5">
        <v>4</v>
      </c>
      <c r="O38" s="5">
        <v>5</v>
      </c>
      <c r="P38" s="5">
        <v>1</v>
      </c>
      <c r="Q38" s="5">
        <v>0</v>
      </c>
      <c r="R38" s="5">
        <v>0</v>
      </c>
      <c r="S38" s="5">
        <v>0</v>
      </c>
      <c r="T38" s="5">
        <v>0</v>
      </c>
      <c r="U38" s="5">
        <f t="shared" si="0"/>
        <v>1</v>
      </c>
      <c r="V38" s="5">
        <v>2</v>
      </c>
      <c r="W38" s="5">
        <v>4</v>
      </c>
      <c r="X38" s="5">
        <v>1</v>
      </c>
      <c r="Y38" s="5">
        <f t="shared" si="1"/>
        <v>7</v>
      </c>
      <c r="Z38" s="5">
        <f t="shared" si="2"/>
        <v>8</v>
      </c>
      <c r="AA38" s="5">
        <v>1</v>
      </c>
      <c r="AB38" s="5">
        <v>0</v>
      </c>
      <c r="AC38" s="5">
        <v>0</v>
      </c>
      <c r="AD38" s="5">
        <v>0</v>
      </c>
      <c r="AE38" s="5">
        <v>0</v>
      </c>
      <c r="AF38" s="5">
        <f t="shared" si="3"/>
        <v>1</v>
      </c>
      <c r="AG38" s="5">
        <v>31</v>
      </c>
      <c r="AH38" s="14">
        <v>75</v>
      </c>
      <c r="AI38" s="8">
        <f>146983+3119995</f>
        <v>3266978</v>
      </c>
      <c r="AJ38" s="8">
        <f>AI38+1685849+306306</f>
        <v>5259133</v>
      </c>
      <c r="AK38" s="8">
        <v>229274785</v>
      </c>
      <c r="AL38" s="8">
        <v>122651</v>
      </c>
      <c r="AM38" s="8">
        <v>28310175</v>
      </c>
      <c r="AN38" s="9">
        <f t="shared" si="4"/>
        <v>8.0986707076166073</v>
      </c>
      <c r="AO38" s="10">
        <v>2</v>
      </c>
    </row>
    <row r="39" spans="1:41" ht="14.4" customHeight="1" x14ac:dyDescent="0.3">
      <c r="A39" s="34">
        <v>49</v>
      </c>
      <c r="B39" s="5">
        <v>1</v>
      </c>
      <c r="C39" s="6">
        <v>3</v>
      </c>
      <c r="D39" s="5">
        <v>11</v>
      </c>
      <c r="E39" s="4">
        <v>1</v>
      </c>
      <c r="F39" s="4">
        <v>2</v>
      </c>
      <c r="G39" s="4">
        <v>8</v>
      </c>
      <c r="H39" s="4">
        <v>0</v>
      </c>
      <c r="I39" s="4">
        <v>0</v>
      </c>
      <c r="J39" s="5">
        <v>0</v>
      </c>
      <c r="K39" s="5">
        <v>0</v>
      </c>
      <c r="L39" s="5">
        <v>1</v>
      </c>
      <c r="M39" s="5">
        <v>0</v>
      </c>
      <c r="N39" s="5">
        <v>3</v>
      </c>
      <c r="O39" s="5">
        <v>8</v>
      </c>
      <c r="P39" s="5">
        <v>0</v>
      </c>
      <c r="Q39" s="5">
        <v>0</v>
      </c>
      <c r="R39" s="5">
        <v>1</v>
      </c>
      <c r="S39" s="5">
        <v>0</v>
      </c>
      <c r="T39" s="5">
        <v>0</v>
      </c>
      <c r="U39" s="5">
        <f t="shared" si="0"/>
        <v>1</v>
      </c>
      <c r="V39" s="5">
        <v>1</v>
      </c>
      <c r="W39" s="5">
        <v>6</v>
      </c>
      <c r="X39" s="5">
        <v>2</v>
      </c>
      <c r="Y39" s="5">
        <f t="shared" si="1"/>
        <v>9</v>
      </c>
      <c r="Z39" s="5">
        <f t="shared" si="2"/>
        <v>10</v>
      </c>
      <c r="AA39" s="5">
        <v>0</v>
      </c>
      <c r="AB39" s="5">
        <v>1</v>
      </c>
      <c r="AC39" s="5">
        <v>0</v>
      </c>
      <c r="AD39" s="5">
        <v>0</v>
      </c>
      <c r="AE39" s="5">
        <v>0</v>
      </c>
      <c r="AF39" s="5">
        <f t="shared" si="3"/>
        <v>1</v>
      </c>
      <c r="AG39" s="5">
        <v>8</v>
      </c>
      <c r="AH39" s="14">
        <v>9014</v>
      </c>
      <c r="AI39" s="8">
        <f>1201000+319000+2988000</f>
        <v>4508000</v>
      </c>
      <c r="AJ39" s="8">
        <f>AI39+12000</f>
        <v>4520000</v>
      </c>
      <c r="AK39" s="8">
        <v>2159000</v>
      </c>
      <c r="AL39" s="8">
        <v>5706000</v>
      </c>
      <c r="AM39" s="8">
        <v>276176000</v>
      </c>
      <c r="AN39" s="9">
        <f t="shared" si="4"/>
        <v>7.8174787092288971E-3</v>
      </c>
      <c r="AO39" s="10">
        <v>1</v>
      </c>
    </row>
    <row r="40" spans="1:41" ht="14.4" customHeight="1" x14ac:dyDescent="0.3">
      <c r="A40" s="34">
        <v>50</v>
      </c>
      <c r="B40" s="5">
        <v>2</v>
      </c>
      <c r="C40" s="11">
        <v>3</v>
      </c>
      <c r="D40" s="5">
        <v>10</v>
      </c>
      <c r="E40" s="4">
        <v>0</v>
      </c>
      <c r="F40" s="4">
        <v>0</v>
      </c>
      <c r="G40" s="4">
        <v>7</v>
      </c>
      <c r="H40" s="4">
        <v>2</v>
      </c>
      <c r="I40" s="4">
        <v>1</v>
      </c>
      <c r="J40" s="5">
        <v>0</v>
      </c>
      <c r="K40" s="5">
        <v>0</v>
      </c>
      <c r="L40" s="5">
        <v>1</v>
      </c>
      <c r="M40" s="5">
        <v>0</v>
      </c>
      <c r="N40" s="5">
        <v>4</v>
      </c>
      <c r="O40" s="5">
        <v>6</v>
      </c>
      <c r="P40" s="5">
        <v>0</v>
      </c>
      <c r="Q40" s="5">
        <v>0</v>
      </c>
      <c r="R40" s="5">
        <v>1</v>
      </c>
      <c r="S40" s="5">
        <v>0</v>
      </c>
      <c r="T40" s="5">
        <v>0</v>
      </c>
      <c r="U40" s="5">
        <f t="shared" si="0"/>
        <v>1</v>
      </c>
      <c r="V40" s="5">
        <v>2</v>
      </c>
      <c r="W40" s="5">
        <v>3</v>
      </c>
      <c r="X40" s="5">
        <v>3</v>
      </c>
      <c r="Y40" s="5">
        <f t="shared" si="1"/>
        <v>8</v>
      </c>
      <c r="Z40" s="5">
        <f t="shared" si="2"/>
        <v>9</v>
      </c>
      <c r="AA40" s="5">
        <v>0</v>
      </c>
      <c r="AB40" s="5">
        <v>0</v>
      </c>
      <c r="AC40" s="5">
        <v>1</v>
      </c>
      <c r="AD40" s="5">
        <v>0</v>
      </c>
      <c r="AE40" s="5">
        <v>0</v>
      </c>
      <c r="AF40" s="5">
        <f t="shared" si="3"/>
        <v>1</v>
      </c>
      <c r="AG40" s="5">
        <v>8</v>
      </c>
      <c r="AH40" s="14">
        <v>3610</v>
      </c>
      <c r="AI40" s="8">
        <v>633488</v>
      </c>
      <c r="AJ40" s="8">
        <f>AI40+8159+4874</f>
        <v>646521</v>
      </c>
      <c r="AK40" s="8">
        <v>3501949</v>
      </c>
      <c r="AL40" s="8">
        <v>19482</v>
      </c>
      <c r="AM40" s="8">
        <v>134019820</v>
      </c>
      <c r="AN40" s="9">
        <f t="shared" si="4"/>
        <v>2.6130082848939806E-2</v>
      </c>
      <c r="AO40" s="10">
        <v>1</v>
      </c>
    </row>
    <row r="41" spans="1:41" ht="14.4" customHeight="1" x14ac:dyDescent="0.3">
      <c r="A41" s="34">
        <v>51</v>
      </c>
      <c r="B41" s="5">
        <v>2</v>
      </c>
      <c r="C41" s="6">
        <v>3</v>
      </c>
      <c r="D41" s="5">
        <v>15</v>
      </c>
      <c r="E41" s="4">
        <v>2</v>
      </c>
      <c r="F41" s="4">
        <v>8</v>
      </c>
      <c r="G41" s="4">
        <v>2</v>
      </c>
      <c r="H41" s="4">
        <v>3</v>
      </c>
      <c r="I41" s="4">
        <v>0</v>
      </c>
      <c r="J41" s="5">
        <v>0</v>
      </c>
      <c r="K41" s="5">
        <v>1</v>
      </c>
      <c r="L41" s="5">
        <v>0</v>
      </c>
      <c r="M41" s="5">
        <v>0</v>
      </c>
      <c r="N41" s="5">
        <v>3</v>
      </c>
      <c r="O41" s="5">
        <v>12</v>
      </c>
      <c r="P41" s="5">
        <v>0</v>
      </c>
      <c r="Q41" s="5">
        <v>1</v>
      </c>
      <c r="R41" s="5">
        <v>0</v>
      </c>
      <c r="S41" s="5">
        <v>0</v>
      </c>
      <c r="T41" s="5">
        <v>0</v>
      </c>
      <c r="U41" s="5">
        <f t="shared" si="0"/>
        <v>1</v>
      </c>
      <c r="V41" s="5">
        <v>6</v>
      </c>
      <c r="W41" s="5">
        <v>5</v>
      </c>
      <c r="X41" s="5">
        <v>2</v>
      </c>
      <c r="Y41" s="5">
        <f t="shared" si="1"/>
        <v>13</v>
      </c>
      <c r="Z41" s="5">
        <f t="shared" si="2"/>
        <v>14</v>
      </c>
      <c r="AA41" s="5">
        <v>0</v>
      </c>
      <c r="AB41" s="5">
        <v>1</v>
      </c>
      <c r="AC41" s="5">
        <v>0</v>
      </c>
      <c r="AD41" s="5">
        <v>0</v>
      </c>
      <c r="AE41" s="5">
        <v>0</v>
      </c>
      <c r="AF41" s="5">
        <f t="shared" si="3"/>
        <v>1</v>
      </c>
      <c r="AG41" s="5">
        <v>33</v>
      </c>
      <c r="AH41" s="14">
        <v>2933</v>
      </c>
      <c r="AI41" s="8">
        <f>24129000+5421000+52442000</f>
        <v>81992000</v>
      </c>
      <c r="AJ41" s="8">
        <f>AI41+1928000</f>
        <v>83920000</v>
      </c>
      <c r="AK41" s="8">
        <v>215514000</v>
      </c>
      <c r="AL41" s="8">
        <v>259915000</v>
      </c>
      <c r="AM41" s="8">
        <v>2114037000</v>
      </c>
      <c r="AN41" s="9">
        <f t="shared" si="4"/>
        <v>0.10194428952757213</v>
      </c>
      <c r="AO41" s="10">
        <v>1</v>
      </c>
    </row>
    <row r="42" spans="1:41" ht="14.4" customHeight="1" x14ac:dyDescent="0.3">
      <c r="A42" s="34">
        <v>52</v>
      </c>
      <c r="B42" s="5">
        <v>2</v>
      </c>
      <c r="C42" s="11">
        <v>3</v>
      </c>
      <c r="D42" s="5">
        <v>8</v>
      </c>
      <c r="E42" s="4">
        <v>1</v>
      </c>
      <c r="F42" s="4">
        <v>1</v>
      </c>
      <c r="G42" s="4">
        <v>5</v>
      </c>
      <c r="H42" s="4">
        <v>1</v>
      </c>
      <c r="I42" s="4">
        <v>0</v>
      </c>
      <c r="J42" s="5">
        <v>0</v>
      </c>
      <c r="K42" s="5">
        <v>0</v>
      </c>
      <c r="L42" s="5">
        <v>1</v>
      </c>
      <c r="M42" s="5">
        <v>0</v>
      </c>
      <c r="N42" s="5">
        <v>3</v>
      </c>
      <c r="O42" s="5">
        <v>5</v>
      </c>
      <c r="P42" s="5">
        <v>0</v>
      </c>
      <c r="Q42" s="5">
        <v>0</v>
      </c>
      <c r="R42" s="5">
        <v>1</v>
      </c>
      <c r="S42" s="5">
        <v>0</v>
      </c>
      <c r="T42" s="5">
        <v>0</v>
      </c>
      <c r="U42" s="5">
        <f t="shared" si="0"/>
        <v>1</v>
      </c>
      <c r="V42" s="5">
        <v>2</v>
      </c>
      <c r="W42" s="5">
        <v>4</v>
      </c>
      <c r="X42" s="5">
        <v>0</v>
      </c>
      <c r="Y42" s="5">
        <f t="shared" si="1"/>
        <v>6</v>
      </c>
      <c r="Z42" s="5">
        <f t="shared" si="2"/>
        <v>7</v>
      </c>
      <c r="AA42" s="5">
        <v>0</v>
      </c>
      <c r="AB42" s="5">
        <v>0</v>
      </c>
      <c r="AC42" s="5">
        <v>1</v>
      </c>
      <c r="AD42" s="5">
        <v>0</v>
      </c>
      <c r="AE42" s="5">
        <v>0</v>
      </c>
      <c r="AF42" s="5">
        <f t="shared" si="3"/>
        <v>1</v>
      </c>
      <c r="AG42" s="5">
        <v>25</v>
      </c>
      <c r="AH42" s="14">
        <v>397</v>
      </c>
      <c r="AI42" s="8">
        <f>2520319+1398476</f>
        <v>3918795</v>
      </c>
      <c r="AJ42" s="8">
        <f>AI42+1735098+168478</f>
        <v>5822371</v>
      </c>
      <c r="AK42" s="8">
        <v>14062015</v>
      </c>
      <c r="AL42" s="8">
        <v>242685</v>
      </c>
      <c r="AM42" s="8">
        <v>20364351</v>
      </c>
      <c r="AN42" s="9">
        <f t="shared" si="4"/>
        <v>0.69052114648780116</v>
      </c>
      <c r="AO42" s="10">
        <v>2</v>
      </c>
    </row>
    <row r="43" spans="1:41" ht="14.4" customHeight="1" x14ac:dyDescent="0.3">
      <c r="A43" s="34">
        <v>53</v>
      </c>
      <c r="B43" s="5">
        <v>2</v>
      </c>
      <c r="C43" s="6">
        <v>2</v>
      </c>
      <c r="D43" s="5">
        <v>14</v>
      </c>
      <c r="E43" s="4">
        <v>2</v>
      </c>
      <c r="F43" s="4">
        <v>0</v>
      </c>
      <c r="G43" s="4">
        <v>6</v>
      </c>
      <c r="H43" s="4">
        <v>2</v>
      </c>
      <c r="I43" s="4">
        <v>4</v>
      </c>
      <c r="J43" s="5">
        <v>0</v>
      </c>
      <c r="K43" s="5">
        <v>0</v>
      </c>
      <c r="L43" s="5">
        <v>1</v>
      </c>
      <c r="M43" s="5">
        <v>0</v>
      </c>
      <c r="N43" s="5">
        <v>1</v>
      </c>
      <c r="O43" s="5">
        <v>13</v>
      </c>
      <c r="P43" s="5">
        <v>0</v>
      </c>
      <c r="Q43" s="5">
        <v>0</v>
      </c>
      <c r="R43" s="5">
        <v>0</v>
      </c>
      <c r="S43" s="5">
        <v>1</v>
      </c>
      <c r="T43" s="5">
        <v>1</v>
      </c>
      <c r="U43" s="5">
        <f t="shared" si="0"/>
        <v>2</v>
      </c>
      <c r="V43" s="5">
        <v>0</v>
      </c>
      <c r="W43" s="5">
        <v>10</v>
      </c>
      <c r="X43" s="5">
        <v>0</v>
      </c>
      <c r="Y43" s="5">
        <f t="shared" si="1"/>
        <v>10</v>
      </c>
      <c r="Z43" s="5">
        <f t="shared" si="2"/>
        <v>12</v>
      </c>
      <c r="AA43" s="5">
        <v>0</v>
      </c>
      <c r="AB43" s="5">
        <v>0</v>
      </c>
      <c r="AC43" s="5">
        <v>1</v>
      </c>
      <c r="AD43" s="5">
        <v>0</v>
      </c>
      <c r="AE43" s="5">
        <v>0</v>
      </c>
      <c r="AF43" s="5">
        <f t="shared" si="3"/>
        <v>1</v>
      </c>
      <c r="AG43" s="5">
        <v>60</v>
      </c>
      <c r="AH43" s="14">
        <v>3566</v>
      </c>
      <c r="AI43" s="8">
        <f>6297386+12661382+244360</f>
        <v>19203128</v>
      </c>
      <c r="AJ43" s="8">
        <f>AI43+16025840+986742</f>
        <v>36215710</v>
      </c>
      <c r="AK43" s="8">
        <v>370205529</v>
      </c>
      <c r="AL43" s="8">
        <v>8459148</v>
      </c>
      <c r="AM43" s="8">
        <v>314058187</v>
      </c>
      <c r="AN43" s="9">
        <f t="shared" si="4"/>
        <v>1.1787800615431814</v>
      </c>
      <c r="AO43" s="10">
        <v>1</v>
      </c>
    </row>
    <row r="44" spans="1:41" ht="14.4" customHeight="1" x14ac:dyDescent="0.3">
      <c r="A44" s="34">
        <v>56</v>
      </c>
      <c r="B44" s="5">
        <v>2</v>
      </c>
      <c r="C44" s="6">
        <v>3</v>
      </c>
      <c r="D44" s="5">
        <v>8</v>
      </c>
      <c r="E44" s="4">
        <v>1</v>
      </c>
      <c r="F44" s="4">
        <v>1</v>
      </c>
      <c r="G44" s="4">
        <v>3</v>
      </c>
      <c r="H44" s="4">
        <v>0</v>
      </c>
      <c r="I44" s="4">
        <v>3</v>
      </c>
      <c r="J44" s="5">
        <v>0</v>
      </c>
      <c r="K44" s="5">
        <v>0</v>
      </c>
      <c r="L44" s="5">
        <v>1</v>
      </c>
      <c r="M44" s="5">
        <v>0</v>
      </c>
      <c r="N44" s="5">
        <v>2</v>
      </c>
      <c r="O44" s="5">
        <v>6</v>
      </c>
      <c r="P44" s="5">
        <v>0</v>
      </c>
      <c r="Q44" s="5">
        <v>1</v>
      </c>
      <c r="R44" s="5">
        <v>0</v>
      </c>
      <c r="S44" s="5">
        <v>0</v>
      </c>
      <c r="T44" s="5">
        <v>0</v>
      </c>
      <c r="U44" s="5">
        <f t="shared" si="0"/>
        <v>1</v>
      </c>
      <c r="V44" s="5">
        <v>1</v>
      </c>
      <c r="W44" s="5">
        <v>4</v>
      </c>
      <c r="X44" s="5">
        <v>0</v>
      </c>
      <c r="Y44" s="5">
        <f t="shared" si="1"/>
        <v>5</v>
      </c>
      <c r="Z44" s="5">
        <f t="shared" si="2"/>
        <v>6</v>
      </c>
      <c r="AA44" s="5">
        <v>0</v>
      </c>
      <c r="AB44" s="5">
        <v>0</v>
      </c>
      <c r="AC44" s="5">
        <v>1</v>
      </c>
      <c r="AD44" s="5">
        <v>0</v>
      </c>
      <c r="AE44" s="5">
        <v>1</v>
      </c>
      <c r="AF44" s="5">
        <f t="shared" si="3"/>
        <v>2</v>
      </c>
      <c r="AG44" s="5">
        <v>49</v>
      </c>
      <c r="AH44" s="14">
        <v>125</v>
      </c>
      <c r="AI44" s="8">
        <f>3328165+1924242</f>
        <v>5252407</v>
      </c>
      <c r="AJ44" s="8">
        <f>AI44+252227</f>
        <v>5504634</v>
      </c>
      <c r="AK44" s="8">
        <v>20760320</v>
      </c>
      <c r="AL44" s="8">
        <v>3710764</v>
      </c>
      <c r="AM44" s="8">
        <v>18684558</v>
      </c>
      <c r="AN44" s="9">
        <f t="shared" si="4"/>
        <v>1.11109505507168</v>
      </c>
      <c r="AO44" s="10">
        <v>1</v>
      </c>
    </row>
    <row r="45" spans="1:41" ht="14.4" customHeight="1" x14ac:dyDescent="0.3">
      <c r="A45" s="34">
        <v>57</v>
      </c>
      <c r="B45" s="5">
        <v>2</v>
      </c>
      <c r="C45" s="11">
        <v>3</v>
      </c>
      <c r="D45" s="5">
        <v>7</v>
      </c>
      <c r="E45" s="4">
        <v>1</v>
      </c>
      <c r="F45" s="4">
        <v>0</v>
      </c>
      <c r="G45" s="4">
        <v>2</v>
      </c>
      <c r="H45" s="4">
        <v>4</v>
      </c>
      <c r="I45" s="4">
        <v>0</v>
      </c>
      <c r="J45" s="5">
        <v>0</v>
      </c>
      <c r="K45" s="5">
        <v>0</v>
      </c>
      <c r="L45" s="5">
        <v>0</v>
      </c>
      <c r="M45" s="5">
        <v>1</v>
      </c>
      <c r="N45" s="5">
        <v>0</v>
      </c>
      <c r="O45" s="5">
        <v>7</v>
      </c>
      <c r="P45" s="5">
        <v>0</v>
      </c>
      <c r="Q45" s="5">
        <v>0</v>
      </c>
      <c r="R45" s="5">
        <v>0</v>
      </c>
      <c r="S45" s="5">
        <v>1</v>
      </c>
      <c r="T45" s="5">
        <v>0</v>
      </c>
      <c r="U45" s="5">
        <f t="shared" si="0"/>
        <v>1</v>
      </c>
      <c r="V45" s="5">
        <v>1</v>
      </c>
      <c r="W45" s="5">
        <v>4</v>
      </c>
      <c r="X45" s="5">
        <v>0</v>
      </c>
      <c r="Y45" s="5">
        <f t="shared" si="1"/>
        <v>5</v>
      </c>
      <c r="Z45" s="5">
        <f t="shared" si="2"/>
        <v>6</v>
      </c>
      <c r="AA45" s="5">
        <v>0</v>
      </c>
      <c r="AB45" s="5">
        <v>0</v>
      </c>
      <c r="AC45" s="5">
        <v>0</v>
      </c>
      <c r="AD45" s="5">
        <v>1</v>
      </c>
      <c r="AE45" s="5">
        <v>0</v>
      </c>
      <c r="AF45" s="5">
        <f t="shared" si="3"/>
        <v>1</v>
      </c>
      <c r="AG45" s="5">
        <v>14</v>
      </c>
      <c r="AH45" s="14">
        <v>98</v>
      </c>
      <c r="AI45" s="8">
        <v>1897628</v>
      </c>
      <c r="AJ45" s="8">
        <f>AI45+145049+7347+295681+37599</f>
        <v>2383304</v>
      </c>
      <c r="AK45" s="8">
        <v>2458400</v>
      </c>
      <c r="AL45" s="8">
        <v>125084</v>
      </c>
      <c r="AM45" s="8">
        <v>5356216</v>
      </c>
      <c r="AN45" s="9">
        <f t="shared" si="4"/>
        <v>0.45898074312163661</v>
      </c>
      <c r="AO45" s="10">
        <v>2</v>
      </c>
    </row>
    <row r="46" spans="1:41" ht="14.4" customHeight="1" x14ac:dyDescent="0.3">
      <c r="A46" s="34">
        <v>59</v>
      </c>
      <c r="B46" s="5">
        <v>2</v>
      </c>
      <c r="C46" s="11">
        <v>3</v>
      </c>
      <c r="D46" s="5">
        <v>8</v>
      </c>
      <c r="E46" s="4">
        <v>0</v>
      </c>
      <c r="F46" s="4">
        <v>3</v>
      </c>
      <c r="G46" s="4">
        <v>5</v>
      </c>
      <c r="H46" s="4">
        <v>0</v>
      </c>
      <c r="I46" s="4">
        <v>0</v>
      </c>
      <c r="J46" s="5">
        <v>0</v>
      </c>
      <c r="K46" s="5">
        <v>0</v>
      </c>
      <c r="L46" s="5">
        <v>1</v>
      </c>
      <c r="M46" s="5">
        <v>0</v>
      </c>
      <c r="N46" s="5">
        <v>2</v>
      </c>
      <c r="O46" s="5">
        <v>6</v>
      </c>
      <c r="P46" s="5">
        <v>0</v>
      </c>
      <c r="Q46" s="5">
        <v>1</v>
      </c>
      <c r="R46" s="5">
        <v>1</v>
      </c>
      <c r="S46" s="5">
        <v>0</v>
      </c>
      <c r="T46" s="5">
        <v>0</v>
      </c>
      <c r="U46" s="5">
        <f t="shared" si="0"/>
        <v>2</v>
      </c>
      <c r="V46" s="5">
        <v>0</v>
      </c>
      <c r="W46" s="5">
        <v>5</v>
      </c>
      <c r="X46" s="5">
        <v>0</v>
      </c>
      <c r="Y46" s="5">
        <f t="shared" si="1"/>
        <v>5</v>
      </c>
      <c r="Z46" s="5">
        <f t="shared" si="2"/>
        <v>7</v>
      </c>
      <c r="AA46" s="5">
        <v>0</v>
      </c>
      <c r="AB46" s="5">
        <v>0</v>
      </c>
      <c r="AC46" s="5">
        <v>1</v>
      </c>
      <c r="AD46" s="5">
        <v>0</v>
      </c>
      <c r="AE46" s="5">
        <v>0</v>
      </c>
      <c r="AF46" s="5">
        <f t="shared" si="3"/>
        <v>1</v>
      </c>
      <c r="AG46" s="5">
        <v>27</v>
      </c>
      <c r="AH46" s="14">
        <v>105</v>
      </c>
      <c r="AI46" s="8">
        <f>476322+678245+15846+189520</f>
        <v>1359933</v>
      </c>
      <c r="AJ46" s="8">
        <f>AI46+3462</f>
        <v>1363395</v>
      </c>
      <c r="AK46" s="8">
        <v>955718</v>
      </c>
      <c r="AL46" s="8">
        <v>100514</v>
      </c>
      <c r="AM46" s="8">
        <v>1940702</v>
      </c>
      <c r="AN46" s="9">
        <f t="shared" si="4"/>
        <v>0.49245994490653383</v>
      </c>
      <c r="AO46" s="10">
        <v>2</v>
      </c>
    </row>
    <row r="47" spans="1:41" ht="14.4" customHeight="1" x14ac:dyDescent="0.3">
      <c r="A47" s="33">
        <v>60</v>
      </c>
      <c r="B47" s="5">
        <v>2</v>
      </c>
      <c r="C47" s="6">
        <v>2</v>
      </c>
      <c r="D47" s="5">
        <v>10</v>
      </c>
      <c r="E47" s="4">
        <v>0</v>
      </c>
      <c r="F47" s="4">
        <v>0</v>
      </c>
      <c r="G47" s="4">
        <v>0</v>
      </c>
      <c r="H47" s="4">
        <v>0</v>
      </c>
      <c r="I47" s="4">
        <v>10</v>
      </c>
      <c r="J47" s="5">
        <v>0</v>
      </c>
      <c r="K47" s="5">
        <v>0</v>
      </c>
      <c r="L47" s="5">
        <v>0</v>
      </c>
      <c r="M47" s="5">
        <v>1</v>
      </c>
      <c r="N47" s="5">
        <v>2</v>
      </c>
      <c r="O47" s="5">
        <v>8</v>
      </c>
      <c r="P47" s="5">
        <v>0</v>
      </c>
      <c r="Q47" s="5">
        <v>0</v>
      </c>
      <c r="R47" s="5">
        <v>0</v>
      </c>
      <c r="S47" s="5">
        <v>0</v>
      </c>
      <c r="T47" s="5">
        <v>1</v>
      </c>
      <c r="U47" s="5">
        <f t="shared" si="0"/>
        <v>1</v>
      </c>
      <c r="V47" s="5">
        <v>1</v>
      </c>
      <c r="W47" s="5">
        <v>7</v>
      </c>
      <c r="X47" s="5">
        <v>0</v>
      </c>
      <c r="Y47" s="5">
        <f t="shared" si="1"/>
        <v>8</v>
      </c>
      <c r="Z47" s="5">
        <f t="shared" si="2"/>
        <v>9</v>
      </c>
      <c r="AA47" s="5">
        <v>0</v>
      </c>
      <c r="AB47" s="5">
        <v>0</v>
      </c>
      <c r="AC47" s="5">
        <v>0</v>
      </c>
      <c r="AD47" s="5">
        <v>0</v>
      </c>
      <c r="AE47" s="5">
        <v>1</v>
      </c>
      <c r="AF47" s="5">
        <f t="shared" si="3"/>
        <v>1</v>
      </c>
      <c r="AG47" s="5">
        <v>80</v>
      </c>
      <c r="AH47" s="14">
        <v>2455</v>
      </c>
      <c r="AI47" s="17">
        <f>507400+26100+29700+7800+3700</f>
        <v>574700</v>
      </c>
      <c r="AJ47" s="17">
        <f>AI47+70700</f>
        <v>645400</v>
      </c>
      <c r="AK47" s="17">
        <v>4595000</v>
      </c>
      <c r="AL47" s="17">
        <v>77300</v>
      </c>
      <c r="AM47" s="17">
        <v>5426700</v>
      </c>
      <c r="AN47" s="9">
        <f t="shared" si="4"/>
        <v>0.84673927064330068</v>
      </c>
      <c r="AO47" s="10">
        <v>1</v>
      </c>
    </row>
    <row r="48" spans="1:41" ht="14.4" customHeight="1" x14ac:dyDescent="0.3">
      <c r="A48" s="34">
        <v>61</v>
      </c>
      <c r="B48" s="5">
        <v>2</v>
      </c>
      <c r="C48" s="11">
        <v>3</v>
      </c>
      <c r="D48" s="5">
        <v>7</v>
      </c>
      <c r="E48" s="4">
        <v>2</v>
      </c>
      <c r="F48" s="4">
        <v>2</v>
      </c>
      <c r="G48" s="4">
        <v>2</v>
      </c>
      <c r="H48" s="4">
        <v>1</v>
      </c>
      <c r="I48" s="4">
        <v>0</v>
      </c>
      <c r="J48" s="5">
        <v>0</v>
      </c>
      <c r="K48" s="5">
        <v>0</v>
      </c>
      <c r="L48" s="5">
        <v>0</v>
      </c>
      <c r="M48" s="5">
        <v>1</v>
      </c>
      <c r="N48" s="5">
        <v>4</v>
      </c>
      <c r="O48" s="5">
        <v>3</v>
      </c>
      <c r="P48" s="5">
        <v>1</v>
      </c>
      <c r="Q48" s="5">
        <v>0</v>
      </c>
      <c r="R48" s="5">
        <v>0</v>
      </c>
      <c r="S48" s="5">
        <v>0</v>
      </c>
      <c r="T48" s="5">
        <v>0</v>
      </c>
      <c r="U48" s="5">
        <f t="shared" si="0"/>
        <v>1</v>
      </c>
      <c r="V48" s="5">
        <v>0</v>
      </c>
      <c r="W48" s="5">
        <v>0</v>
      </c>
      <c r="X48" s="5">
        <v>3</v>
      </c>
      <c r="Y48" s="5">
        <f t="shared" si="1"/>
        <v>3</v>
      </c>
      <c r="Z48" s="5">
        <f t="shared" si="2"/>
        <v>4</v>
      </c>
      <c r="AA48" s="5">
        <v>1</v>
      </c>
      <c r="AB48" s="5">
        <v>1</v>
      </c>
      <c r="AC48" s="5">
        <v>1</v>
      </c>
      <c r="AD48" s="5">
        <v>0</v>
      </c>
      <c r="AE48" s="5">
        <v>0</v>
      </c>
      <c r="AF48" s="5">
        <f t="shared" si="3"/>
        <v>3</v>
      </c>
      <c r="AG48" s="5">
        <v>0</v>
      </c>
      <c r="AH48" s="14">
        <v>3509</v>
      </c>
      <c r="AI48" s="8">
        <f>40169.24+2184.107+981.219+16782.609+544.063+13247.193+43381.173</f>
        <v>117289.60399999999</v>
      </c>
      <c r="AJ48" s="8">
        <f>AI48+16305.101</f>
        <v>133594.70499999999</v>
      </c>
      <c r="AK48" s="8">
        <v>180564.72</v>
      </c>
      <c r="AL48" s="8">
        <v>360881.34700000001</v>
      </c>
      <c r="AM48" s="8">
        <v>2839256.5269999998</v>
      </c>
      <c r="AN48" s="9">
        <f t="shared" si="4"/>
        <v>6.359577526120451E-2</v>
      </c>
      <c r="AO48" s="10">
        <v>1</v>
      </c>
    </row>
    <row r="49" spans="1:41" ht="14.4" customHeight="1" x14ac:dyDescent="0.3">
      <c r="A49" s="34">
        <v>62</v>
      </c>
      <c r="B49" s="5">
        <v>2</v>
      </c>
      <c r="C49" s="6">
        <v>3</v>
      </c>
      <c r="D49" s="5">
        <v>12</v>
      </c>
      <c r="E49" s="4">
        <v>2</v>
      </c>
      <c r="F49" s="4">
        <v>6</v>
      </c>
      <c r="G49" s="4">
        <v>3</v>
      </c>
      <c r="H49" s="4">
        <v>1</v>
      </c>
      <c r="I49" s="4">
        <v>0</v>
      </c>
      <c r="J49" s="5">
        <v>0</v>
      </c>
      <c r="K49" s="5">
        <v>1</v>
      </c>
      <c r="L49" s="5">
        <v>0</v>
      </c>
      <c r="M49" s="5">
        <v>0</v>
      </c>
      <c r="N49" s="5">
        <v>1</v>
      </c>
      <c r="O49" s="5">
        <v>11</v>
      </c>
      <c r="P49" s="5">
        <v>0</v>
      </c>
      <c r="Q49" s="5">
        <v>1</v>
      </c>
      <c r="R49" s="5">
        <v>0</v>
      </c>
      <c r="S49" s="5">
        <v>0</v>
      </c>
      <c r="T49" s="5">
        <v>0</v>
      </c>
      <c r="U49" s="5">
        <f t="shared" si="0"/>
        <v>1</v>
      </c>
      <c r="V49" s="5">
        <v>3</v>
      </c>
      <c r="W49" s="5">
        <v>7</v>
      </c>
      <c r="X49" s="5">
        <v>0</v>
      </c>
      <c r="Y49" s="5">
        <f t="shared" si="1"/>
        <v>10</v>
      </c>
      <c r="Z49" s="5">
        <f t="shared" si="2"/>
        <v>11</v>
      </c>
      <c r="AA49" s="5">
        <v>0</v>
      </c>
      <c r="AB49" s="5">
        <v>0</v>
      </c>
      <c r="AC49" s="5">
        <v>1</v>
      </c>
      <c r="AD49" s="5">
        <v>0</v>
      </c>
      <c r="AE49" s="5">
        <v>0</v>
      </c>
      <c r="AF49" s="5">
        <f t="shared" si="3"/>
        <v>1</v>
      </c>
      <c r="AG49" s="5">
        <v>62</v>
      </c>
      <c r="AH49" s="14">
        <v>80</v>
      </c>
      <c r="AI49" s="8">
        <f>868613+645000+273618+254989+284538</f>
        <v>2326758</v>
      </c>
      <c r="AJ49" s="8">
        <f>AI49+7756</f>
        <v>2334514</v>
      </c>
      <c r="AK49" s="8">
        <v>1176095</v>
      </c>
      <c r="AL49" s="8">
        <v>680541</v>
      </c>
      <c r="AM49" s="8">
        <v>3605444</v>
      </c>
      <c r="AN49" s="9">
        <f t="shared" si="4"/>
        <v>0.32619976901596587</v>
      </c>
      <c r="AO49" s="10">
        <v>2</v>
      </c>
    </row>
    <row r="50" spans="1:41" ht="14.4" customHeight="1" x14ac:dyDescent="0.3">
      <c r="A50" s="34">
        <v>63</v>
      </c>
      <c r="B50" s="5">
        <v>2</v>
      </c>
      <c r="C50" s="11">
        <v>2</v>
      </c>
      <c r="D50" s="5">
        <v>15</v>
      </c>
      <c r="E50" s="4">
        <v>2</v>
      </c>
      <c r="F50" s="4">
        <v>2</v>
      </c>
      <c r="G50" s="4">
        <v>2</v>
      </c>
      <c r="H50" s="4">
        <v>3</v>
      </c>
      <c r="I50" s="4">
        <v>6</v>
      </c>
      <c r="J50" s="5">
        <v>0</v>
      </c>
      <c r="K50" s="5">
        <v>0</v>
      </c>
      <c r="L50" s="5">
        <v>0</v>
      </c>
      <c r="M50" s="5">
        <v>1</v>
      </c>
      <c r="N50" s="5">
        <v>3</v>
      </c>
      <c r="O50" s="5">
        <v>12</v>
      </c>
      <c r="P50" s="5">
        <v>0</v>
      </c>
      <c r="Q50" s="5">
        <v>0</v>
      </c>
      <c r="R50" s="5">
        <v>1</v>
      </c>
      <c r="S50" s="5">
        <v>0</v>
      </c>
      <c r="T50" s="5">
        <v>1</v>
      </c>
      <c r="U50" s="5">
        <f t="shared" si="0"/>
        <v>2</v>
      </c>
      <c r="V50" s="5">
        <v>1</v>
      </c>
      <c r="W50" s="5">
        <v>5</v>
      </c>
      <c r="X50" s="5">
        <v>6</v>
      </c>
      <c r="Y50" s="5">
        <f t="shared" si="1"/>
        <v>12</v>
      </c>
      <c r="Z50" s="5">
        <f t="shared" si="2"/>
        <v>14</v>
      </c>
      <c r="AA50" s="5">
        <v>0</v>
      </c>
      <c r="AB50" s="5">
        <v>0</v>
      </c>
      <c r="AC50" s="5">
        <v>0</v>
      </c>
      <c r="AD50" s="5">
        <v>0</v>
      </c>
      <c r="AE50" s="5">
        <v>1</v>
      </c>
      <c r="AF50" s="5">
        <f t="shared" si="3"/>
        <v>1</v>
      </c>
      <c r="AG50" s="5">
        <v>70</v>
      </c>
      <c r="AH50" s="14">
        <v>780</v>
      </c>
      <c r="AI50" s="8">
        <f>21751127+335866+9857676</f>
        <v>31944669</v>
      </c>
      <c r="AJ50" s="8">
        <f>AI50+2613309+1619898</f>
        <v>36177876</v>
      </c>
      <c r="AK50" s="8">
        <v>131498373</v>
      </c>
      <c r="AL50" s="8">
        <v>-1788453</v>
      </c>
      <c r="AM50" s="8">
        <v>160792627</v>
      </c>
      <c r="AN50" s="9">
        <f t="shared" si="4"/>
        <v>0.81781344986670312</v>
      </c>
      <c r="AO50" s="10">
        <v>2</v>
      </c>
    </row>
    <row r="51" spans="1:41" ht="14.4" customHeight="1" x14ac:dyDescent="0.3">
      <c r="A51" s="34">
        <v>64</v>
      </c>
      <c r="B51" s="5">
        <v>2</v>
      </c>
      <c r="C51" s="6">
        <v>2</v>
      </c>
      <c r="D51" s="5">
        <v>11</v>
      </c>
      <c r="E51" s="4">
        <v>0</v>
      </c>
      <c r="F51" s="4">
        <v>1</v>
      </c>
      <c r="G51" s="4">
        <v>7</v>
      </c>
      <c r="H51" s="4">
        <v>0</v>
      </c>
      <c r="I51" s="4">
        <v>3</v>
      </c>
      <c r="J51" s="5">
        <v>0</v>
      </c>
      <c r="K51" s="5">
        <v>0</v>
      </c>
      <c r="L51" s="5">
        <v>1</v>
      </c>
      <c r="M51" s="5">
        <v>0</v>
      </c>
      <c r="N51" s="5">
        <v>2</v>
      </c>
      <c r="O51" s="5">
        <v>9</v>
      </c>
      <c r="P51" s="5">
        <v>0</v>
      </c>
      <c r="Q51" s="5">
        <v>0</v>
      </c>
      <c r="R51" s="5">
        <v>1</v>
      </c>
      <c r="S51" s="5">
        <v>0</v>
      </c>
      <c r="T51" s="5">
        <v>0</v>
      </c>
      <c r="U51" s="5">
        <f t="shared" si="0"/>
        <v>1</v>
      </c>
      <c r="V51" s="5">
        <v>2</v>
      </c>
      <c r="W51" s="5">
        <v>4</v>
      </c>
      <c r="X51" s="5">
        <v>3</v>
      </c>
      <c r="Y51" s="5">
        <f t="shared" si="1"/>
        <v>9</v>
      </c>
      <c r="Z51" s="5">
        <f t="shared" si="2"/>
        <v>10</v>
      </c>
      <c r="AA51" s="5">
        <v>0</v>
      </c>
      <c r="AB51" s="5">
        <v>0</v>
      </c>
      <c r="AC51" s="5">
        <v>1</v>
      </c>
      <c r="AD51" s="5">
        <v>0</v>
      </c>
      <c r="AE51" s="5">
        <v>0</v>
      </c>
      <c r="AF51" s="5">
        <f t="shared" si="3"/>
        <v>1</v>
      </c>
      <c r="AG51" s="5">
        <v>35</v>
      </c>
      <c r="AH51" s="14">
        <v>785</v>
      </c>
      <c r="AI51" s="8">
        <f>6017664+2326681</f>
        <v>8344345</v>
      </c>
      <c r="AJ51" s="8">
        <f>AI51+3308507+539423</f>
        <v>12192275</v>
      </c>
      <c r="AK51" s="8">
        <v>74409113</v>
      </c>
      <c r="AL51" s="8">
        <v>10666933</v>
      </c>
      <c r="AM51" s="8">
        <v>137505112</v>
      </c>
      <c r="AN51" s="9">
        <f t="shared" si="4"/>
        <v>0.54113706696228137</v>
      </c>
      <c r="AO51" s="10">
        <v>2</v>
      </c>
    </row>
    <row r="52" spans="1:41" ht="14.4" customHeight="1" x14ac:dyDescent="0.3">
      <c r="A52" s="34">
        <v>65</v>
      </c>
      <c r="B52" s="5">
        <v>2</v>
      </c>
      <c r="C52" s="11">
        <v>3</v>
      </c>
      <c r="D52" s="5">
        <v>8</v>
      </c>
      <c r="E52" s="4">
        <v>1</v>
      </c>
      <c r="F52" s="4">
        <v>0</v>
      </c>
      <c r="G52" s="4">
        <v>3</v>
      </c>
      <c r="H52" s="4">
        <v>4</v>
      </c>
      <c r="I52" s="4">
        <v>0</v>
      </c>
      <c r="J52" s="5">
        <v>0</v>
      </c>
      <c r="K52" s="5">
        <v>0</v>
      </c>
      <c r="L52" s="5">
        <v>0</v>
      </c>
      <c r="M52" s="5">
        <v>1</v>
      </c>
      <c r="N52" s="5">
        <v>1</v>
      </c>
      <c r="O52" s="5">
        <v>7</v>
      </c>
      <c r="P52" s="5">
        <v>0</v>
      </c>
      <c r="Q52" s="5">
        <v>0</v>
      </c>
      <c r="R52" s="5">
        <v>0</v>
      </c>
      <c r="S52" s="5">
        <v>1</v>
      </c>
      <c r="T52" s="5">
        <v>0</v>
      </c>
      <c r="U52" s="5">
        <f t="shared" si="0"/>
        <v>1</v>
      </c>
      <c r="V52" s="5">
        <v>0</v>
      </c>
      <c r="W52" s="5">
        <v>6</v>
      </c>
      <c r="X52" s="5">
        <v>0</v>
      </c>
      <c r="Y52" s="5">
        <f t="shared" si="1"/>
        <v>6</v>
      </c>
      <c r="Z52" s="5">
        <f t="shared" si="2"/>
        <v>7</v>
      </c>
      <c r="AA52" s="5">
        <v>0</v>
      </c>
      <c r="AB52" s="5">
        <v>0</v>
      </c>
      <c r="AC52" s="5">
        <v>0</v>
      </c>
      <c r="AD52" s="5">
        <v>1</v>
      </c>
      <c r="AE52" s="5">
        <v>0</v>
      </c>
      <c r="AF52" s="5">
        <f t="shared" si="3"/>
        <v>1</v>
      </c>
      <c r="AG52" s="5">
        <v>48</v>
      </c>
      <c r="AH52" s="14">
        <v>467</v>
      </c>
      <c r="AI52" s="8">
        <f>281870+994028</f>
        <v>1275898</v>
      </c>
      <c r="AJ52" s="8">
        <f>AI52+778020+138352</f>
        <v>2192270</v>
      </c>
      <c r="AK52" s="8">
        <v>7327284</v>
      </c>
      <c r="AL52" s="8">
        <v>3224817</v>
      </c>
      <c r="AM52" s="8">
        <v>25685465</v>
      </c>
      <c r="AN52" s="9">
        <f t="shared" si="4"/>
        <v>0.28526966515887486</v>
      </c>
      <c r="AO52" s="10">
        <v>1</v>
      </c>
    </row>
    <row r="53" spans="1:41" ht="14.4" customHeight="1" x14ac:dyDescent="0.3">
      <c r="A53" s="34">
        <v>66</v>
      </c>
      <c r="B53" s="5">
        <v>2</v>
      </c>
      <c r="C53" s="6">
        <v>1</v>
      </c>
      <c r="D53" s="5">
        <v>12</v>
      </c>
      <c r="E53" s="4">
        <v>0</v>
      </c>
      <c r="F53" s="4">
        <v>0</v>
      </c>
      <c r="G53" s="4">
        <v>0</v>
      </c>
      <c r="H53" s="4">
        <v>0</v>
      </c>
      <c r="I53" s="4">
        <v>12</v>
      </c>
      <c r="J53" s="5">
        <v>0</v>
      </c>
      <c r="K53" s="5">
        <v>0</v>
      </c>
      <c r="L53" s="5">
        <v>0</v>
      </c>
      <c r="M53" s="5">
        <v>1</v>
      </c>
      <c r="N53" s="5">
        <v>3</v>
      </c>
      <c r="O53" s="5">
        <v>9</v>
      </c>
      <c r="P53" s="5">
        <v>0</v>
      </c>
      <c r="Q53" s="5">
        <v>0</v>
      </c>
      <c r="R53" s="5">
        <v>0</v>
      </c>
      <c r="S53" s="5">
        <v>0</v>
      </c>
      <c r="T53" s="5">
        <v>4</v>
      </c>
      <c r="U53" s="5">
        <f t="shared" si="0"/>
        <v>4</v>
      </c>
      <c r="V53" s="5">
        <v>2</v>
      </c>
      <c r="W53" s="5">
        <v>6</v>
      </c>
      <c r="X53" s="5">
        <v>0</v>
      </c>
      <c r="Y53" s="5">
        <f t="shared" si="1"/>
        <v>8</v>
      </c>
      <c r="Z53" s="5">
        <f t="shared" si="2"/>
        <v>12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f t="shared" si="3"/>
        <v>0</v>
      </c>
      <c r="AG53" s="5">
        <v>61</v>
      </c>
      <c r="AH53" s="14">
        <v>79886</v>
      </c>
      <c r="AI53" s="17">
        <f>3457000+4675000</f>
        <v>8132000</v>
      </c>
      <c r="AJ53" s="17">
        <f>AI53+184000+68000+38000</f>
        <v>8422000</v>
      </c>
      <c r="AK53" s="17">
        <v>28228000</v>
      </c>
      <c r="AL53" s="17">
        <v>2700000</v>
      </c>
      <c r="AM53" s="17">
        <v>86612000</v>
      </c>
      <c r="AN53" s="9">
        <f t="shared" si="4"/>
        <v>0.32591326836927909</v>
      </c>
      <c r="AO53" s="10">
        <v>1</v>
      </c>
    </row>
    <row r="54" spans="1:41" ht="14.4" customHeight="1" x14ac:dyDescent="0.3">
      <c r="A54" s="33">
        <v>67</v>
      </c>
      <c r="B54" s="5">
        <v>2</v>
      </c>
      <c r="C54" s="11">
        <v>3</v>
      </c>
      <c r="D54" s="5">
        <v>8</v>
      </c>
      <c r="E54" s="4">
        <v>1</v>
      </c>
      <c r="F54" s="4">
        <v>1</v>
      </c>
      <c r="G54" s="4">
        <v>5</v>
      </c>
      <c r="H54" s="4">
        <v>0</v>
      </c>
      <c r="I54" s="4">
        <v>1</v>
      </c>
      <c r="J54" s="5">
        <v>0</v>
      </c>
      <c r="K54" s="5">
        <v>0</v>
      </c>
      <c r="L54" s="5">
        <v>1</v>
      </c>
      <c r="M54" s="5">
        <v>0</v>
      </c>
      <c r="N54" s="5">
        <v>1</v>
      </c>
      <c r="O54" s="5">
        <v>7</v>
      </c>
      <c r="P54" s="5">
        <v>0</v>
      </c>
      <c r="Q54" s="5">
        <v>0</v>
      </c>
      <c r="R54" s="5">
        <v>1</v>
      </c>
      <c r="S54" s="5">
        <v>0</v>
      </c>
      <c r="T54" s="5">
        <v>0</v>
      </c>
      <c r="U54" s="5">
        <f t="shared" si="0"/>
        <v>1</v>
      </c>
      <c r="V54" s="5">
        <v>0</v>
      </c>
      <c r="W54" s="5">
        <v>4</v>
      </c>
      <c r="X54" s="5">
        <v>2</v>
      </c>
      <c r="Y54" s="5">
        <f t="shared" si="1"/>
        <v>6</v>
      </c>
      <c r="Z54" s="5">
        <f t="shared" si="2"/>
        <v>7</v>
      </c>
      <c r="AA54" s="5">
        <v>0</v>
      </c>
      <c r="AB54" s="5">
        <v>0</v>
      </c>
      <c r="AC54" s="5">
        <v>1</v>
      </c>
      <c r="AD54" s="5">
        <v>0</v>
      </c>
      <c r="AE54" s="5">
        <v>0</v>
      </c>
      <c r="AF54" s="5">
        <f t="shared" si="3"/>
        <v>1</v>
      </c>
      <c r="AG54" s="5">
        <v>18</v>
      </c>
      <c r="AH54" s="14">
        <v>95</v>
      </c>
      <c r="AI54" s="8">
        <f>740092.782</f>
        <v>740092.78200000001</v>
      </c>
      <c r="AJ54" s="8">
        <f>AI54+44244.447</f>
        <v>784337.22900000005</v>
      </c>
      <c r="AK54" s="8">
        <v>1383270.2279999999</v>
      </c>
      <c r="AL54" s="8">
        <v>1085506.5079999999</v>
      </c>
      <c r="AM54" s="8">
        <v>10644545.285</v>
      </c>
      <c r="AN54" s="9">
        <f t="shared" si="4"/>
        <v>0.12995108677392411</v>
      </c>
      <c r="AO54" s="10">
        <v>1</v>
      </c>
    </row>
    <row r="55" spans="1:41" ht="14.4" customHeight="1" x14ac:dyDescent="0.3">
      <c r="A55" s="33">
        <v>68</v>
      </c>
      <c r="B55" s="5">
        <v>2</v>
      </c>
      <c r="C55" s="6">
        <v>2</v>
      </c>
      <c r="D55" s="5">
        <v>15</v>
      </c>
      <c r="E55" s="4">
        <v>0</v>
      </c>
      <c r="F55" s="4">
        <v>3</v>
      </c>
      <c r="G55" s="4">
        <v>5</v>
      </c>
      <c r="H55" s="4">
        <v>1</v>
      </c>
      <c r="I55" s="4">
        <v>6</v>
      </c>
      <c r="J55" s="5">
        <v>0</v>
      </c>
      <c r="K55" s="5">
        <v>0</v>
      </c>
      <c r="L55" s="5">
        <v>0</v>
      </c>
      <c r="M55" s="5">
        <v>1</v>
      </c>
      <c r="N55" s="5">
        <v>3</v>
      </c>
      <c r="O55" s="5">
        <v>12</v>
      </c>
      <c r="P55" s="5">
        <v>0</v>
      </c>
      <c r="Q55" s="5">
        <v>1</v>
      </c>
      <c r="R55" s="5">
        <v>0</v>
      </c>
      <c r="S55" s="5">
        <v>0</v>
      </c>
      <c r="T55" s="5">
        <v>0</v>
      </c>
      <c r="U55" s="5">
        <f t="shared" si="0"/>
        <v>1</v>
      </c>
      <c r="V55" s="5">
        <v>5</v>
      </c>
      <c r="W55" s="5">
        <v>7</v>
      </c>
      <c r="X55" s="5">
        <v>1</v>
      </c>
      <c r="Y55" s="5">
        <f t="shared" si="1"/>
        <v>13</v>
      </c>
      <c r="Z55" s="5">
        <f t="shared" si="2"/>
        <v>14</v>
      </c>
      <c r="AA55" s="5">
        <v>0</v>
      </c>
      <c r="AB55" s="5">
        <v>0</v>
      </c>
      <c r="AC55" s="5">
        <v>0</v>
      </c>
      <c r="AD55" s="5">
        <v>0</v>
      </c>
      <c r="AE55" s="5">
        <v>1</v>
      </c>
      <c r="AF55" s="5">
        <f t="shared" si="3"/>
        <v>1</v>
      </c>
      <c r="AG55" s="5">
        <v>49</v>
      </c>
      <c r="AH55" s="14">
        <v>2231</v>
      </c>
      <c r="AI55" s="8">
        <f>26170112+15967194+1666862+662650+1725613</f>
        <v>46192431</v>
      </c>
      <c r="AJ55" s="8">
        <f>AI55+15183733</f>
        <v>61376164</v>
      </c>
      <c r="AK55" s="8">
        <v>132351500</v>
      </c>
      <c r="AL55" s="8">
        <v>31806209</v>
      </c>
      <c r="AM55" s="8">
        <v>365146533</v>
      </c>
      <c r="AN55" s="9">
        <f t="shared" si="4"/>
        <v>0.36246133548801901</v>
      </c>
      <c r="AO55" s="10">
        <v>1</v>
      </c>
    </row>
    <row r="56" spans="1:41" ht="14.4" customHeight="1" x14ac:dyDescent="0.3">
      <c r="A56" s="33">
        <v>69</v>
      </c>
      <c r="B56" s="5">
        <v>2</v>
      </c>
      <c r="C56" s="11">
        <v>3</v>
      </c>
      <c r="D56" s="5">
        <v>5</v>
      </c>
      <c r="E56" s="4">
        <v>1</v>
      </c>
      <c r="F56" s="4">
        <v>1</v>
      </c>
      <c r="G56" s="4">
        <v>2</v>
      </c>
      <c r="H56" s="4">
        <v>1</v>
      </c>
      <c r="I56" s="4">
        <v>0</v>
      </c>
      <c r="J56" s="5">
        <v>0</v>
      </c>
      <c r="K56" s="5">
        <v>0</v>
      </c>
      <c r="L56" s="5">
        <v>1</v>
      </c>
      <c r="M56" s="5">
        <v>0</v>
      </c>
      <c r="N56" s="5">
        <v>2</v>
      </c>
      <c r="O56" s="5">
        <v>3</v>
      </c>
      <c r="P56" s="5">
        <v>1</v>
      </c>
      <c r="Q56" s="5">
        <v>0</v>
      </c>
      <c r="R56" s="5">
        <v>0</v>
      </c>
      <c r="S56" s="5">
        <v>0</v>
      </c>
      <c r="T56" s="5">
        <v>0</v>
      </c>
      <c r="U56" s="5">
        <f t="shared" si="0"/>
        <v>1</v>
      </c>
      <c r="V56" s="5">
        <v>0</v>
      </c>
      <c r="W56" s="5">
        <v>2</v>
      </c>
      <c r="X56" s="5">
        <v>0</v>
      </c>
      <c r="Y56" s="5">
        <f t="shared" si="1"/>
        <v>2</v>
      </c>
      <c r="Z56" s="5">
        <f t="shared" si="2"/>
        <v>3</v>
      </c>
      <c r="AA56" s="5">
        <v>0</v>
      </c>
      <c r="AB56" s="5">
        <v>1</v>
      </c>
      <c r="AC56" s="5">
        <v>1</v>
      </c>
      <c r="AD56" s="5">
        <v>0</v>
      </c>
      <c r="AE56" s="5">
        <v>0</v>
      </c>
      <c r="AF56" s="5">
        <f t="shared" si="3"/>
        <v>2</v>
      </c>
      <c r="AG56" s="5">
        <v>51</v>
      </c>
      <c r="AH56" s="14">
        <v>68</v>
      </c>
      <c r="AI56" s="8">
        <f>233214+685281+906</f>
        <v>919401</v>
      </c>
      <c r="AJ56" s="8">
        <f>AI56+8816</f>
        <v>928217</v>
      </c>
      <c r="AK56" s="8">
        <v>403098</v>
      </c>
      <c r="AL56" s="8">
        <v>136093</v>
      </c>
      <c r="AM56" s="8">
        <v>8636224</v>
      </c>
      <c r="AN56" s="9">
        <f t="shared" si="4"/>
        <v>4.6675259928413156E-2</v>
      </c>
      <c r="AO56" s="10">
        <v>1</v>
      </c>
    </row>
    <row r="57" spans="1:41" ht="14.4" customHeight="1" x14ac:dyDescent="0.3">
      <c r="A57" s="33">
        <v>70</v>
      </c>
      <c r="B57" s="5">
        <v>2</v>
      </c>
      <c r="C57" s="6">
        <v>3</v>
      </c>
      <c r="D57" s="5">
        <v>14</v>
      </c>
      <c r="E57" s="4">
        <v>12</v>
      </c>
      <c r="F57" s="4">
        <v>0</v>
      </c>
      <c r="G57" s="4">
        <v>2</v>
      </c>
      <c r="H57" s="4">
        <v>0</v>
      </c>
      <c r="I57" s="4">
        <v>0</v>
      </c>
      <c r="J57" s="5">
        <v>1</v>
      </c>
      <c r="K57" s="5">
        <v>0</v>
      </c>
      <c r="L57" s="5">
        <v>0</v>
      </c>
      <c r="M57" s="5">
        <v>0</v>
      </c>
      <c r="N57" s="5">
        <v>0</v>
      </c>
      <c r="O57" s="5">
        <v>14</v>
      </c>
      <c r="P57" s="5">
        <v>1</v>
      </c>
      <c r="Q57" s="5">
        <v>0</v>
      </c>
      <c r="R57" s="5">
        <v>0</v>
      </c>
      <c r="S57" s="5">
        <v>0</v>
      </c>
      <c r="T57" s="5">
        <v>0</v>
      </c>
      <c r="U57" s="5">
        <f t="shared" si="0"/>
        <v>1</v>
      </c>
      <c r="V57" s="5">
        <v>1</v>
      </c>
      <c r="W57" s="5">
        <v>8</v>
      </c>
      <c r="X57" s="5">
        <v>2</v>
      </c>
      <c r="Y57" s="5">
        <f t="shared" si="1"/>
        <v>11</v>
      </c>
      <c r="Z57" s="5">
        <f t="shared" si="2"/>
        <v>12</v>
      </c>
      <c r="AA57" s="5">
        <v>2</v>
      </c>
      <c r="AB57" s="5">
        <v>0</v>
      </c>
      <c r="AC57" s="5">
        <v>0</v>
      </c>
      <c r="AD57" s="5">
        <v>0</v>
      </c>
      <c r="AE57" s="5">
        <v>0</v>
      </c>
      <c r="AF57" s="5">
        <f t="shared" si="3"/>
        <v>2</v>
      </c>
      <c r="AG57" s="5">
        <v>17</v>
      </c>
      <c r="AH57" s="14">
        <v>1054</v>
      </c>
      <c r="AI57" s="8">
        <v>8550945</v>
      </c>
      <c r="AJ57" s="8">
        <f>AI57+332768</f>
        <v>8883713</v>
      </c>
      <c r="AK57" s="8">
        <v>10660963</v>
      </c>
      <c r="AL57" s="8">
        <v>53541389</v>
      </c>
      <c r="AM57" s="8">
        <v>167273000</v>
      </c>
      <c r="AN57" s="9">
        <f t="shared" si="4"/>
        <v>6.3733914020792357E-2</v>
      </c>
      <c r="AO57" s="10">
        <v>2</v>
      </c>
    </row>
    <row r="58" spans="1:41" ht="14.4" customHeight="1" x14ac:dyDescent="0.3">
      <c r="A58" s="33">
        <v>71</v>
      </c>
      <c r="B58" s="5">
        <v>2</v>
      </c>
      <c r="C58" s="11">
        <v>1</v>
      </c>
      <c r="D58" s="5">
        <v>8</v>
      </c>
      <c r="E58" s="4">
        <v>1</v>
      </c>
      <c r="F58" s="4">
        <v>1</v>
      </c>
      <c r="G58" s="4">
        <v>5</v>
      </c>
      <c r="H58" s="4">
        <v>1</v>
      </c>
      <c r="I58" s="4">
        <v>0</v>
      </c>
      <c r="J58" s="5">
        <v>0</v>
      </c>
      <c r="K58" s="5">
        <v>0</v>
      </c>
      <c r="L58" s="5">
        <v>1</v>
      </c>
      <c r="M58" s="5">
        <v>0</v>
      </c>
      <c r="N58" s="5">
        <v>1</v>
      </c>
      <c r="O58" s="5">
        <v>7</v>
      </c>
      <c r="P58" s="5">
        <v>0</v>
      </c>
      <c r="Q58" s="5">
        <v>0</v>
      </c>
      <c r="R58" s="5">
        <v>1</v>
      </c>
      <c r="S58" s="5">
        <v>0</v>
      </c>
      <c r="T58" s="5">
        <v>0</v>
      </c>
      <c r="U58" s="5">
        <f t="shared" si="0"/>
        <v>1</v>
      </c>
      <c r="V58" s="5">
        <v>2</v>
      </c>
      <c r="W58" s="5">
        <v>4</v>
      </c>
      <c r="X58" s="5">
        <v>0</v>
      </c>
      <c r="Y58" s="5">
        <f t="shared" si="1"/>
        <v>6</v>
      </c>
      <c r="Z58" s="5">
        <f t="shared" si="2"/>
        <v>7</v>
      </c>
      <c r="AA58" s="5">
        <v>0</v>
      </c>
      <c r="AB58" s="5">
        <v>0</v>
      </c>
      <c r="AC58" s="5">
        <v>1</v>
      </c>
      <c r="AD58" s="5">
        <v>0</v>
      </c>
      <c r="AE58" s="5">
        <v>0</v>
      </c>
      <c r="AF58" s="5">
        <f t="shared" si="3"/>
        <v>1</v>
      </c>
      <c r="AG58" s="5">
        <v>26</v>
      </c>
      <c r="AH58" s="14">
        <v>107</v>
      </c>
      <c r="AI58" s="8">
        <f>771585</f>
        <v>771585</v>
      </c>
      <c r="AJ58" s="8">
        <f>AI58+1208147+69870</f>
        <v>2049602</v>
      </c>
      <c r="AK58" s="8">
        <v>85853</v>
      </c>
      <c r="AL58" s="8">
        <v>1029</v>
      </c>
      <c r="AM58" s="8">
        <f>17376352+8243978</f>
        <v>25620330</v>
      </c>
      <c r="AN58" s="9">
        <f t="shared" si="4"/>
        <v>3.3509716697638164E-3</v>
      </c>
      <c r="AO58" s="10">
        <v>1</v>
      </c>
    </row>
    <row r="59" spans="1:41" ht="14.4" customHeight="1" x14ac:dyDescent="0.3">
      <c r="A59" s="33">
        <v>73</v>
      </c>
      <c r="B59" s="5">
        <v>4</v>
      </c>
      <c r="C59" s="11">
        <v>3</v>
      </c>
      <c r="D59" s="5">
        <v>8</v>
      </c>
      <c r="E59" s="4">
        <v>0</v>
      </c>
      <c r="F59" s="4">
        <v>0</v>
      </c>
      <c r="G59" s="4">
        <v>6</v>
      </c>
      <c r="H59" s="4">
        <v>2</v>
      </c>
      <c r="I59" s="4">
        <v>0</v>
      </c>
      <c r="J59" s="5">
        <v>0</v>
      </c>
      <c r="K59" s="5">
        <v>0</v>
      </c>
      <c r="L59" s="5">
        <v>1</v>
      </c>
      <c r="M59" s="5">
        <v>0</v>
      </c>
      <c r="N59" s="5">
        <v>0</v>
      </c>
      <c r="O59" s="5">
        <v>8</v>
      </c>
      <c r="P59" s="5">
        <v>0</v>
      </c>
      <c r="Q59" s="5">
        <v>0</v>
      </c>
      <c r="R59" s="5">
        <v>1</v>
      </c>
      <c r="S59" s="5">
        <v>0</v>
      </c>
      <c r="T59" s="5">
        <v>0</v>
      </c>
      <c r="U59" s="5">
        <f t="shared" si="0"/>
        <v>1</v>
      </c>
      <c r="V59" s="5">
        <v>0</v>
      </c>
      <c r="W59" s="5">
        <v>6</v>
      </c>
      <c r="X59" s="5">
        <v>0</v>
      </c>
      <c r="Y59" s="5">
        <f t="shared" si="1"/>
        <v>6</v>
      </c>
      <c r="Z59" s="5">
        <f t="shared" si="2"/>
        <v>7</v>
      </c>
      <c r="AA59" s="5">
        <v>0</v>
      </c>
      <c r="AB59" s="5">
        <v>0</v>
      </c>
      <c r="AC59" s="5">
        <v>1</v>
      </c>
      <c r="AD59" s="5">
        <v>0</v>
      </c>
      <c r="AE59" s="5">
        <v>0</v>
      </c>
      <c r="AF59" s="5">
        <f t="shared" si="3"/>
        <v>1</v>
      </c>
      <c r="AG59" s="5">
        <v>48</v>
      </c>
      <c r="AH59" s="14">
        <v>34</v>
      </c>
      <c r="AI59" s="8">
        <f>118111</f>
        <v>118111</v>
      </c>
      <c r="AJ59" s="8">
        <f>AI59+1746</f>
        <v>119857</v>
      </c>
      <c r="AK59" s="8">
        <v>349309</v>
      </c>
      <c r="AL59" s="8">
        <v>13485</v>
      </c>
      <c r="AM59" s="8">
        <v>288473.05099999998</v>
      </c>
      <c r="AN59" s="9">
        <f t="shared" si="4"/>
        <v>1.2108895399036772</v>
      </c>
      <c r="AO59" s="10">
        <v>2</v>
      </c>
    </row>
    <row r="60" spans="1:41" ht="14.4" customHeight="1" x14ac:dyDescent="0.3">
      <c r="A60" s="33">
        <v>74</v>
      </c>
      <c r="B60" s="5">
        <v>2</v>
      </c>
      <c r="C60" s="6">
        <v>2</v>
      </c>
      <c r="D60" s="5">
        <v>13</v>
      </c>
      <c r="E60" s="4">
        <v>3</v>
      </c>
      <c r="F60" s="4">
        <v>2</v>
      </c>
      <c r="G60" s="4">
        <v>3</v>
      </c>
      <c r="H60" s="4">
        <v>0</v>
      </c>
      <c r="I60" s="4">
        <v>5</v>
      </c>
      <c r="J60" s="5">
        <v>0</v>
      </c>
      <c r="K60" s="5">
        <v>0</v>
      </c>
      <c r="L60" s="5">
        <v>0</v>
      </c>
      <c r="M60" s="5">
        <v>1</v>
      </c>
      <c r="N60" s="5">
        <v>2</v>
      </c>
      <c r="O60" s="5">
        <v>11</v>
      </c>
      <c r="P60" s="5">
        <v>1</v>
      </c>
      <c r="Q60" s="5">
        <v>0</v>
      </c>
      <c r="R60" s="5">
        <v>0</v>
      </c>
      <c r="S60" s="5">
        <v>0</v>
      </c>
      <c r="T60" s="5">
        <v>1</v>
      </c>
      <c r="U60" s="5">
        <f t="shared" si="0"/>
        <v>2</v>
      </c>
      <c r="V60" s="5">
        <v>3</v>
      </c>
      <c r="W60" s="5">
        <v>6</v>
      </c>
      <c r="X60" s="5">
        <v>1</v>
      </c>
      <c r="Y60" s="5">
        <f t="shared" si="1"/>
        <v>10</v>
      </c>
      <c r="Z60" s="5">
        <f t="shared" si="2"/>
        <v>12</v>
      </c>
      <c r="AA60" s="5">
        <v>0</v>
      </c>
      <c r="AB60" s="5">
        <v>0</v>
      </c>
      <c r="AC60" s="5">
        <v>0</v>
      </c>
      <c r="AD60" s="5">
        <v>0</v>
      </c>
      <c r="AE60" s="5">
        <v>1</v>
      </c>
      <c r="AF60" s="5">
        <f t="shared" si="3"/>
        <v>1</v>
      </c>
      <c r="AG60" s="5">
        <v>50</v>
      </c>
      <c r="AH60" s="14">
        <v>10249</v>
      </c>
      <c r="AI60" s="8">
        <f>113568+24826739+3136894</f>
        <v>28077201</v>
      </c>
      <c r="AJ60" s="8">
        <f>AI60+924367+7227547+3512918</f>
        <v>39742033</v>
      </c>
      <c r="AK60" s="8">
        <v>243488979</v>
      </c>
      <c r="AL60" s="8">
        <v>7271421</v>
      </c>
      <c r="AM60" s="8">
        <v>272877007</v>
      </c>
      <c r="AN60" s="9">
        <f t="shared" si="4"/>
        <v>0.89230302573642639</v>
      </c>
      <c r="AO60" s="10">
        <v>1</v>
      </c>
    </row>
    <row r="61" spans="1:41" ht="14.4" customHeight="1" x14ac:dyDescent="0.3">
      <c r="A61" s="33">
        <v>75</v>
      </c>
      <c r="B61" s="5">
        <v>1</v>
      </c>
      <c r="C61" s="11">
        <v>2</v>
      </c>
      <c r="D61" s="5">
        <v>16</v>
      </c>
      <c r="E61" s="4">
        <v>2</v>
      </c>
      <c r="F61" s="4">
        <v>0</v>
      </c>
      <c r="G61" s="4">
        <v>6</v>
      </c>
      <c r="H61" s="4">
        <v>1</v>
      </c>
      <c r="I61" s="4">
        <v>7</v>
      </c>
      <c r="J61" s="5">
        <v>0</v>
      </c>
      <c r="K61" s="5">
        <v>0</v>
      </c>
      <c r="L61" s="5">
        <v>0</v>
      </c>
      <c r="M61" s="5">
        <v>1</v>
      </c>
      <c r="N61" s="5">
        <v>5</v>
      </c>
      <c r="O61" s="5">
        <v>11</v>
      </c>
      <c r="P61" s="5">
        <v>0</v>
      </c>
      <c r="Q61" s="5">
        <v>0</v>
      </c>
      <c r="R61" s="5">
        <v>2</v>
      </c>
      <c r="S61" s="5">
        <v>0</v>
      </c>
      <c r="T61" s="5">
        <v>0</v>
      </c>
      <c r="U61" s="5">
        <f t="shared" si="0"/>
        <v>2</v>
      </c>
      <c r="V61" s="5">
        <v>1</v>
      </c>
      <c r="W61" s="5">
        <v>9</v>
      </c>
      <c r="X61" s="5">
        <v>3</v>
      </c>
      <c r="Y61" s="5">
        <f t="shared" si="1"/>
        <v>13</v>
      </c>
      <c r="Z61" s="5">
        <f t="shared" si="2"/>
        <v>15</v>
      </c>
      <c r="AA61" s="5">
        <v>1</v>
      </c>
      <c r="AB61" s="5">
        <v>0</v>
      </c>
      <c r="AC61" s="5">
        <v>0</v>
      </c>
      <c r="AD61" s="5">
        <v>0</v>
      </c>
      <c r="AE61" s="5">
        <v>0</v>
      </c>
      <c r="AF61" s="5">
        <f t="shared" si="3"/>
        <v>1</v>
      </c>
      <c r="AG61" s="5">
        <v>61</v>
      </c>
      <c r="AH61" s="14">
        <v>1023</v>
      </c>
      <c r="AI61" s="8">
        <f>5078123+16927429+689846</f>
        <v>22695398</v>
      </c>
      <c r="AJ61" s="8">
        <f>AI61+20950366+677319+919082+837910</f>
        <v>46080075</v>
      </c>
      <c r="AK61" s="8">
        <v>188407004</v>
      </c>
      <c r="AL61" s="8">
        <v>23987649</v>
      </c>
      <c r="AM61" s="8">
        <v>500081653</v>
      </c>
      <c r="AN61" s="9">
        <f t="shared" si="4"/>
        <v>0.37675248205916484</v>
      </c>
      <c r="AO61" s="10">
        <v>1</v>
      </c>
    </row>
    <row r="62" spans="1:41" ht="14.4" customHeight="1" x14ac:dyDescent="0.3">
      <c r="A62" s="34">
        <v>76</v>
      </c>
      <c r="B62" s="5">
        <v>2</v>
      </c>
      <c r="C62" s="6">
        <v>3</v>
      </c>
      <c r="D62" s="5">
        <v>7</v>
      </c>
      <c r="E62" s="4">
        <v>1</v>
      </c>
      <c r="F62" s="4">
        <v>0</v>
      </c>
      <c r="G62" s="4">
        <v>6</v>
      </c>
      <c r="H62" s="4">
        <v>0</v>
      </c>
      <c r="I62" s="4">
        <v>0</v>
      </c>
      <c r="J62" s="5">
        <v>0</v>
      </c>
      <c r="K62" s="5">
        <v>0</v>
      </c>
      <c r="L62" s="5">
        <v>1</v>
      </c>
      <c r="M62" s="5">
        <v>0</v>
      </c>
      <c r="N62" s="5">
        <v>1</v>
      </c>
      <c r="O62" s="5">
        <v>6</v>
      </c>
      <c r="P62" s="5">
        <v>0</v>
      </c>
      <c r="Q62" s="5">
        <v>0</v>
      </c>
      <c r="R62" s="5">
        <v>1</v>
      </c>
      <c r="S62" s="5">
        <v>0</v>
      </c>
      <c r="T62" s="5">
        <v>0</v>
      </c>
      <c r="U62" s="5">
        <f t="shared" si="0"/>
        <v>1</v>
      </c>
      <c r="V62" s="5">
        <v>2</v>
      </c>
      <c r="W62" s="5">
        <v>2</v>
      </c>
      <c r="X62" s="5">
        <v>1</v>
      </c>
      <c r="Y62" s="5">
        <f t="shared" si="1"/>
        <v>5</v>
      </c>
      <c r="Z62" s="5">
        <f t="shared" si="2"/>
        <v>6</v>
      </c>
      <c r="AA62" s="5">
        <v>0</v>
      </c>
      <c r="AB62" s="5">
        <v>0</v>
      </c>
      <c r="AC62" s="5">
        <v>1</v>
      </c>
      <c r="AD62" s="5">
        <v>0</v>
      </c>
      <c r="AE62" s="5">
        <v>0</v>
      </c>
      <c r="AF62" s="5">
        <f t="shared" si="3"/>
        <v>1</v>
      </c>
      <c r="AG62" s="5">
        <v>41</v>
      </c>
      <c r="AH62" s="14">
        <v>155</v>
      </c>
      <c r="AI62" s="8">
        <f>2171915+2060637</f>
        <v>4232552</v>
      </c>
      <c r="AJ62" s="8">
        <f>AI62+181960+48854+2742839+28582</f>
        <v>7234787</v>
      </c>
      <c r="AK62" s="8">
        <v>9341528</v>
      </c>
      <c r="AL62" s="8">
        <v>4355756</v>
      </c>
      <c r="AM62" s="8">
        <v>18510279</v>
      </c>
      <c r="AN62" s="9">
        <f t="shared" si="4"/>
        <v>0.50466705553168589</v>
      </c>
      <c r="AO62" s="10">
        <v>1</v>
      </c>
    </row>
    <row r="63" spans="1:41" ht="14.4" customHeight="1" x14ac:dyDescent="0.3">
      <c r="A63" s="34">
        <v>77</v>
      </c>
      <c r="B63" s="5">
        <v>2</v>
      </c>
      <c r="C63" s="11">
        <v>3</v>
      </c>
      <c r="D63" s="5">
        <v>8</v>
      </c>
      <c r="E63" s="4">
        <v>3</v>
      </c>
      <c r="F63" s="4">
        <v>3</v>
      </c>
      <c r="G63" s="4">
        <v>2</v>
      </c>
      <c r="H63" s="4">
        <v>0</v>
      </c>
      <c r="I63" s="4">
        <v>0</v>
      </c>
      <c r="J63" s="5">
        <v>0</v>
      </c>
      <c r="K63" s="5">
        <v>0</v>
      </c>
      <c r="L63" s="5">
        <v>0</v>
      </c>
      <c r="M63" s="5">
        <v>1</v>
      </c>
      <c r="N63" s="5">
        <v>3</v>
      </c>
      <c r="O63" s="5">
        <v>5</v>
      </c>
      <c r="P63" s="5">
        <v>0</v>
      </c>
      <c r="Q63" s="5">
        <v>1</v>
      </c>
      <c r="R63" s="5">
        <v>0</v>
      </c>
      <c r="S63" s="5">
        <v>0</v>
      </c>
      <c r="T63" s="5">
        <v>0</v>
      </c>
      <c r="U63" s="5">
        <f t="shared" si="0"/>
        <v>1</v>
      </c>
      <c r="V63" s="5">
        <v>2</v>
      </c>
      <c r="W63" s="5">
        <v>3</v>
      </c>
      <c r="X63" s="5">
        <v>1</v>
      </c>
      <c r="Y63" s="5">
        <f t="shared" si="1"/>
        <v>6</v>
      </c>
      <c r="Z63" s="5">
        <f t="shared" si="2"/>
        <v>7</v>
      </c>
      <c r="AA63" s="5">
        <v>1</v>
      </c>
      <c r="AB63" s="5">
        <v>0</v>
      </c>
      <c r="AC63" s="5">
        <v>0</v>
      </c>
      <c r="AD63" s="5">
        <v>0</v>
      </c>
      <c r="AE63" s="5">
        <v>0</v>
      </c>
      <c r="AF63" s="5">
        <f t="shared" si="3"/>
        <v>1</v>
      </c>
      <c r="AG63" s="5">
        <v>59</v>
      </c>
      <c r="AH63" s="14">
        <v>213</v>
      </c>
      <c r="AI63" s="8">
        <f>342587+880335</f>
        <v>1222922</v>
      </c>
      <c r="AJ63" s="8">
        <f>AI63+20822+217969</f>
        <v>1461713</v>
      </c>
      <c r="AK63" s="8">
        <v>3479474</v>
      </c>
      <c r="AL63" s="8">
        <v>609293</v>
      </c>
      <c r="AM63" s="8">
        <v>55474666</v>
      </c>
      <c r="AN63" s="9">
        <f t="shared" si="4"/>
        <v>6.2721855774670196E-2</v>
      </c>
      <c r="AO63" s="10">
        <v>2</v>
      </c>
    </row>
    <row r="64" spans="1:41" ht="14.4" customHeight="1" x14ac:dyDescent="0.3">
      <c r="A64" s="34">
        <v>78</v>
      </c>
      <c r="B64" s="5">
        <v>2</v>
      </c>
      <c r="C64" s="6">
        <v>3</v>
      </c>
      <c r="D64" s="5">
        <v>11</v>
      </c>
      <c r="E64" s="4">
        <v>1</v>
      </c>
      <c r="F64" s="4">
        <v>0</v>
      </c>
      <c r="G64" s="4">
        <v>4</v>
      </c>
      <c r="H64" s="4">
        <v>5</v>
      </c>
      <c r="I64" s="4">
        <v>1</v>
      </c>
      <c r="J64" s="5">
        <v>0</v>
      </c>
      <c r="K64" s="5">
        <v>0</v>
      </c>
      <c r="L64" s="5">
        <v>0</v>
      </c>
      <c r="M64" s="5">
        <v>1</v>
      </c>
      <c r="N64" s="5">
        <v>3</v>
      </c>
      <c r="O64" s="5">
        <v>8</v>
      </c>
      <c r="P64" s="5">
        <v>0</v>
      </c>
      <c r="Q64" s="5">
        <v>0</v>
      </c>
      <c r="R64" s="5">
        <v>0</v>
      </c>
      <c r="S64" s="5">
        <v>1</v>
      </c>
      <c r="T64" s="5">
        <v>0</v>
      </c>
      <c r="U64" s="5">
        <f t="shared" si="0"/>
        <v>1</v>
      </c>
      <c r="V64" s="5">
        <v>1</v>
      </c>
      <c r="W64" s="5">
        <v>7</v>
      </c>
      <c r="X64" s="5">
        <v>1</v>
      </c>
      <c r="Y64" s="5">
        <f t="shared" si="1"/>
        <v>9</v>
      </c>
      <c r="Z64" s="5">
        <f t="shared" si="2"/>
        <v>10</v>
      </c>
      <c r="AA64" s="5">
        <v>0</v>
      </c>
      <c r="AB64" s="5">
        <v>0</v>
      </c>
      <c r="AC64" s="5">
        <v>0</v>
      </c>
      <c r="AD64" s="5">
        <v>1</v>
      </c>
      <c r="AE64" s="5">
        <v>0</v>
      </c>
      <c r="AF64" s="5">
        <f t="shared" si="3"/>
        <v>1</v>
      </c>
      <c r="AG64" s="5">
        <v>29</v>
      </c>
      <c r="AH64" s="14">
        <v>180</v>
      </c>
      <c r="AI64" s="8">
        <f>1647903+2211871+26384+1757962</f>
        <v>5644120</v>
      </c>
      <c r="AJ64" s="8">
        <f>AI64+31633+145061</f>
        <v>5820814</v>
      </c>
      <c r="AK64" s="8">
        <v>6518964</v>
      </c>
      <c r="AL64" s="8">
        <v>1609222</v>
      </c>
      <c r="AM64" s="8">
        <v>28704432</v>
      </c>
      <c r="AN64" s="9">
        <f t="shared" si="4"/>
        <v>0.22710653184149401</v>
      </c>
      <c r="AO64" s="10">
        <v>2</v>
      </c>
    </row>
    <row r="65" spans="1:41" ht="14.4" customHeight="1" x14ac:dyDescent="0.3">
      <c r="A65" s="34">
        <v>79</v>
      </c>
      <c r="B65" s="5">
        <v>2</v>
      </c>
      <c r="C65" s="11">
        <v>1</v>
      </c>
      <c r="D65" s="5">
        <v>6</v>
      </c>
      <c r="E65" s="4">
        <v>0</v>
      </c>
      <c r="F65" s="4">
        <v>0</v>
      </c>
      <c r="G65" s="4">
        <v>4</v>
      </c>
      <c r="H65" s="4">
        <v>2</v>
      </c>
      <c r="I65" s="4">
        <v>0</v>
      </c>
      <c r="J65" s="5">
        <v>0</v>
      </c>
      <c r="K65" s="5">
        <v>0</v>
      </c>
      <c r="L65" s="5">
        <v>1</v>
      </c>
      <c r="M65" s="5">
        <v>0</v>
      </c>
      <c r="N65" s="5">
        <v>1</v>
      </c>
      <c r="O65" s="5">
        <v>5</v>
      </c>
      <c r="P65" s="5">
        <v>0</v>
      </c>
      <c r="Q65" s="5">
        <v>0</v>
      </c>
      <c r="R65" s="5">
        <v>1</v>
      </c>
      <c r="S65" s="5">
        <v>0</v>
      </c>
      <c r="T65" s="5">
        <v>0</v>
      </c>
      <c r="U65" s="5">
        <f t="shared" si="0"/>
        <v>1</v>
      </c>
      <c r="V65" s="5">
        <v>0</v>
      </c>
      <c r="W65" s="5">
        <v>3</v>
      </c>
      <c r="X65" s="5">
        <v>1</v>
      </c>
      <c r="Y65" s="5">
        <f t="shared" si="1"/>
        <v>4</v>
      </c>
      <c r="Z65" s="5">
        <f t="shared" si="2"/>
        <v>5</v>
      </c>
      <c r="AA65" s="5">
        <v>0</v>
      </c>
      <c r="AB65" s="5">
        <v>0</v>
      </c>
      <c r="AC65" s="5">
        <v>1</v>
      </c>
      <c r="AD65" s="5">
        <v>0</v>
      </c>
      <c r="AE65" s="5">
        <v>0</v>
      </c>
      <c r="AF65" s="5">
        <f t="shared" si="3"/>
        <v>1</v>
      </c>
      <c r="AG65" s="5">
        <v>57</v>
      </c>
      <c r="AH65" s="14">
        <v>75</v>
      </c>
      <c r="AI65" s="8">
        <f>287824+20171+335186</f>
        <v>643181</v>
      </c>
      <c r="AJ65" s="8">
        <f>AI65+103302+6277</f>
        <v>752760</v>
      </c>
      <c r="AK65" s="8">
        <v>9955222</v>
      </c>
      <c r="AL65" s="8">
        <v>60672</v>
      </c>
      <c r="AM65" s="8">
        <v>4033910</v>
      </c>
      <c r="AN65" s="9">
        <f t="shared" si="4"/>
        <v>2.4678840132774407</v>
      </c>
      <c r="AO65" s="10">
        <v>2</v>
      </c>
    </row>
    <row r="66" spans="1:41" ht="14.4" customHeight="1" x14ac:dyDescent="0.3">
      <c r="A66" s="34">
        <v>80</v>
      </c>
      <c r="B66" s="5">
        <v>3</v>
      </c>
      <c r="C66" s="6">
        <v>3</v>
      </c>
      <c r="D66" s="5">
        <v>10</v>
      </c>
      <c r="E66" s="4">
        <v>1</v>
      </c>
      <c r="F66" s="4">
        <v>0</v>
      </c>
      <c r="G66" s="4">
        <v>9</v>
      </c>
      <c r="H66" s="4">
        <v>0</v>
      </c>
      <c r="I66" s="4">
        <v>0</v>
      </c>
      <c r="J66" s="5">
        <v>0</v>
      </c>
      <c r="K66" s="5">
        <v>0</v>
      </c>
      <c r="L66" s="5">
        <v>1</v>
      </c>
      <c r="M66" s="5">
        <v>0</v>
      </c>
      <c r="N66" s="5">
        <v>2</v>
      </c>
      <c r="O66" s="5">
        <v>8</v>
      </c>
      <c r="P66" s="5">
        <v>0</v>
      </c>
      <c r="Q66" s="5">
        <v>0</v>
      </c>
      <c r="R66" s="5">
        <v>1</v>
      </c>
      <c r="S66" s="5">
        <v>0</v>
      </c>
      <c r="T66" s="5">
        <v>0</v>
      </c>
      <c r="U66" s="5">
        <f t="shared" si="0"/>
        <v>1</v>
      </c>
      <c r="V66" s="5">
        <v>0</v>
      </c>
      <c r="W66" s="5">
        <v>7</v>
      </c>
      <c r="X66" s="5">
        <v>1</v>
      </c>
      <c r="Y66" s="5">
        <f t="shared" si="1"/>
        <v>8</v>
      </c>
      <c r="Z66" s="5">
        <f t="shared" si="2"/>
        <v>9</v>
      </c>
      <c r="AA66" s="5">
        <v>0</v>
      </c>
      <c r="AB66" s="5">
        <v>0</v>
      </c>
      <c r="AC66" s="5">
        <v>1</v>
      </c>
      <c r="AD66" s="5">
        <v>0</v>
      </c>
      <c r="AE66" s="5">
        <v>0</v>
      </c>
      <c r="AF66" s="5">
        <f t="shared" si="3"/>
        <v>1</v>
      </c>
      <c r="AG66" s="5">
        <v>21</v>
      </c>
      <c r="AH66" s="14">
        <v>68</v>
      </c>
      <c r="AI66" s="8">
        <f>159344.328+45615.662+14040.398+202347.856</f>
        <v>421348.24399999995</v>
      </c>
      <c r="AJ66" s="8">
        <f>AI66+5213.678</f>
        <v>426561.92199999996</v>
      </c>
      <c r="AK66" s="8">
        <v>502487.73800000001</v>
      </c>
      <c r="AL66" s="8">
        <v>1380022.1839999999</v>
      </c>
      <c r="AM66" s="8">
        <v>4594991.7149999999</v>
      </c>
      <c r="AN66" s="9">
        <f t="shared" si="4"/>
        <v>0.10935552644407762</v>
      </c>
      <c r="AO66" s="10">
        <v>2</v>
      </c>
    </row>
    <row r="67" spans="1:41" ht="14.4" customHeight="1" x14ac:dyDescent="0.3">
      <c r="A67" s="34">
        <v>81</v>
      </c>
      <c r="B67" s="5">
        <v>2</v>
      </c>
      <c r="C67" s="11">
        <v>3</v>
      </c>
      <c r="D67" s="5">
        <v>10</v>
      </c>
      <c r="E67" s="4">
        <v>2</v>
      </c>
      <c r="F67" s="4">
        <v>4</v>
      </c>
      <c r="G67" s="4">
        <v>3</v>
      </c>
      <c r="H67" s="4">
        <v>1</v>
      </c>
      <c r="I67" s="4">
        <v>0</v>
      </c>
      <c r="J67" s="5">
        <v>0</v>
      </c>
      <c r="K67" s="5">
        <v>1</v>
      </c>
      <c r="L67" s="5">
        <v>0</v>
      </c>
      <c r="M67" s="5">
        <v>0</v>
      </c>
      <c r="N67" s="5">
        <v>3</v>
      </c>
      <c r="O67" s="5">
        <v>7</v>
      </c>
      <c r="P67" s="5">
        <v>1</v>
      </c>
      <c r="Q67" s="5">
        <v>0</v>
      </c>
      <c r="R67" s="5">
        <v>0</v>
      </c>
      <c r="S67" s="5">
        <v>0</v>
      </c>
      <c r="T67" s="5">
        <v>0</v>
      </c>
      <c r="U67" s="5">
        <f t="shared" ref="U67:U130" si="5">P67+Q67+R67+S67+T67</f>
        <v>1</v>
      </c>
      <c r="V67" s="5">
        <v>3</v>
      </c>
      <c r="W67" s="5">
        <v>1</v>
      </c>
      <c r="X67" s="5">
        <v>4</v>
      </c>
      <c r="Y67" s="5">
        <f t="shared" ref="Y67:Y130" si="6">V67+W67+X67</f>
        <v>8</v>
      </c>
      <c r="Z67" s="5">
        <f t="shared" ref="Z67:Z130" si="7">U67+Y67</f>
        <v>9</v>
      </c>
      <c r="AA67" s="5">
        <v>0</v>
      </c>
      <c r="AB67" s="5">
        <v>1</v>
      </c>
      <c r="AC67" s="5">
        <v>0</v>
      </c>
      <c r="AD67" s="5">
        <v>0</v>
      </c>
      <c r="AE67" s="5">
        <v>0</v>
      </c>
      <c r="AF67" s="5">
        <f t="shared" ref="AF67:AF130" si="8">AA67+AB67+AC67+AD67+AE67</f>
        <v>1</v>
      </c>
      <c r="AG67" s="5">
        <v>76</v>
      </c>
      <c r="AH67" s="14">
        <v>310</v>
      </c>
      <c r="AI67" s="8">
        <f>1068592+730733</f>
        <v>1799325</v>
      </c>
      <c r="AJ67" s="8">
        <f>AI67+119142+184466</f>
        <v>2102933</v>
      </c>
      <c r="AK67" s="8">
        <v>7686625</v>
      </c>
      <c r="AL67" s="8">
        <v>457234</v>
      </c>
      <c r="AM67" s="8">
        <v>9473928</v>
      </c>
      <c r="AN67" s="9">
        <f t="shared" ref="AN67:AN130" si="9">AK67/AM67</f>
        <v>0.81134509360848006</v>
      </c>
      <c r="AO67" s="10">
        <v>1</v>
      </c>
    </row>
    <row r="68" spans="1:41" ht="14.4" customHeight="1" x14ac:dyDescent="0.3">
      <c r="A68" s="34">
        <v>82</v>
      </c>
      <c r="B68" s="5">
        <v>3</v>
      </c>
      <c r="C68" s="6">
        <v>2</v>
      </c>
      <c r="D68" s="5">
        <v>5</v>
      </c>
      <c r="E68" s="4">
        <v>0</v>
      </c>
      <c r="F68" s="4">
        <v>4</v>
      </c>
      <c r="G68" s="4">
        <v>1</v>
      </c>
      <c r="H68" s="4">
        <v>0</v>
      </c>
      <c r="I68" s="4">
        <v>0</v>
      </c>
      <c r="J68" s="5">
        <v>0</v>
      </c>
      <c r="K68" s="5">
        <v>1</v>
      </c>
      <c r="L68" s="5">
        <v>0</v>
      </c>
      <c r="M68" s="5">
        <v>0</v>
      </c>
      <c r="N68" s="5">
        <v>1</v>
      </c>
      <c r="O68" s="5">
        <v>4</v>
      </c>
      <c r="P68" s="5">
        <v>0</v>
      </c>
      <c r="Q68" s="5">
        <v>0</v>
      </c>
      <c r="R68" s="5">
        <v>1</v>
      </c>
      <c r="S68" s="5">
        <v>0</v>
      </c>
      <c r="T68" s="5">
        <v>0</v>
      </c>
      <c r="U68" s="5">
        <f t="shared" si="5"/>
        <v>1</v>
      </c>
      <c r="V68" s="5">
        <v>0</v>
      </c>
      <c r="W68" s="5">
        <v>2</v>
      </c>
      <c r="X68" s="5">
        <v>1</v>
      </c>
      <c r="Y68" s="5">
        <f t="shared" si="6"/>
        <v>3</v>
      </c>
      <c r="Z68" s="5">
        <f t="shared" si="7"/>
        <v>4</v>
      </c>
      <c r="AA68" s="5">
        <v>0</v>
      </c>
      <c r="AB68" s="5">
        <v>1</v>
      </c>
      <c r="AC68" s="5">
        <v>0</v>
      </c>
      <c r="AD68" s="5">
        <v>0</v>
      </c>
      <c r="AE68" s="5">
        <v>0</v>
      </c>
      <c r="AF68" s="5">
        <f t="shared" si="8"/>
        <v>1</v>
      </c>
      <c r="AG68" s="5">
        <v>16</v>
      </c>
      <c r="AH68" s="14">
        <v>86</v>
      </c>
      <c r="AI68" s="8">
        <f>47396.476+38464.259</f>
        <v>85860.735000000001</v>
      </c>
      <c r="AJ68" s="8">
        <f>AI68+33365.171+1640</f>
        <v>120865.906</v>
      </c>
      <c r="AK68" s="8">
        <v>643380.59</v>
      </c>
      <c r="AL68" s="8">
        <v>231877.55799999999</v>
      </c>
      <c r="AM68" s="8">
        <v>722521.93400000001</v>
      </c>
      <c r="AN68" s="9">
        <f t="shared" si="9"/>
        <v>0.89046513292425522</v>
      </c>
      <c r="AO68" s="10">
        <v>2</v>
      </c>
    </row>
    <row r="69" spans="1:41" ht="14.4" customHeight="1" x14ac:dyDescent="0.3">
      <c r="A69" s="34">
        <v>84</v>
      </c>
      <c r="B69" s="5">
        <v>2</v>
      </c>
      <c r="C69" s="6">
        <v>2</v>
      </c>
      <c r="D69" s="5">
        <v>7</v>
      </c>
      <c r="E69" s="4">
        <v>0</v>
      </c>
      <c r="F69" s="4">
        <v>0</v>
      </c>
      <c r="G69" s="4">
        <v>5</v>
      </c>
      <c r="H69" s="4">
        <v>1</v>
      </c>
      <c r="I69" s="4">
        <v>1</v>
      </c>
      <c r="J69" s="5">
        <v>0</v>
      </c>
      <c r="K69" s="5">
        <v>0</v>
      </c>
      <c r="L69" s="5">
        <v>1</v>
      </c>
      <c r="M69" s="5">
        <v>0</v>
      </c>
      <c r="N69" s="5">
        <v>0</v>
      </c>
      <c r="O69" s="5">
        <v>7</v>
      </c>
      <c r="P69" s="5">
        <v>0</v>
      </c>
      <c r="Q69" s="5">
        <v>0</v>
      </c>
      <c r="R69" s="5">
        <v>1</v>
      </c>
      <c r="S69" s="5">
        <v>0</v>
      </c>
      <c r="T69" s="5">
        <v>0</v>
      </c>
      <c r="U69" s="5">
        <f t="shared" si="5"/>
        <v>1</v>
      </c>
      <c r="V69" s="5">
        <v>0</v>
      </c>
      <c r="W69" s="5">
        <v>4</v>
      </c>
      <c r="X69" s="5">
        <v>1</v>
      </c>
      <c r="Y69" s="5">
        <f t="shared" si="6"/>
        <v>5</v>
      </c>
      <c r="Z69" s="5">
        <f t="shared" si="7"/>
        <v>6</v>
      </c>
      <c r="AA69" s="5">
        <v>0</v>
      </c>
      <c r="AB69" s="5">
        <v>0</v>
      </c>
      <c r="AC69" s="5">
        <v>0</v>
      </c>
      <c r="AD69" s="5">
        <v>0</v>
      </c>
      <c r="AE69" s="5">
        <v>1</v>
      </c>
      <c r="AF69" s="5">
        <f t="shared" si="8"/>
        <v>1</v>
      </c>
      <c r="AG69" s="5">
        <v>60</v>
      </c>
      <c r="AH69" s="14">
        <v>91</v>
      </c>
      <c r="AI69" s="8">
        <f>226277+304881</f>
        <v>531158</v>
      </c>
      <c r="AJ69" s="8">
        <f>AI69+18043+6422</f>
        <v>555623</v>
      </c>
      <c r="AK69" s="8">
        <v>1106116</v>
      </c>
      <c r="AL69" s="8">
        <v>1479730</v>
      </c>
      <c r="AM69" s="8">
        <f>281072+3439142</f>
        <v>3720214</v>
      </c>
      <c r="AN69" s="9">
        <f t="shared" si="9"/>
        <v>0.29732590652043134</v>
      </c>
      <c r="AO69" s="10">
        <v>1</v>
      </c>
    </row>
    <row r="70" spans="1:41" ht="14.4" customHeight="1" x14ac:dyDescent="0.3">
      <c r="A70" s="34">
        <v>85</v>
      </c>
      <c r="B70" s="5">
        <v>2</v>
      </c>
      <c r="C70" s="11">
        <v>3</v>
      </c>
      <c r="D70" s="5">
        <v>6</v>
      </c>
      <c r="E70" s="4">
        <v>0</v>
      </c>
      <c r="F70" s="4">
        <v>0</v>
      </c>
      <c r="G70" s="4">
        <v>5</v>
      </c>
      <c r="H70" s="4">
        <v>1</v>
      </c>
      <c r="I70" s="4">
        <v>0</v>
      </c>
      <c r="J70" s="5">
        <v>0</v>
      </c>
      <c r="K70" s="5">
        <v>0</v>
      </c>
      <c r="L70" s="5">
        <v>1</v>
      </c>
      <c r="M70" s="5">
        <v>0</v>
      </c>
      <c r="N70" s="5">
        <v>1</v>
      </c>
      <c r="O70" s="5">
        <v>5</v>
      </c>
      <c r="P70" s="5">
        <v>0</v>
      </c>
      <c r="Q70" s="5">
        <v>0</v>
      </c>
      <c r="R70" s="5">
        <v>1</v>
      </c>
      <c r="S70" s="5">
        <v>0</v>
      </c>
      <c r="T70" s="5">
        <v>0</v>
      </c>
      <c r="U70" s="5">
        <f t="shared" si="5"/>
        <v>1</v>
      </c>
      <c r="V70" s="5">
        <v>3</v>
      </c>
      <c r="W70" s="5">
        <v>1</v>
      </c>
      <c r="X70" s="5">
        <v>0</v>
      </c>
      <c r="Y70" s="5">
        <f t="shared" si="6"/>
        <v>4</v>
      </c>
      <c r="Z70" s="5">
        <f t="shared" si="7"/>
        <v>5</v>
      </c>
      <c r="AA70" s="5">
        <v>0</v>
      </c>
      <c r="AB70" s="5">
        <v>0</v>
      </c>
      <c r="AC70" s="5">
        <v>1</v>
      </c>
      <c r="AD70" s="5">
        <v>0</v>
      </c>
      <c r="AE70" s="5">
        <v>0</v>
      </c>
      <c r="AF70" s="5">
        <f t="shared" si="8"/>
        <v>1</v>
      </c>
      <c r="AG70" s="5">
        <v>65</v>
      </c>
      <c r="AH70" s="14">
        <v>19</v>
      </c>
      <c r="AI70" s="8">
        <f>15776+117541</f>
        <v>133317</v>
      </c>
      <c r="AJ70" s="8">
        <f>AI70+431</f>
        <v>133748</v>
      </c>
      <c r="AK70" s="8">
        <v>86112</v>
      </c>
      <c r="AL70" s="8">
        <v>1083</v>
      </c>
      <c r="AM70" s="8">
        <v>447738</v>
      </c>
      <c r="AN70" s="9">
        <f t="shared" si="9"/>
        <v>0.19232676252629885</v>
      </c>
      <c r="AO70" s="10">
        <v>2</v>
      </c>
    </row>
    <row r="71" spans="1:41" ht="14.4" customHeight="1" x14ac:dyDescent="0.3">
      <c r="A71" s="34">
        <v>86</v>
      </c>
      <c r="B71" s="5">
        <v>2</v>
      </c>
      <c r="C71" s="6">
        <v>1</v>
      </c>
      <c r="D71" s="5">
        <v>8</v>
      </c>
      <c r="E71" s="4">
        <v>1</v>
      </c>
      <c r="F71" s="4">
        <v>4</v>
      </c>
      <c r="G71" s="4">
        <v>1</v>
      </c>
      <c r="H71" s="4">
        <v>2</v>
      </c>
      <c r="I71" s="4">
        <v>0</v>
      </c>
      <c r="J71" s="5">
        <v>0</v>
      </c>
      <c r="K71" s="5">
        <v>1</v>
      </c>
      <c r="L71" s="5">
        <v>0</v>
      </c>
      <c r="M71" s="5">
        <v>0</v>
      </c>
      <c r="N71" s="5">
        <v>3</v>
      </c>
      <c r="O71" s="5">
        <v>5</v>
      </c>
      <c r="P71" s="5">
        <v>0</v>
      </c>
      <c r="Q71" s="5">
        <v>0</v>
      </c>
      <c r="R71" s="5">
        <v>0</v>
      </c>
      <c r="S71" s="5">
        <v>1</v>
      </c>
      <c r="T71" s="5">
        <v>0</v>
      </c>
      <c r="U71" s="5">
        <f t="shared" si="5"/>
        <v>1</v>
      </c>
      <c r="V71" s="5">
        <v>0</v>
      </c>
      <c r="W71" s="5">
        <v>5</v>
      </c>
      <c r="X71" s="5">
        <v>1</v>
      </c>
      <c r="Y71" s="5">
        <f t="shared" si="6"/>
        <v>6</v>
      </c>
      <c r="Z71" s="5">
        <f t="shared" si="7"/>
        <v>7</v>
      </c>
      <c r="AA71" s="5">
        <v>0</v>
      </c>
      <c r="AB71" s="5">
        <v>0</v>
      </c>
      <c r="AC71" s="5">
        <v>0</v>
      </c>
      <c r="AD71" s="5">
        <v>1</v>
      </c>
      <c r="AE71" s="5">
        <v>0</v>
      </c>
      <c r="AF71" s="5">
        <f t="shared" si="8"/>
        <v>1</v>
      </c>
      <c r="AG71" s="5">
        <v>51</v>
      </c>
      <c r="AH71" s="14">
        <v>104</v>
      </c>
      <c r="AI71" s="8">
        <f>796798+5164844+235748</f>
        <v>6197390</v>
      </c>
      <c r="AJ71" s="8">
        <f>AI71+617674+324547</f>
        <v>7139611</v>
      </c>
      <c r="AK71" s="8">
        <v>64909370</v>
      </c>
      <c r="AL71" s="8">
        <v>1052880</v>
      </c>
      <c r="AM71" s="8">
        <v>44209648</v>
      </c>
      <c r="AN71" s="9">
        <f t="shared" si="9"/>
        <v>1.4682172995360652</v>
      </c>
      <c r="AO71" s="10">
        <v>2</v>
      </c>
    </row>
    <row r="72" spans="1:41" ht="14.4" customHeight="1" x14ac:dyDescent="0.3">
      <c r="A72" s="34">
        <v>87</v>
      </c>
      <c r="B72" s="5">
        <v>1</v>
      </c>
      <c r="C72" s="11">
        <v>3</v>
      </c>
      <c r="D72" s="5">
        <v>16</v>
      </c>
      <c r="E72" s="4">
        <v>3</v>
      </c>
      <c r="F72" s="4">
        <v>2</v>
      </c>
      <c r="G72" s="4">
        <v>2</v>
      </c>
      <c r="H72" s="4">
        <v>2</v>
      </c>
      <c r="I72" s="4">
        <v>7</v>
      </c>
      <c r="J72" s="5">
        <v>0</v>
      </c>
      <c r="K72" s="5">
        <v>0</v>
      </c>
      <c r="L72" s="5">
        <v>0</v>
      </c>
      <c r="M72" s="5">
        <v>1</v>
      </c>
      <c r="N72" s="5">
        <v>2</v>
      </c>
      <c r="O72" s="5">
        <v>14</v>
      </c>
      <c r="P72" s="5">
        <v>0</v>
      </c>
      <c r="Q72" s="5">
        <v>1</v>
      </c>
      <c r="R72" s="5">
        <v>0</v>
      </c>
      <c r="S72" s="5">
        <v>0</v>
      </c>
      <c r="T72" s="5">
        <v>0</v>
      </c>
      <c r="U72" s="5">
        <f t="shared" si="5"/>
        <v>1</v>
      </c>
      <c r="V72" s="5">
        <v>2</v>
      </c>
      <c r="W72" s="5">
        <v>9</v>
      </c>
      <c r="X72" s="5">
        <v>3</v>
      </c>
      <c r="Y72" s="5">
        <f t="shared" si="6"/>
        <v>14</v>
      </c>
      <c r="Z72" s="5">
        <f t="shared" si="7"/>
        <v>15</v>
      </c>
      <c r="AA72" s="5">
        <v>0</v>
      </c>
      <c r="AB72" s="5">
        <v>0</v>
      </c>
      <c r="AC72" s="5">
        <v>0</v>
      </c>
      <c r="AD72" s="5">
        <v>0</v>
      </c>
      <c r="AE72" s="5">
        <v>1</v>
      </c>
      <c r="AF72" s="5">
        <f t="shared" si="8"/>
        <v>1</v>
      </c>
      <c r="AG72" s="5">
        <v>20</v>
      </c>
      <c r="AH72" s="14">
        <v>1870</v>
      </c>
      <c r="AI72" s="8">
        <f>241958015+12462084+12765784+105249914+4020515+5688202+56568993+18829997+30705957+147807719+24642891+56817341+50182898</f>
        <v>767700310</v>
      </c>
      <c r="AJ72" s="8">
        <f>AI72+125325277+89385210</f>
        <v>982410797</v>
      </c>
      <c r="AK72" s="8">
        <v>1167418643</v>
      </c>
      <c r="AL72" s="8">
        <v>114301003</v>
      </c>
      <c r="AM72" s="8">
        <v>1533441151</v>
      </c>
      <c r="AN72" s="9">
        <f t="shared" si="9"/>
        <v>0.76130645263999441</v>
      </c>
      <c r="AO72" s="10">
        <v>1</v>
      </c>
    </row>
    <row r="73" spans="1:41" ht="14.4" customHeight="1" x14ac:dyDescent="0.3">
      <c r="A73" s="34">
        <v>89</v>
      </c>
      <c r="B73" s="5">
        <v>2</v>
      </c>
      <c r="C73" s="11">
        <v>1</v>
      </c>
      <c r="D73" s="5">
        <v>5</v>
      </c>
      <c r="E73" s="4">
        <v>2</v>
      </c>
      <c r="F73" s="4">
        <v>0</v>
      </c>
      <c r="G73" s="4">
        <v>2</v>
      </c>
      <c r="H73" s="4">
        <v>0</v>
      </c>
      <c r="I73" s="4">
        <v>1</v>
      </c>
      <c r="J73" s="5">
        <v>0</v>
      </c>
      <c r="K73" s="5">
        <v>0</v>
      </c>
      <c r="L73" s="5">
        <v>0</v>
      </c>
      <c r="M73" s="5">
        <v>1</v>
      </c>
      <c r="N73" s="5">
        <v>0</v>
      </c>
      <c r="O73" s="5">
        <v>5</v>
      </c>
      <c r="P73" s="5">
        <v>0</v>
      </c>
      <c r="Q73" s="5">
        <v>0</v>
      </c>
      <c r="R73" s="5">
        <v>0</v>
      </c>
      <c r="S73" s="5">
        <v>0</v>
      </c>
      <c r="T73" s="5">
        <v>1</v>
      </c>
      <c r="U73" s="5">
        <f t="shared" si="5"/>
        <v>1</v>
      </c>
      <c r="V73" s="5">
        <v>1</v>
      </c>
      <c r="W73" s="5">
        <v>2</v>
      </c>
      <c r="X73" s="5">
        <v>0</v>
      </c>
      <c r="Y73" s="5">
        <f t="shared" si="6"/>
        <v>3</v>
      </c>
      <c r="Z73" s="5">
        <f t="shared" si="7"/>
        <v>4</v>
      </c>
      <c r="AA73" s="5">
        <v>0</v>
      </c>
      <c r="AB73" s="5">
        <v>0</v>
      </c>
      <c r="AC73" s="5">
        <v>1</v>
      </c>
      <c r="AD73" s="5">
        <v>0</v>
      </c>
      <c r="AE73" s="5">
        <v>0</v>
      </c>
      <c r="AF73" s="5">
        <f t="shared" si="8"/>
        <v>1</v>
      </c>
      <c r="AG73" s="5">
        <v>18</v>
      </c>
      <c r="AH73" s="14">
        <v>7</v>
      </c>
      <c r="AI73" s="8">
        <f>209869</f>
        <v>209869</v>
      </c>
      <c r="AJ73" s="8">
        <f>AI73+105208+14815</f>
        <v>329892</v>
      </c>
      <c r="AK73" s="8">
        <v>5407</v>
      </c>
      <c r="AL73" s="8">
        <v>4370</v>
      </c>
      <c r="AM73" s="8">
        <v>4362867</v>
      </c>
      <c r="AN73" s="9">
        <f t="shared" si="9"/>
        <v>1.2393226747457577E-3</v>
      </c>
      <c r="AO73" s="10">
        <v>2</v>
      </c>
    </row>
    <row r="74" spans="1:41" ht="14.4" customHeight="1" x14ac:dyDescent="0.3">
      <c r="A74" s="34">
        <v>90</v>
      </c>
      <c r="B74" s="5">
        <v>2</v>
      </c>
      <c r="C74" s="6">
        <v>3</v>
      </c>
      <c r="D74" s="5">
        <v>9</v>
      </c>
      <c r="E74" s="4">
        <v>2</v>
      </c>
      <c r="F74" s="4">
        <v>1</v>
      </c>
      <c r="G74" s="4">
        <v>5</v>
      </c>
      <c r="H74" s="4">
        <v>1</v>
      </c>
      <c r="I74" s="4">
        <v>0</v>
      </c>
      <c r="J74" s="5">
        <v>0</v>
      </c>
      <c r="K74" s="5">
        <v>0</v>
      </c>
      <c r="L74" s="5">
        <v>1</v>
      </c>
      <c r="M74" s="5">
        <v>0</v>
      </c>
      <c r="N74" s="5">
        <v>1</v>
      </c>
      <c r="O74" s="5">
        <v>8</v>
      </c>
      <c r="P74" s="5">
        <v>0</v>
      </c>
      <c r="Q74" s="5">
        <v>0</v>
      </c>
      <c r="R74" s="5">
        <v>1</v>
      </c>
      <c r="S74" s="5">
        <v>0</v>
      </c>
      <c r="T74" s="5">
        <v>0</v>
      </c>
      <c r="U74" s="5">
        <f t="shared" si="5"/>
        <v>1</v>
      </c>
      <c r="V74" s="5">
        <v>1</v>
      </c>
      <c r="W74" s="5">
        <v>5</v>
      </c>
      <c r="X74" s="5">
        <v>1</v>
      </c>
      <c r="Y74" s="5">
        <f t="shared" si="6"/>
        <v>7</v>
      </c>
      <c r="Z74" s="5">
        <f t="shared" si="7"/>
        <v>8</v>
      </c>
      <c r="AA74" s="5">
        <v>0</v>
      </c>
      <c r="AB74" s="5">
        <v>0</v>
      </c>
      <c r="AC74" s="5">
        <v>1</v>
      </c>
      <c r="AD74" s="5">
        <v>0</v>
      </c>
      <c r="AE74" s="5">
        <v>0</v>
      </c>
      <c r="AF74" s="5">
        <f t="shared" si="8"/>
        <v>1</v>
      </c>
      <c r="AG74" s="5">
        <v>25</v>
      </c>
      <c r="AH74" s="14">
        <v>176</v>
      </c>
      <c r="AI74" s="8">
        <f>1060858+1907871+74110</f>
        <v>3042839</v>
      </c>
      <c r="AJ74" s="8">
        <f>AI74+205667</f>
        <v>3248506</v>
      </c>
      <c r="AK74" s="8">
        <v>8366641</v>
      </c>
      <c r="AL74" s="8">
        <v>2146927</v>
      </c>
      <c r="AM74" s="8">
        <v>22991158</v>
      </c>
      <c r="AN74" s="9">
        <f t="shared" si="9"/>
        <v>0.36390689846940288</v>
      </c>
      <c r="AO74" s="10">
        <v>1</v>
      </c>
    </row>
    <row r="75" spans="1:41" ht="14.4" customHeight="1" x14ac:dyDescent="0.3">
      <c r="A75" s="34">
        <v>91</v>
      </c>
      <c r="B75" s="5">
        <v>2</v>
      </c>
      <c r="C75" s="11">
        <v>2</v>
      </c>
      <c r="D75" s="5">
        <v>11</v>
      </c>
      <c r="E75" s="4">
        <v>6</v>
      </c>
      <c r="F75" s="4">
        <v>0</v>
      </c>
      <c r="G75" s="4">
        <v>2</v>
      </c>
      <c r="H75" s="4">
        <v>0</v>
      </c>
      <c r="I75" s="4">
        <v>3</v>
      </c>
      <c r="J75" s="5">
        <v>1</v>
      </c>
      <c r="K75" s="5">
        <v>0</v>
      </c>
      <c r="L75" s="5">
        <v>0</v>
      </c>
      <c r="M75" s="5">
        <v>0</v>
      </c>
      <c r="N75" s="5">
        <v>0</v>
      </c>
      <c r="O75" s="5">
        <v>11</v>
      </c>
      <c r="P75" s="5">
        <v>2</v>
      </c>
      <c r="Q75" s="5">
        <v>0</v>
      </c>
      <c r="R75" s="5">
        <v>0</v>
      </c>
      <c r="S75" s="5">
        <v>0</v>
      </c>
      <c r="T75" s="5">
        <v>1</v>
      </c>
      <c r="U75" s="5">
        <f t="shared" si="5"/>
        <v>3</v>
      </c>
      <c r="V75" s="5">
        <v>1</v>
      </c>
      <c r="W75" s="5">
        <v>6</v>
      </c>
      <c r="X75" s="5">
        <v>0</v>
      </c>
      <c r="Y75" s="5">
        <f t="shared" si="6"/>
        <v>7</v>
      </c>
      <c r="Z75" s="5">
        <f t="shared" si="7"/>
        <v>10</v>
      </c>
      <c r="AA75" s="5">
        <v>0</v>
      </c>
      <c r="AB75" s="5">
        <v>0</v>
      </c>
      <c r="AC75" s="5">
        <v>0</v>
      </c>
      <c r="AD75" s="5">
        <v>0</v>
      </c>
      <c r="AE75" s="5">
        <v>1</v>
      </c>
      <c r="AF75" s="5">
        <f t="shared" si="8"/>
        <v>1</v>
      </c>
      <c r="AG75" s="5">
        <v>49</v>
      </c>
      <c r="AH75" s="14">
        <v>64</v>
      </c>
      <c r="AI75" s="8">
        <f>12678+28060+276601</f>
        <v>317339</v>
      </c>
      <c r="AJ75" s="8">
        <f>AI75+571933+10915</f>
        <v>900187</v>
      </c>
      <c r="AK75" s="8">
        <v>4149917</v>
      </c>
      <c r="AL75" s="8">
        <v>422783</v>
      </c>
      <c r="AM75" s="8">
        <v>4992912</v>
      </c>
      <c r="AN75" s="9">
        <f t="shared" si="9"/>
        <v>0.83116165476179027</v>
      </c>
      <c r="AO75" s="10">
        <v>2</v>
      </c>
    </row>
    <row r="76" spans="1:41" ht="14.4" customHeight="1" x14ac:dyDescent="0.3">
      <c r="A76" s="34">
        <v>92</v>
      </c>
      <c r="B76" s="5">
        <v>2</v>
      </c>
      <c r="C76" s="6">
        <v>2</v>
      </c>
      <c r="D76" s="5">
        <v>10</v>
      </c>
      <c r="E76" s="4">
        <v>5</v>
      </c>
      <c r="F76" s="4">
        <v>1</v>
      </c>
      <c r="G76" s="4">
        <v>2</v>
      </c>
      <c r="H76" s="4">
        <v>0</v>
      </c>
      <c r="I76" s="4">
        <v>2</v>
      </c>
      <c r="J76" s="5">
        <v>1</v>
      </c>
      <c r="K76" s="5">
        <v>0</v>
      </c>
      <c r="L76" s="5">
        <v>0</v>
      </c>
      <c r="M76" s="5">
        <v>0</v>
      </c>
      <c r="N76" s="5">
        <v>4</v>
      </c>
      <c r="O76" s="5">
        <v>6</v>
      </c>
      <c r="P76" s="5">
        <v>0</v>
      </c>
      <c r="Q76" s="5">
        <v>0</v>
      </c>
      <c r="R76" s="5">
        <v>1</v>
      </c>
      <c r="S76" s="5">
        <v>0</v>
      </c>
      <c r="T76" s="5">
        <v>0</v>
      </c>
      <c r="U76" s="5">
        <f t="shared" si="5"/>
        <v>1</v>
      </c>
      <c r="V76" s="5">
        <v>1</v>
      </c>
      <c r="W76" s="5">
        <v>6</v>
      </c>
      <c r="X76" s="5">
        <v>1</v>
      </c>
      <c r="Y76" s="5">
        <f t="shared" si="6"/>
        <v>8</v>
      </c>
      <c r="Z76" s="5">
        <f t="shared" si="7"/>
        <v>9</v>
      </c>
      <c r="AA76" s="5">
        <v>0</v>
      </c>
      <c r="AB76" s="5">
        <v>0</v>
      </c>
      <c r="AC76" s="5">
        <v>0</v>
      </c>
      <c r="AD76" s="5">
        <v>0</v>
      </c>
      <c r="AE76" s="5">
        <v>1</v>
      </c>
      <c r="AF76" s="5">
        <f t="shared" si="8"/>
        <v>1</v>
      </c>
      <c r="AG76" s="5">
        <v>47</v>
      </c>
      <c r="AH76" s="14">
        <v>566</v>
      </c>
      <c r="AI76" s="8">
        <f>16338+61205+829637+2044961</f>
        <v>2952141</v>
      </c>
      <c r="AJ76" s="8">
        <f>AI76+222811+923836</f>
        <v>4098788</v>
      </c>
      <c r="AK76" s="8">
        <v>27487788</v>
      </c>
      <c r="AL76" s="8">
        <v>3660734</v>
      </c>
      <c r="AM76" s="8">
        <v>30270429</v>
      </c>
      <c r="AN76" s="9">
        <f t="shared" si="9"/>
        <v>0.90807394900151561</v>
      </c>
      <c r="AO76" s="10">
        <v>2</v>
      </c>
    </row>
    <row r="77" spans="1:41" ht="14.4" customHeight="1" x14ac:dyDescent="0.3">
      <c r="A77" s="34">
        <v>93</v>
      </c>
      <c r="B77" s="5">
        <v>2</v>
      </c>
      <c r="C77" s="11">
        <v>3</v>
      </c>
      <c r="D77" s="5">
        <v>6</v>
      </c>
      <c r="E77" s="4">
        <v>0</v>
      </c>
      <c r="F77" s="4">
        <v>1</v>
      </c>
      <c r="G77" s="4">
        <v>3</v>
      </c>
      <c r="H77" s="4">
        <v>0</v>
      </c>
      <c r="I77" s="4">
        <v>2</v>
      </c>
      <c r="J77" s="5">
        <v>0</v>
      </c>
      <c r="K77" s="5">
        <v>0</v>
      </c>
      <c r="L77" s="5">
        <v>1</v>
      </c>
      <c r="M77" s="5">
        <v>0</v>
      </c>
      <c r="N77" s="5">
        <v>3</v>
      </c>
      <c r="O77" s="5">
        <v>3</v>
      </c>
      <c r="P77" s="5">
        <v>0</v>
      </c>
      <c r="Q77" s="5">
        <v>0</v>
      </c>
      <c r="R77" s="5">
        <v>1</v>
      </c>
      <c r="S77" s="5">
        <v>0</v>
      </c>
      <c r="T77" s="5">
        <v>0</v>
      </c>
      <c r="U77" s="5">
        <f t="shared" si="5"/>
        <v>1</v>
      </c>
      <c r="V77" s="5">
        <v>1</v>
      </c>
      <c r="W77" s="5">
        <v>2</v>
      </c>
      <c r="X77" s="5">
        <v>1</v>
      </c>
      <c r="Y77" s="5">
        <f t="shared" si="6"/>
        <v>4</v>
      </c>
      <c r="Z77" s="5">
        <f t="shared" si="7"/>
        <v>5</v>
      </c>
      <c r="AA77" s="5">
        <v>0</v>
      </c>
      <c r="AB77" s="5">
        <v>1</v>
      </c>
      <c r="AC77" s="5">
        <v>0</v>
      </c>
      <c r="AD77" s="5">
        <v>0</v>
      </c>
      <c r="AE77" s="5">
        <v>0</v>
      </c>
      <c r="AF77" s="5">
        <f t="shared" si="8"/>
        <v>1</v>
      </c>
      <c r="AG77" s="5">
        <v>71</v>
      </c>
      <c r="AH77" s="14">
        <v>119</v>
      </c>
      <c r="AI77" s="8">
        <f>486958+173996+305261+30580+3983</f>
        <v>1000778</v>
      </c>
      <c r="AJ77" s="8">
        <f>AI77+893165+45279</f>
        <v>1939222</v>
      </c>
      <c r="AK77" s="8">
        <v>6067675</v>
      </c>
      <c r="AL77" s="8">
        <v>3314554</v>
      </c>
      <c r="AM77" s="8">
        <v>8425641</v>
      </c>
      <c r="AN77" s="9">
        <f t="shared" si="9"/>
        <v>0.72014402227676211</v>
      </c>
      <c r="AO77" s="10">
        <v>2</v>
      </c>
    </row>
    <row r="78" spans="1:41" ht="14.4" customHeight="1" x14ac:dyDescent="0.3">
      <c r="A78" s="33">
        <v>94</v>
      </c>
      <c r="B78" s="5">
        <v>2</v>
      </c>
      <c r="C78" s="6">
        <v>3</v>
      </c>
      <c r="D78" s="5">
        <v>12</v>
      </c>
      <c r="E78" s="4">
        <v>0</v>
      </c>
      <c r="F78" s="4">
        <v>9</v>
      </c>
      <c r="G78" s="4">
        <v>2</v>
      </c>
      <c r="H78" s="4">
        <v>1</v>
      </c>
      <c r="I78" s="4">
        <v>0</v>
      </c>
      <c r="J78" s="5">
        <v>0</v>
      </c>
      <c r="K78" s="5">
        <v>1</v>
      </c>
      <c r="L78" s="5">
        <v>0</v>
      </c>
      <c r="M78" s="5">
        <v>0</v>
      </c>
      <c r="N78" s="5">
        <v>3</v>
      </c>
      <c r="O78" s="5">
        <v>9</v>
      </c>
      <c r="P78" s="5">
        <v>0</v>
      </c>
      <c r="Q78" s="5">
        <v>1</v>
      </c>
      <c r="R78" s="5">
        <v>0</v>
      </c>
      <c r="S78" s="5">
        <v>0</v>
      </c>
      <c r="T78" s="5">
        <v>0</v>
      </c>
      <c r="U78" s="5">
        <f t="shared" si="5"/>
        <v>1</v>
      </c>
      <c r="V78" s="5">
        <v>3</v>
      </c>
      <c r="W78" s="5">
        <v>6</v>
      </c>
      <c r="X78" s="5">
        <v>1</v>
      </c>
      <c r="Y78" s="5">
        <f t="shared" si="6"/>
        <v>10</v>
      </c>
      <c r="Z78" s="5">
        <f t="shared" si="7"/>
        <v>11</v>
      </c>
      <c r="AA78" s="5">
        <v>0</v>
      </c>
      <c r="AB78" s="5">
        <v>1</v>
      </c>
      <c r="AC78" s="5">
        <v>0</v>
      </c>
      <c r="AD78" s="5">
        <v>0</v>
      </c>
      <c r="AE78" s="5">
        <v>0</v>
      </c>
      <c r="AF78" s="5">
        <f t="shared" si="8"/>
        <v>1</v>
      </c>
      <c r="AG78" s="5">
        <v>63</v>
      </c>
      <c r="AH78" s="14">
        <v>166</v>
      </c>
      <c r="AI78" s="8">
        <f>377227+375205+32465</f>
        <v>784897</v>
      </c>
      <c r="AJ78" s="8">
        <f>AI78+108942+84292</f>
        <v>978131</v>
      </c>
      <c r="AK78" s="8">
        <v>2371311</v>
      </c>
      <c r="AL78" s="8">
        <v>73792</v>
      </c>
      <c r="AM78" s="8">
        <v>2753800</v>
      </c>
      <c r="AN78" s="9">
        <f t="shared" si="9"/>
        <v>0.86110501851986343</v>
      </c>
      <c r="AO78" s="10">
        <v>2</v>
      </c>
    </row>
    <row r="79" spans="1:41" ht="14.4" customHeight="1" x14ac:dyDescent="0.3">
      <c r="A79" s="34">
        <v>95</v>
      </c>
      <c r="B79" s="5">
        <v>2</v>
      </c>
      <c r="C79" s="11">
        <v>3</v>
      </c>
      <c r="D79" s="5">
        <v>11</v>
      </c>
      <c r="E79" s="4">
        <v>1</v>
      </c>
      <c r="F79" s="4">
        <v>2</v>
      </c>
      <c r="G79" s="4">
        <v>2</v>
      </c>
      <c r="H79" s="4">
        <v>6</v>
      </c>
      <c r="I79" s="4">
        <v>0</v>
      </c>
      <c r="J79" s="5">
        <v>0</v>
      </c>
      <c r="K79" s="5">
        <v>0</v>
      </c>
      <c r="L79" s="5">
        <v>0</v>
      </c>
      <c r="M79" s="5">
        <v>1</v>
      </c>
      <c r="N79" s="5">
        <v>4</v>
      </c>
      <c r="O79" s="5">
        <v>7</v>
      </c>
      <c r="P79" s="5">
        <v>0</v>
      </c>
      <c r="Q79" s="5">
        <v>0</v>
      </c>
      <c r="R79" s="5">
        <v>0</v>
      </c>
      <c r="S79" s="5">
        <v>1</v>
      </c>
      <c r="T79" s="5">
        <v>0</v>
      </c>
      <c r="U79" s="5">
        <f t="shared" si="5"/>
        <v>1</v>
      </c>
      <c r="V79" s="5">
        <v>2</v>
      </c>
      <c r="W79" s="5">
        <v>5</v>
      </c>
      <c r="X79" s="5">
        <v>1</v>
      </c>
      <c r="Y79" s="5">
        <f t="shared" si="6"/>
        <v>8</v>
      </c>
      <c r="Z79" s="5">
        <f t="shared" si="7"/>
        <v>9</v>
      </c>
      <c r="AA79" s="5">
        <v>0</v>
      </c>
      <c r="AB79" s="5">
        <v>0</v>
      </c>
      <c r="AC79" s="5">
        <v>0</v>
      </c>
      <c r="AD79" s="5">
        <v>2</v>
      </c>
      <c r="AE79" s="5">
        <v>0</v>
      </c>
      <c r="AF79" s="5">
        <f t="shared" si="8"/>
        <v>2</v>
      </c>
      <c r="AG79" s="5">
        <v>50</v>
      </c>
      <c r="AH79" s="14">
        <v>214</v>
      </c>
      <c r="AI79" s="8">
        <f>3937318+5505758+3512569+15274+68+2874</f>
        <v>12973861</v>
      </c>
      <c r="AJ79" s="8">
        <f>AI79+18979</f>
        <v>12992840</v>
      </c>
      <c r="AK79" s="8">
        <v>19759872</v>
      </c>
      <c r="AL79" s="8">
        <v>8095230</v>
      </c>
      <c r="AM79" s="8">
        <v>25660545</v>
      </c>
      <c r="AN79" s="9">
        <f t="shared" si="9"/>
        <v>0.77004880449733237</v>
      </c>
      <c r="AO79" s="10">
        <v>1</v>
      </c>
    </row>
    <row r="80" spans="1:41" ht="14.4" customHeight="1" x14ac:dyDescent="0.3">
      <c r="A80" s="34">
        <v>96</v>
      </c>
      <c r="B80" s="5">
        <v>2</v>
      </c>
      <c r="C80" s="6">
        <v>2</v>
      </c>
      <c r="D80" s="5">
        <v>8</v>
      </c>
      <c r="E80" s="4">
        <v>0</v>
      </c>
      <c r="F80" s="4">
        <v>1</v>
      </c>
      <c r="G80" s="4">
        <v>2</v>
      </c>
      <c r="H80" s="4">
        <v>1</v>
      </c>
      <c r="I80" s="4">
        <v>4</v>
      </c>
      <c r="J80" s="5">
        <v>0</v>
      </c>
      <c r="K80" s="5">
        <v>0</v>
      </c>
      <c r="L80" s="5">
        <v>0</v>
      </c>
      <c r="M80" s="5">
        <v>1</v>
      </c>
      <c r="N80" s="5">
        <v>1</v>
      </c>
      <c r="O80" s="5">
        <v>7</v>
      </c>
      <c r="P80" s="5">
        <v>0</v>
      </c>
      <c r="Q80" s="5">
        <v>1</v>
      </c>
      <c r="R80" s="5">
        <v>0</v>
      </c>
      <c r="S80" s="5">
        <v>0</v>
      </c>
      <c r="T80" s="5">
        <v>0</v>
      </c>
      <c r="U80" s="5">
        <f t="shared" si="5"/>
        <v>1</v>
      </c>
      <c r="V80" s="5">
        <v>2</v>
      </c>
      <c r="W80" s="5">
        <v>2</v>
      </c>
      <c r="X80" s="5">
        <v>2</v>
      </c>
      <c r="Y80" s="5">
        <f t="shared" si="6"/>
        <v>6</v>
      </c>
      <c r="Z80" s="5">
        <f t="shared" si="7"/>
        <v>7</v>
      </c>
      <c r="AA80" s="5">
        <v>0</v>
      </c>
      <c r="AB80" s="5">
        <v>0</v>
      </c>
      <c r="AC80" s="5">
        <v>0</v>
      </c>
      <c r="AD80" s="5">
        <v>0</v>
      </c>
      <c r="AE80" s="5">
        <v>1</v>
      </c>
      <c r="AF80" s="5">
        <f t="shared" si="8"/>
        <v>1</v>
      </c>
      <c r="AG80" s="5">
        <v>51</v>
      </c>
      <c r="AH80" s="14">
        <v>2219</v>
      </c>
      <c r="AI80" s="8">
        <f>46076786+1000795</f>
        <v>47077581</v>
      </c>
      <c r="AJ80" s="8">
        <f>AI80+2267094+25440711</f>
        <v>74785386</v>
      </c>
      <c r="AK80" s="8">
        <v>284035255</v>
      </c>
      <c r="AL80" s="8">
        <v>4242013</v>
      </c>
      <c r="AM80" s="8">
        <v>193374314</v>
      </c>
      <c r="AN80" s="9">
        <f t="shared" si="9"/>
        <v>1.4688365229313756</v>
      </c>
      <c r="AO80" s="10">
        <v>2</v>
      </c>
    </row>
    <row r="81" spans="1:41" ht="14.4" customHeight="1" x14ac:dyDescent="0.3">
      <c r="A81" s="34">
        <v>97</v>
      </c>
      <c r="B81" s="5">
        <v>2</v>
      </c>
      <c r="C81" s="11">
        <v>3</v>
      </c>
      <c r="D81" s="5">
        <v>7</v>
      </c>
      <c r="E81" s="4">
        <v>2</v>
      </c>
      <c r="F81" s="4">
        <v>1</v>
      </c>
      <c r="G81" s="4">
        <v>1</v>
      </c>
      <c r="H81" s="4">
        <v>3</v>
      </c>
      <c r="I81" s="4">
        <v>0</v>
      </c>
      <c r="J81" s="5">
        <v>0</v>
      </c>
      <c r="K81" s="5">
        <v>0</v>
      </c>
      <c r="L81" s="5">
        <v>0</v>
      </c>
      <c r="M81" s="5">
        <v>1</v>
      </c>
      <c r="N81" s="5">
        <v>1</v>
      </c>
      <c r="O81" s="5">
        <v>6</v>
      </c>
      <c r="P81" s="5">
        <v>0</v>
      </c>
      <c r="Q81" s="5">
        <v>0</v>
      </c>
      <c r="R81" s="5">
        <v>0</v>
      </c>
      <c r="S81" s="5">
        <v>1</v>
      </c>
      <c r="T81" s="5">
        <v>0</v>
      </c>
      <c r="U81" s="5">
        <f t="shared" si="5"/>
        <v>1</v>
      </c>
      <c r="V81" s="5">
        <v>1</v>
      </c>
      <c r="W81" s="5">
        <v>4</v>
      </c>
      <c r="X81" s="5">
        <v>0</v>
      </c>
      <c r="Y81" s="5">
        <f t="shared" si="6"/>
        <v>5</v>
      </c>
      <c r="Z81" s="5">
        <f t="shared" si="7"/>
        <v>6</v>
      </c>
      <c r="AA81" s="5">
        <v>0</v>
      </c>
      <c r="AB81" s="5">
        <v>0</v>
      </c>
      <c r="AC81" s="5">
        <v>0</v>
      </c>
      <c r="AD81" s="5">
        <v>1</v>
      </c>
      <c r="AE81" s="5">
        <v>0</v>
      </c>
      <c r="AF81" s="5">
        <f t="shared" si="8"/>
        <v>1</v>
      </c>
      <c r="AG81" s="5">
        <v>58</v>
      </c>
      <c r="AH81" s="14">
        <v>258</v>
      </c>
      <c r="AI81" s="8">
        <f>1713761+814322+339750+3123291+51892</f>
        <v>6043016</v>
      </c>
      <c r="AJ81" s="8">
        <f>AI81+245968</f>
        <v>6288984</v>
      </c>
      <c r="AK81" s="8">
        <v>1846499</v>
      </c>
      <c r="AL81" s="8">
        <v>183454</v>
      </c>
      <c r="AM81" s="8">
        <v>22689417</v>
      </c>
      <c r="AN81" s="9">
        <f t="shared" si="9"/>
        <v>8.1381509273684732E-2</v>
      </c>
      <c r="AO81" s="10">
        <v>1</v>
      </c>
    </row>
    <row r="82" spans="1:41" ht="14.4" customHeight="1" x14ac:dyDescent="0.3">
      <c r="A82" s="34">
        <v>99</v>
      </c>
      <c r="B82" s="5">
        <v>2</v>
      </c>
      <c r="C82" s="11">
        <v>3</v>
      </c>
      <c r="D82" s="5">
        <v>11</v>
      </c>
      <c r="E82" s="4">
        <v>1</v>
      </c>
      <c r="F82" s="4">
        <v>1</v>
      </c>
      <c r="G82" s="4">
        <v>9</v>
      </c>
      <c r="H82" s="4">
        <v>0</v>
      </c>
      <c r="I82" s="4">
        <v>0</v>
      </c>
      <c r="J82" s="5">
        <v>0</v>
      </c>
      <c r="K82" s="5">
        <v>0</v>
      </c>
      <c r="L82" s="5">
        <v>1</v>
      </c>
      <c r="M82" s="5">
        <v>0</v>
      </c>
      <c r="N82" s="5">
        <v>1</v>
      </c>
      <c r="O82" s="5">
        <v>10</v>
      </c>
      <c r="P82" s="5">
        <v>0</v>
      </c>
      <c r="Q82" s="5">
        <v>0</v>
      </c>
      <c r="R82" s="5">
        <v>1</v>
      </c>
      <c r="S82" s="5">
        <v>0</v>
      </c>
      <c r="T82" s="5">
        <v>0</v>
      </c>
      <c r="U82" s="5">
        <f t="shared" si="5"/>
        <v>1</v>
      </c>
      <c r="V82" s="5">
        <v>2</v>
      </c>
      <c r="W82" s="5">
        <v>6</v>
      </c>
      <c r="X82" s="5">
        <v>1</v>
      </c>
      <c r="Y82" s="5">
        <f t="shared" si="6"/>
        <v>9</v>
      </c>
      <c r="Z82" s="5">
        <f t="shared" si="7"/>
        <v>10</v>
      </c>
      <c r="AA82" s="5">
        <v>0</v>
      </c>
      <c r="AB82" s="5">
        <v>0</v>
      </c>
      <c r="AC82" s="5">
        <v>1</v>
      </c>
      <c r="AD82" s="5">
        <v>0</v>
      </c>
      <c r="AE82" s="5">
        <v>0</v>
      </c>
      <c r="AF82" s="5">
        <f t="shared" si="8"/>
        <v>1</v>
      </c>
      <c r="AG82" s="5">
        <v>15</v>
      </c>
      <c r="AH82" s="14">
        <v>1608</v>
      </c>
      <c r="AI82" s="8">
        <f>2357386</f>
        <v>2357386</v>
      </c>
      <c r="AJ82" s="8">
        <f>AI82+299889+603746</f>
        <v>3261021</v>
      </c>
      <c r="AK82" s="8">
        <v>9570197</v>
      </c>
      <c r="AL82" s="8">
        <v>-97676</v>
      </c>
      <c r="AM82" s="8">
        <v>14559302</v>
      </c>
      <c r="AN82" s="9">
        <f t="shared" si="9"/>
        <v>0.65732526188412055</v>
      </c>
      <c r="AO82" s="10">
        <v>1</v>
      </c>
    </row>
    <row r="83" spans="1:41" ht="14.4" customHeight="1" x14ac:dyDescent="0.3">
      <c r="A83" s="34">
        <v>100</v>
      </c>
      <c r="B83" s="5">
        <v>2</v>
      </c>
      <c r="C83" s="6">
        <v>2</v>
      </c>
      <c r="D83" s="5">
        <v>11</v>
      </c>
      <c r="E83" s="4">
        <v>0</v>
      </c>
      <c r="F83" s="4">
        <v>2</v>
      </c>
      <c r="G83" s="4">
        <v>3</v>
      </c>
      <c r="H83" s="4">
        <v>1</v>
      </c>
      <c r="I83" s="4">
        <v>5</v>
      </c>
      <c r="J83" s="5">
        <v>0</v>
      </c>
      <c r="K83" s="5">
        <v>0</v>
      </c>
      <c r="L83" s="5">
        <v>0</v>
      </c>
      <c r="M83" s="5">
        <v>1</v>
      </c>
      <c r="N83" s="5">
        <v>3</v>
      </c>
      <c r="O83" s="5">
        <v>8</v>
      </c>
      <c r="P83" s="5">
        <v>0</v>
      </c>
      <c r="Q83" s="5">
        <v>0</v>
      </c>
      <c r="R83" s="5">
        <v>1</v>
      </c>
      <c r="S83" s="5">
        <v>0</v>
      </c>
      <c r="T83" s="5">
        <v>0</v>
      </c>
      <c r="U83" s="5">
        <f t="shared" si="5"/>
        <v>1</v>
      </c>
      <c r="V83" s="5">
        <v>1</v>
      </c>
      <c r="W83" s="5">
        <v>8</v>
      </c>
      <c r="X83" s="5">
        <v>0</v>
      </c>
      <c r="Y83" s="5">
        <f t="shared" si="6"/>
        <v>9</v>
      </c>
      <c r="Z83" s="5">
        <f t="shared" si="7"/>
        <v>10</v>
      </c>
      <c r="AA83" s="5">
        <v>0</v>
      </c>
      <c r="AB83" s="5">
        <v>0</v>
      </c>
      <c r="AC83" s="5">
        <v>0</v>
      </c>
      <c r="AD83" s="5">
        <v>0</v>
      </c>
      <c r="AE83" s="5">
        <v>1</v>
      </c>
      <c r="AF83" s="5">
        <f t="shared" si="8"/>
        <v>1</v>
      </c>
      <c r="AG83" s="5">
        <v>74</v>
      </c>
      <c r="AH83" s="14">
        <v>3102</v>
      </c>
      <c r="AI83" s="8">
        <f>77695289+19300932</f>
        <v>96996221</v>
      </c>
      <c r="AJ83" s="8">
        <f>AI83+12188282+7222327</f>
        <v>116406830</v>
      </c>
      <c r="AK83" s="8">
        <v>323002120</v>
      </c>
      <c r="AL83" s="8">
        <v>6358606</v>
      </c>
      <c r="AM83" s="8">
        <v>382262869</v>
      </c>
      <c r="AN83" s="9">
        <f t="shared" si="9"/>
        <v>0.84497382872936055</v>
      </c>
      <c r="AO83" s="10">
        <v>1</v>
      </c>
    </row>
    <row r="84" spans="1:41" ht="14.4" customHeight="1" x14ac:dyDescent="0.3">
      <c r="A84" s="34">
        <v>102</v>
      </c>
      <c r="B84" s="5">
        <v>2</v>
      </c>
      <c r="C84" s="6">
        <v>3</v>
      </c>
      <c r="D84" s="5">
        <v>13</v>
      </c>
      <c r="E84" s="4">
        <v>2</v>
      </c>
      <c r="F84" s="4">
        <v>3</v>
      </c>
      <c r="G84" s="4">
        <v>7</v>
      </c>
      <c r="H84" s="4">
        <v>1</v>
      </c>
      <c r="I84" s="4">
        <v>0</v>
      </c>
      <c r="J84" s="5">
        <v>0</v>
      </c>
      <c r="K84" s="5">
        <v>0</v>
      </c>
      <c r="L84" s="5">
        <v>1</v>
      </c>
      <c r="M84" s="5"/>
      <c r="N84" s="5">
        <v>3</v>
      </c>
      <c r="O84" s="5">
        <v>10</v>
      </c>
      <c r="P84" s="5">
        <v>0</v>
      </c>
      <c r="Q84" s="5">
        <v>0</v>
      </c>
      <c r="R84" s="5">
        <v>1</v>
      </c>
      <c r="S84" s="5">
        <v>0</v>
      </c>
      <c r="T84" s="5">
        <v>0</v>
      </c>
      <c r="U84" s="5">
        <f t="shared" si="5"/>
        <v>1</v>
      </c>
      <c r="V84" s="5">
        <v>6</v>
      </c>
      <c r="W84" s="5">
        <v>2</v>
      </c>
      <c r="X84" s="5">
        <v>1</v>
      </c>
      <c r="Y84" s="5">
        <f t="shared" si="6"/>
        <v>9</v>
      </c>
      <c r="Z84" s="5">
        <f t="shared" si="7"/>
        <v>10</v>
      </c>
      <c r="AA84" s="5">
        <v>1</v>
      </c>
      <c r="AB84" s="5">
        <v>2</v>
      </c>
      <c r="AC84" s="5">
        <v>0</v>
      </c>
      <c r="AD84" s="5">
        <v>0</v>
      </c>
      <c r="AE84" s="5">
        <v>0</v>
      </c>
      <c r="AF84" s="5">
        <f t="shared" si="8"/>
        <v>3</v>
      </c>
      <c r="AG84" s="5">
        <v>60</v>
      </c>
      <c r="AH84" s="14">
        <v>286</v>
      </c>
      <c r="AI84" s="8">
        <v>2760945</v>
      </c>
      <c r="AJ84" s="8">
        <v>7068184</v>
      </c>
      <c r="AK84" s="8">
        <v>4863461</v>
      </c>
      <c r="AL84" s="8">
        <v>4309300</v>
      </c>
      <c r="AM84" s="8">
        <v>22538376</v>
      </c>
      <c r="AN84" s="9">
        <f t="shared" si="9"/>
        <v>0.21578577799926668</v>
      </c>
      <c r="AO84" s="10">
        <v>1</v>
      </c>
    </row>
    <row r="85" spans="1:41" ht="14.4" customHeight="1" x14ac:dyDescent="0.3">
      <c r="A85" s="33">
        <v>103</v>
      </c>
      <c r="B85" s="5">
        <v>2</v>
      </c>
      <c r="C85" s="11">
        <v>2</v>
      </c>
      <c r="D85" s="5">
        <v>14</v>
      </c>
      <c r="E85" s="4">
        <v>1</v>
      </c>
      <c r="F85" s="4">
        <v>1</v>
      </c>
      <c r="G85" s="4">
        <v>1</v>
      </c>
      <c r="H85" s="4">
        <v>7</v>
      </c>
      <c r="I85" s="4">
        <v>4</v>
      </c>
      <c r="J85" s="5">
        <v>0</v>
      </c>
      <c r="K85" s="5">
        <v>0</v>
      </c>
      <c r="L85" s="5">
        <v>0</v>
      </c>
      <c r="M85" s="5">
        <v>1</v>
      </c>
      <c r="N85" s="5">
        <v>1</v>
      </c>
      <c r="O85" s="5">
        <v>13</v>
      </c>
      <c r="P85" s="5">
        <v>1</v>
      </c>
      <c r="Q85" s="5">
        <v>0</v>
      </c>
      <c r="R85" s="5">
        <v>0</v>
      </c>
      <c r="S85" s="5">
        <v>0</v>
      </c>
      <c r="T85" s="5">
        <v>0</v>
      </c>
      <c r="U85" s="5">
        <f t="shared" si="5"/>
        <v>1</v>
      </c>
      <c r="V85" s="5">
        <v>2</v>
      </c>
      <c r="W85" s="5">
        <v>8</v>
      </c>
      <c r="X85" s="5">
        <v>2</v>
      </c>
      <c r="Y85" s="5">
        <f t="shared" si="6"/>
        <v>12</v>
      </c>
      <c r="Z85" s="5">
        <f t="shared" si="7"/>
        <v>13</v>
      </c>
      <c r="AA85" s="5">
        <v>0</v>
      </c>
      <c r="AB85" s="5">
        <v>0</v>
      </c>
      <c r="AC85" s="5">
        <v>0</v>
      </c>
      <c r="AD85" s="5">
        <v>1</v>
      </c>
      <c r="AE85" s="5">
        <v>0</v>
      </c>
      <c r="AF85" s="5">
        <f t="shared" si="8"/>
        <v>1</v>
      </c>
      <c r="AG85" s="5">
        <v>15</v>
      </c>
      <c r="AH85" s="14">
        <v>546</v>
      </c>
      <c r="AI85" s="8">
        <f>6498166+463246</f>
        <v>6961412</v>
      </c>
      <c r="AJ85" s="8">
        <f>AI85+13688691+4499883</f>
        <v>25149986</v>
      </c>
      <c r="AK85" s="8">
        <v>21418883</v>
      </c>
      <c r="AL85" s="8">
        <v>-2627441</v>
      </c>
      <c r="AM85" s="8">
        <v>196627943</v>
      </c>
      <c r="AN85" s="9">
        <f t="shared" si="9"/>
        <v>0.10893102309471854</v>
      </c>
      <c r="AO85" s="10">
        <v>1</v>
      </c>
    </row>
    <row r="86" spans="1:41" ht="14.4" customHeight="1" x14ac:dyDescent="0.3">
      <c r="A86" s="34">
        <v>104</v>
      </c>
      <c r="B86" s="5">
        <v>2</v>
      </c>
      <c r="C86" s="6">
        <v>3</v>
      </c>
      <c r="D86" s="5">
        <v>11</v>
      </c>
      <c r="E86" s="4">
        <v>5</v>
      </c>
      <c r="F86" s="4">
        <v>0</v>
      </c>
      <c r="G86" s="4">
        <v>2</v>
      </c>
      <c r="H86" s="4">
        <v>4</v>
      </c>
      <c r="I86" s="4">
        <v>0</v>
      </c>
      <c r="J86" s="5">
        <v>1</v>
      </c>
      <c r="K86" s="5">
        <v>0</v>
      </c>
      <c r="L86" s="5">
        <v>0</v>
      </c>
      <c r="M86" s="5">
        <v>0</v>
      </c>
      <c r="N86" s="5">
        <v>1</v>
      </c>
      <c r="O86" s="5">
        <v>10</v>
      </c>
      <c r="P86" s="5">
        <v>0</v>
      </c>
      <c r="Q86" s="5">
        <v>0</v>
      </c>
      <c r="R86" s="5">
        <v>0</v>
      </c>
      <c r="S86" s="5">
        <v>1</v>
      </c>
      <c r="T86" s="5">
        <v>0</v>
      </c>
      <c r="U86" s="5">
        <f t="shared" si="5"/>
        <v>1</v>
      </c>
      <c r="V86" s="5">
        <v>2</v>
      </c>
      <c r="W86" s="5">
        <v>4</v>
      </c>
      <c r="X86" s="5">
        <v>3</v>
      </c>
      <c r="Y86" s="5">
        <f t="shared" si="6"/>
        <v>9</v>
      </c>
      <c r="Z86" s="5">
        <f t="shared" si="7"/>
        <v>10</v>
      </c>
      <c r="AA86" s="5">
        <v>0</v>
      </c>
      <c r="AB86" s="5">
        <v>0</v>
      </c>
      <c r="AC86" s="5">
        <v>1</v>
      </c>
      <c r="AD86" s="5">
        <v>0</v>
      </c>
      <c r="AE86" s="5">
        <v>0</v>
      </c>
      <c r="AF86" s="5">
        <f t="shared" si="8"/>
        <v>1</v>
      </c>
      <c r="AG86" s="5">
        <v>27</v>
      </c>
      <c r="AH86" s="14">
        <v>349</v>
      </c>
      <c r="AI86" s="8">
        <f>1818246+229150+1138503</f>
        <v>3185899</v>
      </c>
      <c r="AJ86" s="8">
        <f>AI86+211572</f>
        <v>3397471</v>
      </c>
      <c r="AK86" s="8">
        <v>4447812</v>
      </c>
      <c r="AL86" s="8">
        <v>3128610</v>
      </c>
      <c r="AM86" s="8">
        <v>19583717</v>
      </c>
      <c r="AN86" s="9">
        <f t="shared" si="9"/>
        <v>0.22711786531637482</v>
      </c>
      <c r="AO86" s="10">
        <v>2</v>
      </c>
    </row>
    <row r="87" spans="1:41" ht="14.4" customHeight="1" x14ac:dyDescent="0.3">
      <c r="A87" s="34">
        <v>105</v>
      </c>
      <c r="B87" s="5">
        <v>2</v>
      </c>
      <c r="C87" s="11">
        <v>1</v>
      </c>
      <c r="D87" s="5">
        <v>13</v>
      </c>
      <c r="E87" s="4">
        <v>3</v>
      </c>
      <c r="F87" s="4">
        <v>1</v>
      </c>
      <c r="G87" s="4">
        <v>6</v>
      </c>
      <c r="H87" s="4">
        <v>3</v>
      </c>
      <c r="I87" s="4">
        <v>0</v>
      </c>
      <c r="J87" s="5">
        <v>0</v>
      </c>
      <c r="K87" s="5">
        <v>0</v>
      </c>
      <c r="L87" s="5">
        <v>1</v>
      </c>
      <c r="M87" s="5">
        <v>0</v>
      </c>
      <c r="N87" s="5">
        <v>1</v>
      </c>
      <c r="O87" s="5">
        <v>12</v>
      </c>
      <c r="P87" s="5">
        <v>0</v>
      </c>
      <c r="Q87" s="5">
        <v>0</v>
      </c>
      <c r="R87" s="5">
        <v>1</v>
      </c>
      <c r="S87" s="5">
        <v>0</v>
      </c>
      <c r="T87" s="5">
        <v>0</v>
      </c>
      <c r="U87" s="5">
        <f t="shared" si="5"/>
        <v>1</v>
      </c>
      <c r="V87" s="5">
        <v>3</v>
      </c>
      <c r="W87" s="5">
        <v>4</v>
      </c>
      <c r="X87" s="5">
        <v>3</v>
      </c>
      <c r="Y87" s="5">
        <f t="shared" si="6"/>
        <v>10</v>
      </c>
      <c r="Z87" s="5">
        <f t="shared" si="7"/>
        <v>11</v>
      </c>
      <c r="AA87" s="5">
        <v>0</v>
      </c>
      <c r="AB87" s="5">
        <v>0</v>
      </c>
      <c r="AC87" s="5">
        <v>2</v>
      </c>
      <c r="AD87" s="5">
        <v>0</v>
      </c>
      <c r="AE87" s="5">
        <v>0</v>
      </c>
      <c r="AF87" s="5">
        <f t="shared" si="8"/>
        <v>2</v>
      </c>
      <c r="AG87" s="5">
        <v>51</v>
      </c>
      <c r="AH87" s="14">
        <f>32+28</f>
        <v>60</v>
      </c>
      <c r="AI87" s="8">
        <f>27866166+23243096</f>
        <v>51109262</v>
      </c>
      <c r="AJ87" s="8">
        <f>AI87+21192274+1061835</f>
        <v>73363371</v>
      </c>
      <c r="AK87" s="8">
        <v>424734190</v>
      </c>
      <c r="AL87" s="8">
        <v>1266353</v>
      </c>
      <c r="AM87" s="8">
        <v>223142393</v>
      </c>
      <c r="AN87" s="9">
        <f t="shared" si="9"/>
        <v>1.903422224211784</v>
      </c>
      <c r="AO87" s="10">
        <v>1</v>
      </c>
    </row>
    <row r="88" spans="1:41" ht="14.4" customHeight="1" x14ac:dyDescent="0.3">
      <c r="A88" s="34">
        <v>106</v>
      </c>
      <c r="B88" s="5">
        <v>2</v>
      </c>
      <c r="C88" s="6">
        <v>1</v>
      </c>
      <c r="D88" s="5">
        <v>11</v>
      </c>
      <c r="E88" s="4">
        <v>0</v>
      </c>
      <c r="F88" s="4">
        <v>0</v>
      </c>
      <c r="G88" s="4">
        <v>1</v>
      </c>
      <c r="H88" s="4">
        <v>3</v>
      </c>
      <c r="I88" s="4">
        <v>7</v>
      </c>
      <c r="J88" s="5">
        <v>0</v>
      </c>
      <c r="K88" s="5">
        <v>0</v>
      </c>
      <c r="L88" s="5">
        <v>0</v>
      </c>
      <c r="M88" s="5">
        <v>1</v>
      </c>
      <c r="N88" s="5">
        <v>0</v>
      </c>
      <c r="O88" s="5">
        <v>11</v>
      </c>
      <c r="P88" s="5">
        <v>0</v>
      </c>
      <c r="Q88" s="5">
        <v>0</v>
      </c>
      <c r="R88" s="5">
        <v>1</v>
      </c>
      <c r="S88" s="5">
        <v>0</v>
      </c>
      <c r="T88" s="5">
        <v>0</v>
      </c>
      <c r="U88" s="5">
        <f t="shared" si="5"/>
        <v>1</v>
      </c>
      <c r="V88" s="5">
        <v>1</v>
      </c>
      <c r="W88" s="5">
        <v>7</v>
      </c>
      <c r="X88" s="5">
        <v>1</v>
      </c>
      <c r="Y88" s="5">
        <f t="shared" si="6"/>
        <v>9</v>
      </c>
      <c r="Z88" s="5">
        <f t="shared" si="7"/>
        <v>10</v>
      </c>
      <c r="AA88" s="5">
        <v>0</v>
      </c>
      <c r="AB88" s="5">
        <v>0</v>
      </c>
      <c r="AC88" s="5">
        <v>0</v>
      </c>
      <c r="AD88" s="5">
        <v>0</v>
      </c>
      <c r="AE88" s="5">
        <v>1</v>
      </c>
      <c r="AF88" s="5">
        <f t="shared" si="8"/>
        <v>1</v>
      </c>
      <c r="AG88" s="5">
        <v>41</v>
      </c>
      <c r="AH88" s="14">
        <v>474</v>
      </c>
      <c r="AI88" s="8">
        <f>296029+4325299+3784600+1094367+1325260+369293+3065881</f>
        <v>14260729</v>
      </c>
      <c r="AJ88" s="8">
        <f>AI88+189399+2473550</f>
        <v>16923678</v>
      </c>
      <c r="AK88" s="8">
        <v>18867271</v>
      </c>
      <c r="AL88" s="8">
        <v>2684061</v>
      </c>
      <c r="AM88" s="8">
        <v>43595792</v>
      </c>
      <c r="AN88" s="9">
        <f t="shared" si="9"/>
        <v>0.43277734236368504</v>
      </c>
      <c r="AO88" s="10">
        <v>2</v>
      </c>
    </row>
    <row r="89" spans="1:41" ht="14.4" customHeight="1" x14ac:dyDescent="0.3">
      <c r="A89" s="33">
        <v>108</v>
      </c>
      <c r="B89" s="5">
        <v>2</v>
      </c>
      <c r="C89" s="6">
        <v>2</v>
      </c>
      <c r="D89" s="5">
        <v>7</v>
      </c>
      <c r="E89" s="4">
        <v>0</v>
      </c>
      <c r="F89" s="4">
        <v>0</v>
      </c>
      <c r="G89" s="4">
        <v>0</v>
      </c>
      <c r="H89" s="4">
        <v>0</v>
      </c>
      <c r="I89" s="4">
        <v>7</v>
      </c>
      <c r="J89" s="5">
        <v>0</v>
      </c>
      <c r="K89" s="5">
        <v>0</v>
      </c>
      <c r="L89" s="5">
        <v>0</v>
      </c>
      <c r="M89" s="5">
        <v>1</v>
      </c>
      <c r="N89" s="5">
        <v>3</v>
      </c>
      <c r="O89" s="5">
        <v>4</v>
      </c>
      <c r="P89" s="5">
        <v>0</v>
      </c>
      <c r="Q89" s="5">
        <v>0</v>
      </c>
      <c r="R89" s="5">
        <v>0</v>
      </c>
      <c r="S89" s="5">
        <v>0</v>
      </c>
      <c r="T89" s="5">
        <v>1</v>
      </c>
      <c r="U89" s="5">
        <f t="shared" si="5"/>
        <v>1</v>
      </c>
      <c r="V89" s="5">
        <v>0</v>
      </c>
      <c r="W89" s="5">
        <v>4</v>
      </c>
      <c r="X89" s="5">
        <v>1</v>
      </c>
      <c r="Y89" s="5">
        <f t="shared" si="6"/>
        <v>5</v>
      </c>
      <c r="Z89" s="5">
        <f t="shared" si="7"/>
        <v>6</v>
      </c>
      <c r="AA89" s="5">
        <v>0</v>
      </c>
      <c r="AB89" s="5">
        <v>0</v>
      </c>
      <c r="AC89" s="5">
        <v>0</v>
      </c>
      <c r="AD89" s="5">
        <v>0</v>
      </c>
      <c r="AE89" s="5">
        <v>1</v>
      </c>
      <c r="AF89" s="5">
        <f t="shared" si="8"/>
        <v>1</v>
      </c>
      <c r="AG89" s="5">
        <v>72</v>
      </c>
      <c r="AH89" s="14">
        <v>3986</v>
      </c>
      <c r="AI89" s="8">
        <f>102000000+75700000</f>
        <v>177700000</v>
      </c>
      <c r="AJ89" s="8">
        <f>AI89+7200000+15800000</f>
        <v>200700000</v>
      </c>
      <c r="AK89" s="8">
        <f>689.4*1000000</f>
        <v>689400000</v>
      </c>
      <c r="AL89" s="8">
        <v>53500000</v>
      </c>
      <c r="AM89" s="8">
        <v>947200000</v>
      </c>
      <c r="AN89" s="9">
        <f t="shared" si="9"/>
        <v>0.72782939189189189</v>
      </c>
      <c r="AO89" s="10">
        <v>2</v>
      </c>
    </row>
    <row r="90" spans="1:41" ht="14.4" customHeight="1" x14ac:dyDescent="0.3">
      <c r="A90" s="34">
        <v>109</v>
      </c>
      <c r="B90" s="5">
        <v>2</v>
      </c>
      <c r="C90" s="11">
        <v>3</v>
      </c>
      <c r="D90" s="5">
        <v>8</v>
      </c>
      <c r="E90" s="4">
        <v>0</v>
      </c>
      <c r="F90" s="4">
        <v>2</v>
      </c>
      <c r="G90" s="4">
        <v>2</v>
      </c>
      <c r="H90" s="4">
        <v>4</v>
      </c>
      <c r="I90" s="4">
        <v>0</v>
      </c>
      <c r="J90" s="5">
        <v>0</v>
      </c>
      <c r="K90" s="5">
        <v>0</v>
      </c>
      <c r="L90" s="5">
        <v>0</v>
      </c>
      <c r="M90" s="5">
        <v>1</v>
      </c>
      <c r="N90" s="5">
        <v>0</v>
      </c>
      <c r="O90" s="5">
        <v>8</v>
      </c>
      <c r="P90" s="5">
        <v>0</v>
      </c>
      <c r="Q90" s="5">
        <v>0</v>
      </c>
      <c r="R90" s="5">
        <v>0</v>
      </c>
      <c r="S90" s="5">
        <v>0</v>
      </c>
      <c r="T90" s="5">
        <v>1</v>
      </c>
      <c r="U90" s="5">
        <f t="shared" si="5"/>
        <v>1</v>
      </c>
      <c r="V90" s="5">
        <v>0</v>
      </c>
      <c r="W90" s="5">
        <v>6</v>
      </c>
      <c r="X90" s="5">
        <v>0</v>
      </c>
      <c r="Y90" s="5">
        <f t="shared" si="6"/>
        <v>6</v>
      </c>
      <c r="Z90" s="5">
        <f t="shared" si="7"/>
        <v>7</v>
      </c>
      <c r="AA90" s="5">
        <v>0</v>
      </c>
      <c r="AB90" s="5">
        <v>0</v>
      </c>
      <c r="AC90" s="5">
        <v>1</v>
      </c>
      <c r="AD90" s="5">
        <v>0</v>
      </c>
      <c r="AE90" s="5">
        <v>0</v>
      </c>
      <c r="AF90" s="5">
        <f t="shared" si="8"/>
        <v>1</v>
      </c>
      <c r="AG90" s="5">
        <v>51</v>
      </c>
      <c r="AH90" s="14">
        <v>103</v>
      </c>
      <c r="AI90" s="8">
        <f>87837+444561</f>
        <v>532398</v>
      </c>
      <c r="AJ90" s="8">
        <f>AI90+7451+2423</f>
        <v>542272</v>
      </c>
      <c r="AK90" s="8">
        <v>484574</v>
      </c>
      <c r="AL90" s="8">
        <v>6162</v>
      </c>
      <c r="AM90" s="8">
        <v>2197402</v>
      </c>
      <c r="AN90" s="9">
        <f t="shared" si="9"/>
        <v>0.22052132472801972</v>
      </c>
      <c r="AO90" s="10">
        <v>2</v>
      </c>
    </row>
    <row r="91" spans="1:41" ht="14.4" customHeight="1" x14ac:dyDescent="0.3">
      <c r="A91" s="33">
        <v>110</v>
      </c>
      <c r="B91" s="15">
        <v>0</v>
      </c>
      <c r="C91" s="31">
        <v>2</v>
      </c>
      <c r="D91" s="5">
        <v>7</v>
      </c>
      <c r="E91" s="4">
        <v>1</v>
      </c>
      <c r="F91" s="4">
        <v>1</v>
      </c>
      <c r="G91" s="4">
        <v>5</v>
      </c>
      <c r="H91" s="4">
        <v>0</v>
      </c>
      <c r="I91" s="4">
        <v>0</v>
      </c>
      <c r="J91" s="5">
        <v>0</v>
      </c>
      <c r="K91" s="5">
        <v>0</v>
      </c>
      <c r="L91" s="5">
        <v>1</v>
      </c>
      <c r="M91" s="5">
        <v>0</v>
      </c>
      <c r="N91" s="5">
        <v>3</v>
      </c>
      <c r="O91" s="5">
        <v>4</v>
      </c>
      <c r="P91" s="5">
        <v>0</v>
      </c>
      <c r="Q91" s="5">
        <v>0</v>
      </c>
      <c r="R91" s="5">
        <v>1</v>
      </c>
      <c r="S91" s="5">
        <v>0</v>
      </c>
      <c r="T91" s="5">
        <v>0</v>
      </c>
      <c r="U91" s="5">
        <f t="shared" si="5"/>
        <v>1</v>
      </c>
      <c r="V91" s="5">
        <v>0</v>
      </c>
      <c r="W91" s="5">
        <v>4</v>
      </c>
      <c r="X91" s="5">
        <v>0</v>
      </c>
      <c r="Y91" s="5">
        <f t="shared" si="6"/>
        <v>4</v>
      </c>
      <c r="Z91" s="5">
        <f t="shared" si="7"/>
        <v>5</v>
      </c>
      <c r="AA91" s="5">
        <v>0</v>
      </c>
      <c r="AB91" s="5">
        <v>0</v>
      </c>
      <c r="AC91" s="5">
        <v>2</v>
      </c>
      <c r="AD91" s="5">
        <v>0</v>
      </c>
      <c r="AE91" s="5">
        <v>0</v>
      </c>
      <c r="AF91" s="5">
        <f t="shared" si="8"/>
        <v>2</v>
      </c>
      <c r="AG91" s="18">
        <v>0</v>
      </c>
      <c r="AH91" s="14">
        <v>77</v>
      </c>
      <c r="AI91" s="8">
        <f>859552</f>
        <v>859552</v>
      </c>
      <c r="AJ91" s="8">
        <f>AI91+3868+42301</f>
        <v>905721</v>
      </c>
      <c r="AK91" s="8">
        <v>2610178</v>
      </c>
      <c r="AL91" s="8">
        <v>279749</v>
      </c>
      <c r="AM91" s="8">
        <v>2254911</v>
      </c>
      <c r="AN91" s="9">
        <f t="shared" si="9"/>
        <v>1.1575525597240868</v>
      </c>
      <c r="AO91" s="10">
        <v>2</v>
      </c>
    </row>
    <row r="92" spans="1:41" ht="14.4" customHeight="1" x14ac:dyDescent="0.3">
      <c r="A92" s="33">
        <v>112</v>
      </c>
      <c r="B92" s="5">
        <v>2</v>
      </c>
      <c r="C92" s="11">
        <v>1</v>
      </c>
      <c r="D92" s="5">
        <v>10</v>
      </c>
      <c r="E92" s="4">
        <v>0</v>
      </c>
      <c r="F92" s="4">
        <v>2</v>
      </c>
      <c r="G92" s="4">
        <v>1</v>
      </c>
      <c r="H92" s="4">
        <v>3</v>
      </c>
      <c r="I92" s="4">
        <v>4</v>
      </c>
      <c r="J92" s="5">
        <v>0</v>
      </c>
      <c r="K92" s="5">
        <v>0</v>
      </c>
      <c r="L92" s="5">
        <v>0</v>
      </c>
      <c r="M92" s="5">
        <v>1</v>
      </c>
      <c r="N92" s="5">
        <v>2</v>
      </c>
      <c r="O92" s="5">
        <v>8</v>
      </c>
      <c r="P92" s="5">
        <v>0</v>
      </c>
      <c r="Q92" s="5">
        <v>0</v>
      </c>
      <c r="R92" s="5">
        <v>0</v>
      </c>
      <c r="S92" s="5">
        <v>0</v>
      </c>
      <c r="T92" s="5">
        <v>1</v>
      </c>
      <c r="U92" s="5">
        <f t="shared" si="5"/>
        <v>1</v>
      </c>
      <c r="V92" s="5">
        <v>2</v>
      </c>
      <c r="W92" s="5">
        <v>2</v>
      </c>
      <c r="X92" s="5">
        <v>4</v>
      </c>
      <c r="Y92" s="5">
        <f t="shared" si="6"/>
        <v>8</v>
      </c>
      <c r="Z92" s="5">
        <f t="shared" si="7"/>
        <v>9</v>
      </c>
      <c r="AA92" s="5">
        <v>0</v>
      </c>
      <c r="AB92" s="5">
        <v>1</v>
      </c>
      <c r="AC92" s="5">
        <v>0</v>
      </c>
      <c r="AD92" s="5">
        <v>0</v>
      </c>
      <c r="AE92" s="5">
        <v>0</v>
      </c>
      <c r="AF92" s="5">
        <f t="shared" si="8"/>
        <v>1</v>
      </c>
      <c r="AG92" s="5">
        <v>29</v>
      </c>
      <c r="AH92" s="14">
        <v>659</v>
      </c>
      <c r="AI92" s="8">
        <f>6430911+382709</f>
        <v>6813620</v>
      </c>
      <c r="AJ92" s="8">
        <f>AI92+2133709+2220937</f>
        <v>11168266</v>
      </c>
      <c r="AK92" s="8">
        <v>19723641</v>
      </c>
      <c r="AL92" s="8">
        <v>-1158300</v>
      </c>
      <c r="AM92" s="8">
        <v>71009830</v>
      </c>
      <c r="AN92" s="9">
        <f t="shared" si="9"/>
        <v>0.27775930459205439</v>
      </c>
      <c r="AO92" s="10">
        <v>2</v>
      </c>
    </row>
    <row r="93" spans="1:41" ht="14.4" customHeight="1" x14ac:dyDescent="0.3">
      <c r="A93" s="34">
        <v>113</v>
      </c>
      <c r="B93" s="5">
        <v>2</v>
      </c>
      <c r="C93" s="6">
        <v>3</v>
      </c>
      <c r="D93" s="5">
        <v>10</v>
      </c>
      <c r="E93" s="4">
        <v>0</v>
      </c>
      <c r="F93" s="4">
        <v>0</v>
      </c>
      <c r="G93" s="4">
        <v>3</v>
      </c>
      <c r="H93" s="4">
        <v>0</v>
      </c>
      <c r="I93" s="4">
        <v>7</v>
      </c>
      <c r="J93" s="5">
        <v>0</v>
      </c>
      <c r="K93" s="5">
        <v>0</v>
      </c>
      <c r="L93" s="5">
        <v>0</v>
      </c>
      <c r="M93" s="5">
        <v>1</v>
      </c>
      <c r="N93" s="5">
        <v>1</v>
      </c>
      <c r="O93" s="5">
        <v>9</v>
      </c>
      <c r="P93" s="5">
        <v>0</v>
      </c>
      <c r="Q93" s="5">
        <v>0</v>
      </c>
      <c r="R93" s="5">
        <v>1</v>
      </c>
      <c r="S93" s="5">
        <v>0</v>
      </c>
      <c r="T93" s="5">
        <v>0</v>
      </c>
      <c r="U93" s="5">
        <f t="shared" si="5"/>
        <v>1</v>
      </c>
      <c r="V93" s="5">
        <v>0</v>
      </c>
      <c r="W93" s="5">
        <v>6</v>
      </c>
      <c r="X93" s="5">
        <v>1</v>
      </c>
      <c r="Y93" s="5">
        <f t="shared" si="6"/>
        <v>7</v>
      </c>
      <c r="Z93" s="5">
        <f t="shared" si="7"/>
        <v>8</v>
      </c>
      <c r="AA93" s="5">
        <v>0</v>
      </c>
      <c r="AB93" s="5">
        <v>0</v>
      </c>
      <c r="AC93" s="5">
        <v>0</v>
      </c>
      <c r="AD93" s="5">
        <v>0</v>
      </c>
      <c r="AE93" s="5">
        <v>2</v>
      </c>
      <c r="AF93" s="5">
        <f t="shared" si="8"/>
        <v>2</v>
      </c>
      <c r="AG93" s="5">
        <v>50</v>
      </c>
      <c r="AH93" s="14">
        <v>92</v>
      </c>
      <c r="AI93" s="8">
        <f>1438210+935756+832933+35209+715884+19473</f>
        <v>3977465</v>
      </c>
      <c r="AJ93" s="8">
        <f>AI93+5510+77777</f>
        <v>4060752</v>
      </c>
      <c r="AK93" s="8">
        <v>6128662</v>
      </c>
      <c r="AL93" s="8">
        <v>788080</v>
      </c>
      <c r="AM93" s="8">
        <v>13179445</v>
      </c>
      <c r="AN93" s="9">
        <f t="shared" si="9"/>
        <v>0.46501669835110659</v>
      </c>
      <c r="AO93" s="10">
        <v>2</v>
      </c>
    </row>
    <row r="94" spans="1:41" ht="14.4" customHeight="1" x14ac:dyDescent="0.3">
      <c r="A94" s="34">
        <v>114</v>
      </c>
      <c r="B94" s="5">
        <v>2</v>
      </c>
      <c r="C94" s="11">
        <v>3</v>
      </c>
      <c r="D94" s="5">
        <v>8</v>
      </c>
      <c r="E94" s="4">
        <v>1</v>
      </c>
      <c r="F94" s="4">
        <v>1</v>
      </c>
      <c r="G94" s="4">
        <v>6</v>
      </c>
      <c r="H94" s="4">
        <v>0</v>
      </c>
      <c r="I94" s="4">
        <v>0</v>
      </c>
      <c r="J94" s="5">
        <v>0</v>
      </c>
      <c r="K94" s="5">
        <v>0</v>
      </c>
      <c r="L94" s="5">
        <v>1</v>
      </c>
      <c r="M94" s="5">
        <v>0</v>
      </c>
      <c r="N94" s="5">
        <v>3</v>
      </c>
      <c r="O94" s="5">
        <v>5</v>
      </c>
      <c r="P94" s="5">
        <v>0</v>
      </c>
      <c r="Q94" s="5">
        <v>1</v>
      </c>
      <c r="R94" s="5">
        <v>0</v>
      </c>
      <c r="S94" s="5">
        <v>0</v>
      </c>
      <c r="T94" s="5">
        <v>0</v>
      </c>
      <c r="U94" s="5">
        <f t="shared" si="5"/>
        <v>1</v>
      </c>
      <c r="V94" s="5">
        <v>0</v>
      </c>
      <c r="W94" s="5">
        <v>6</v>
      </c>
      <c r="X94" s="5">
        <v>0</v>
      </c>
      <c r="Y94" s="5">
        <f t="shared" si="6"/>
        <v>6</v>
      </c>
      <c r="Z94" s="5">
        <f t="shared" si="7"/>
        <v>7</v>
      </c>
      <c r="AA94" s="5">
        <v>0</v>
      </c>
      <c r="AB94" s="5">
        <v>0</v>
      </c>
      <c r="AC94" s="5">
        <v>1</v>
      </c>
      <c r="AD94" s="5">
        <v>0</v>
      </c>
      <c r="AE94" s="5">
        <v>0</v>
      </c>
      <c r="AF94" s="5">
        <f t="shared" si="8"/>
        <v>1</v>
      </c>
      <c r="AG94" s="5">
        <v>63</v>
      </c>
      <c r="AH94" s="14">
        <v>215</v>
      </c>
      <c r="AI94" s="8">
        <f>348692+1059097</f>
        <v>1407789</v>
      </c>
      <c r="AJ94" s="8">
        <f>AI94+1452380+31874</f>
        <v>2892043</v>
      </c>
      <c r="AK94" s="8">
        <v>6261101</v>
      </c>
      <c r="AL94" s="8">
        <v>-15712766</v>
      </c>
      <c r="AM94" s="8">
        <v>8475993</v>
      </c>
      <c r="AN94" s="9">
        <f t="shared" si="9"/>
        <v>0.73868642883494595</v>
      </c>
      <c r="AO94" s="10">
        <v>1</v>
      </c>
    </row>
    <row r="95" spans="1:41" ht="14.4" customHeight="1" x14ac:dyDescent="0.3">
      <c r="A95" s="34">
        <v>115</v>
      </c>
      <c r="B95" s="5">
        <v>4</v>
      </c>
      <c r="C95" s="6">
        <v>1</v>
      </c>
      <c r="D95" s="5">
        <v>7</v>
      </c>
      <c r="E95" s="4">
        <v>1</v>
      </c>
      <c r="F95" s="4">
        <v>2</v>
      </c>
      <c r="G95" s="4">
        <v>3</v>
      </c>
      <c r="H95" s="4">
        <v>1</v>
      </c>
      <c r="I95" s="4">
        <v>0</v>
      </c>
      <c r="J95" s="5">
        <v>0</v>
      </c>
      <c r="K95" s="5">
        <v>0</v>
      </c>
      <c r="L95" s="5">
        <v>1</v>
      </c>
      <c r="M95" s="5">
        <v>0</v>
      </c>
      <c r="N95" s="5">
        <v>3</v>
      </c>
      <c r="O95" s="5">
        <v>4</v>
      </c>
      <c r="P95" s="5">
        <v>0</v>
      </c>
      <c r="Q95" s="5">
        <v>0</v>
      </c>
      <c r="R95" s="5">
        <v>0</v>
      </c>
      <c r="S95" s="5">
        <v>1</v>
      </c>
      <c r="T95" s="5">
        <v>0</v>
      </c>
      <c r="U95" s="5">
        <f t="shared" si="5"/>
        <v>1</v>
      </c>
      <c r="V95" s="5">
        <v>0</v>
      </c>
      <c r="W95" s="5">
        <v>4</v>
      </c>
      <c r="X95" s="5">
        <v>1</v>
      </c>
      <c r="Y95" s="5">
        <f t="shared" si="6"/>
        <v>5</v>
      </c>
      <c r="Z95" s="5">
        <f t="shared" si="7"/>
        <v>6</v>
      </c>
      <c r="AA95" s="5">
        <v>0</v>
      </c>
      <c r="AB95" s="5">
        <v>0</v>
      </c>
      <c r="AC95" s="5">
        <v>1</v>
      </c>
      <c r="AD95" s="5">
        <v>0</v>
      </c>
      <c r="AE95" s="5">
        <v>0</v>
      </c>
      <c r="AF95" s="5">
        <f t="shared" si="8"/>
        <v>1</v>
      </c>
      <c r="AG95" s="5">
        <v>38</v>
      </c>
      <c r="AH95" s="14">
        <v>13</v>
      </c>
      <c r="AI95" s="8">
        <f>133705+92152</f>
        <v>225857</v>
      </c>
      <c r="AJ95" s="8">
        <f>AI95+14805</f>
        <v>240662</v>
      </c>
      <c r="AK95" s="8">
        <v>4419250</v>
      </c>
      <c r="AL95" s="8">
        <v>545206</v>
      </c>
      <c r="AM95" s="8">
        <v>2033861</v>
      </c>
      <c r="AN95" s="9">
        <f t="shared" si="9"/>
        <v>2.1728377701327672</v>
      </c>
      <c r="AO95" s="10">
        <v>2</v>
      </c>
    </row>
    <row r="96" spans="1:41" ht="14.4" customHeight="1" x14ac:dyDescent="0.3">
      <c r="A96" s="33">
        <v>116</v>
      </c>
      <c r="B96" s="5">
        <v>2</v>
      </c>
      <c r="C96" s="11">
        <v>3</v>
      </c>
      <c r="D96" s="5">
        <v>8</v>
      </c>
      <c r="E96" s="4">
        <v>5</v>
      </c>
      <c r="F96" s="4">
        <v>1</v>
      </c>
      <c r="G96" s="4">
        <v>1</v>
      </c>
      <c r="H96" s="4">
        <v>1</v>
      </c>
      <c r="I96" s="4">
        <v>0</v>
      </c>
      <c r="J96" s="5">
        <v>1</v>
      </c>
      <c r="K96" s="5">
        <v>0</v>
      </c>
      <c r="L96" s="5">
        <v>0</v>
      </c>
      <c r="M96" s="5">
        <v>0</v>
      </c>
      <c r="N96" s="5">
        <v>1</v>
      </c>
      <c r="O96" s="5">
        <v>7</v>
      </c>
      <c r="P96" s="5">
        <v>1</v>
      </c>
      <c r="Q96" s="5">
        <v>0</v>
      </c>
      <c r="R96" s="5">
        <v>0</v>
      </c>
      <c r="S96" s="5">
        <v>0</v>
      </c>
      <c r="T96" s="5">
        <v>0</v>
      </c>
      <c r="U96" s="5">
        <f t="shared" si="5"/>
        <v>1</v>
      </c>
      <c r="V96" s="5">
        <v>2</v>
      </c>
      <c r="W96" s="5">
        <v>4</v>
      </c>
      <c r="X96" s="5">
        <v>0</v>
      </c>
      <c r="Y96" s="5">
        <f t="shared" si="6"/>
        <v>6</v>
      </c>
      <c r="Z96" s="5">
        <f t="shared" si="7"/>
        <v>7</v>
      </c>
      <c r="AA96" s="5">
        <v>0</v>
      </c>
      <c r="AB96" s="5">
        <v>0</v>
      </c>
      <c r="AC96" s="5">
        <v>1</v>
      </c>
      <c r="AD96" s="5">
        <v>0</v>
      </c>
      <c r="AE96" s="5">
        <v>0</v>
      </c>
      <c r="AF96" s="5">
        <f t="shared" si="8"/>
        <v>1</v>
      </c>
      <c r="AG96" s="5">
        <v>28</v>
      </c>
      <c r="AH96" s="14">
        <v>274</v>
      </c>
      <c r="AI96" s="8">
        <f>1354087</f>
        <v>1354087</v>
      </c>
      <c r="AJ96" s="8">
        <f>AI96+243826</f>
        <v>1597913</v>
      </c>
      <c r="AK96" s="8">
        <v>5849869</v>
      </c>
      <c r="AL96" s="8">
        <v>395797</v>
      </c>
      <c r="AM96" s="8">
        <v>4379000</v>
      </c>
      <c r="AN96" s="9">
        <f t="shared" si="9"/>
        <v>1.3358915277460608</v>
      </c>
      <c r="AO96" s="10">
        <v>1</v>
      </c>
    </row>
    <row r="97" spans="1:41" ht="14.4" customHeight="1" x14ac:dyDescent="0.3">
      <c r="A97" s="34">
        <v>117</v>
      </c>
      <c r="B97" s="5">
        <v>2</v>
      </c>
      <c r="C97" s="6">
        <v>3</v>
      </c>
      <c r="D97" s="5">
        <v>7</v>
      </c>
      <c r="E97" s="4">
        <v>2</v>
      </c>
      <c r="F97" s="4">
        <v>0</v>
      </c>
      <c r="G97" s="4">
        <v>3</v>
      </c>
      <c r="H97" s="4">
        <v>2</v>
      </c>
      <c r="I97" s="4">
        <v>0</v>
      </c>
      <c r="J97" s="5">
        <v>0</v>
      </c>
      <c r="K97" s="5">
        <v>0</v>
      </c>
      <c r="L97" s="5">
        <v>1</v>
      </c>
      <c r="M97" s="5">
        <v>0</v>
      </c>
      <c r="N97" s="5">
        <v>0</v>
      </c>
      <c r="O97" s="5">
        <v>7</v>
      </c>
      <c r="P97" s="5">
        <v>2</v>
      </c>
      <c r="Q97" s="5">
        <v>0</v>
      </c>
      <c r="R97" s="5">
        <v>0</v>
      </c>
      <c r="S97" s="5">
        <v>0</v>
      </c>
      <c r="T97" s="5">
        <v>0</v>
      </c>
      <c r="U97" s="5">
        <f t="shared" si="5"/>
        <v>2</v>
      </c>
      <c r="V97" s="5">
        <v>2</v>
      </c>
      <c r="W97" s="5">
        <v>2</v>
      </c>
      <c r="X97" s="5">
        <v>0</v>
      </c>
      <c r="Y97" s="5">
        <f t="shared" si="6"/>
        <v>4</v>
      </c>
      <c r="Z97" s="5">
        <f t="shared" si="7"/>
        <v>6</v>
      </c>
      <c r="AA97" s="5">
        <v>0</v>
      </c>
      <c r="AB97" s="5">
        <v>0</v>
      </c>
      <c r="AC97" s="5">
        <v>1</v>
      </c>
      <c r="AD97" s="5">
        <v>0</v>
      </c>
      <c r="AE97" s="5">
        <v>0</v>
      </c>
      <c r="AF97" s="5">
        <f t="shared" si="8"/>
        <v>1</v>
      </c>
      <c r="AG97" s="5">
        <v>27</v>
      </c>
      <c r="AH97" s="14">
        <v>112</v>
      </c>
      <c r="AI97" s="8">
        <f>738319+584367+117335+364887+568410+5000</f>
        <v>2378318</v>
      </c>
      <c r="AJ97" s="8">
        <f>AI97+188954</f>
        <v>2567272</v>
      </c>
      <c r="AK97" s="8">
        <v>3946287</v>
      </c>
      <c r="AL97" s="8">
        <v>2219991</v>
      </c>
      <c r="AM97" s="8">
        <v>8536393</v>
      </c>
      <c r="AN97" s="9">
        <f t="shared" si="9"/>
        <v>0.46228975165506087</v>
      </c>
      <c r="AO97" s="10">
        <v>1</v>
      </c>
    </row>
    <row r="98" spans="1:41" ht="14.4" customHeight="1" x14ac:dyDescent="0.3">
      <c r="A98" s="34">
        <v>120</v>
      </c>
      <c r="B98" s="5">
        <v>2</v>
      </c>
      <c r="C98" s="11">
        <v>3</v>
      </c>
      <c r="D98" s="5">
        <v>11</v>
      </c>
      <c r="E98" s="4">
        <v>2</v>
      </c>
      <c r="F98" s="4">
        <v>5</v>
      </c>
      <c r="G98" s="4">
        <v>2</v>
      </c>
      <c r="H98" s="4">
        <v>1</v>
      </c>
      <c r="I98" s="4">
        <v>1</v>
      </c>
      <c r="J98" s="5">
        <v>0</v>
      </c>
      <c r="K98" s="5">
        <v>1</v>
      </c>
      <c r="L98" s="5">
        <v>0</v>
      </c>
      <c r="M98" s="5">
        <v>0</v>
      </c>
      <c r="N98" s="5">
        <v>0</v>
      </c>
      <c r="O98" s="5">
        <v>11</v>
      </c>
      <c r="P98" s="5">
        <v>0</v>
      </c>
      <c r="Q98" s="5">
        <v>1</v>
      </c>
      <c r="R98" s="5">
        <v>0</v>
      </c>
      <c r="S98" s="5">
        <v>0</v>
      </c>
      <c r="T98" s="5">
        <v>0</v>
      </c>
      <c r="U98" s="5">
        <f t="shared" si="5"/>
        <v>1</v>
      </c>
      <c r="V98" s="5">
        <v>2</v>
      </c>
      <c r="W98" s="5">
        <v>7</v>
      </c>
      <c r="X98" s="5">
        <v>0</v>
      </c>
      <c r="Y98" s="5">
        <f t="shared" si="6"/>
        <v>9</v>
      </c>
      <c r="Z98" s="5">
        <f t="shared" si="7"/>
        <v>10</v>
      </c>
      <c r="AA98" s="5">
        <v>0</v>
      </c>
      <c r="AB98" s="5">
        <v>0</v>
      </c>
      <c r="AC98" s="5">
        <v>1</v>
      </c>
      <c r="AD98" s="5">
        <v>0</v>
      </c>
      <c r="AE98" s="5">
        <v>0</v>
      </c>
      <c r="AF98" s="5">
        <f t="shared" si="8"/>
        <v>1</v>
      </c>
      <c r="AG98" s="5">
        <v>99</v>
      </c>
      <c r="AH98" s="19">
        <v>161</v>
      </c>
      <c r="AI98" s="8">
        <f>379826</f>
        <v>379826</v>
      </c>
      <c r="AJ98" s="8">
        <f>AI98+35829+7137</f>
        <v>422792</v>
      </c>
      <c r="AK98" s="20">
        <v>0</v>
      </c>
      <c r="AL98" s="8">
        <v>-208529</v>
      </c>
      <c r="AM98" s="8">
        <v>9195662</v>
      </c>
      <c r="AN98" s="9">
        <f t="shared" si="9"/>
        <v>0</v>
      </c>
      <c r="AO98" s="10">
        <v>1</v>
      </c>
    </row>
    <row r="99" spans="1:41" ht="14.4" customHeight="1" x14ac:dyDescent="0.3">
      <c r="A99" s="33">
        <v>121</v>
      </c>
      <c r="B99" s="5">
        <v>2</v>
      </c>
      <c r="C99" s="6">
        <v>2</v>
      </c>
      <c r="D99" s="5">
        <v>10</v>
      </c>
      <c r="E99" s="4">
        <v>0</v>
      </c>
      <c r="F99" s="4">
        <v>0</v>
      </c>
      <c r="G99" s="4">
        <v>0</v>
      </c>
      <c r="H99" s="4">
        <v>1</v>
      </c>
      <c r="I99" s="4">
        <v>9</v>
      </c>
      <c r="J99" s="5">
        <v>0</v>
      </c>
      <c r="K99" s="5">
        <v>0</v>
      </c>
      <c r="L99" s="5">
        <v>0</v>
      </c>
      <c r="M99" s="5">
        <v>1</v>
      </c>
      <c r="N99" s="5">
        <v>0</v>
      </c>
      <c r="O99" s="5">
        <v>10</v>
      </c>
      <c r="P99" s="5">
        <v>0</v>
      </c>
      <c r="Q99" s="5">
        <v>0</v>
      </c>
      <c r="R99" s="5">
        <v>0</v>
      </c>
      <c r="S99" s="5">
        <v>1</v>
      </c>
      <c r="T99" s="5">
        <v>0</v>
      </c>
      <c r="U99" s="5">
        <f t="shared" si="5"/>
        <v>1</v>
      </c>
      <c r="V99" s="5">
        <v>2</v>
      </c>
      <c r="W99" s="5">
        <v>4</v>
      </c>
      <c r="X99" s="5">
        <v>2</v>
      </c>
      <c r="Y99" s="5">
        <f t="shared" si="6"/>
        <v>8</v>
      </c>
      <c r="Z99" s="5">
        <f t="shared" si="7"/>
        <v>9</v>
      </c>
      <c r="AA99" s="5">
        <v>0</v>
      </c>
      <c r="AB99" s="5">
        <v>0</v>
      </c>
      <c r="AC99" s="5">
        <v>0</v>
      </c>
      <c r="AD99" s="5">
        <v>0</v>
      </c>
      <c r="AE99" s="5">
        <v>1</v>
      </c>
      <c r="AF99" s="5">
        <f t="shared" si="8"/>
        <v>1</v>
      </c>
      <c r="AG99" s="5">
        <v>51</v>
      </c>
      <c r="AH99" s="14">
        <v>97</v>
      </c>
      <c r="AI99" s="8">
        <f>75449+1042411</f>
        <v>1117860</v>
      </c>
      <c r="AJ99" s="8">
        <f>AI99+100692</f>
        <v>1218552</v>
      </c>
      <c r="AK99" s="8">
        <v>2852163</v>
      </c>
      <c r="AL99" s="8">
        <v>-507830</v>
      </c>
      <c r="AM99" s="8">
        <v>13541649</v>
      </c>
      <c r="AN99" s="9">
        <f t="shared" si="9"/>
        <v>0.21062154247241233</v>
      </c>
      <c r="AO99" s="10">
        <v>1</v>
      </c>
    </row>
    <row r="100" spans="1:41" ht="14.4" customHeight="1" x14ac:dyDescent="0.3">
      <c r="A100" s="34">
        <v>123</v>
      </c>
      <c r="B100" s="5">
        <v>1</v>
      </c>
      <c r="C100" s="6">
        <v>1</v>
      </c>
      <c r="D100" s="5">
        <v>12</v>
      </c>
      <c r="E100" s="4">
        <v>0</v>
      </c>
      <c r="F100" s="4">
        <v>4</v>
      </c>
      <c r="G100" s="4">
        <v>0</v>
      </c>
      <c r="H100" s="4">
        <v>4</v>
      </c>
      <c r="I100" s="4">
        <v>5</v>
      </c>
      <c r="J100" s="5">
        <v>0</v>
      </c>
      <c r="K100" s="5">
        <v>0</v>
      </c>
      <c r="L100" s="5">
        <v>0</v>
      </c>
      <c r="M100" s="5">
        <v>1</v>
      </c>
      <c r="N100" s="5">
        <v>2</v>
      </c>
      <c r="O100" s="5">
        <v>11</v>
      </c>
      <c r="P100" s="5">
        <v>0</v>
      </c>
      <c r="Q100" s="5">
        <v>1</v>
      </c>
      <c r="R100" s="5">
        <v>0</v>
      </c>
      <c r="S100" s="5">
        <v>0</v>
      </c>
      <c r="T100" s="5">
        <v>0</v>
      </c>
      <c r="U100" s="5">
        <f t="shared" si="5"/>
        <v>1</v>
      </c>
      <c r="V100" s="5">
        <v>2</v>
      </c>
      <c r="W100" s="5">
        <v>3</v>
      </c>
      <c r="X100" s="5">
        <v>6</v>
      </c>
      <c r="Y100" s="5">
        <f t="shared" si="6"/>
        <v>11</v>
      </c>
      <c r="Z100" s="5">
        <f t="shared" si="7"/>
        <v>12</v>
      </c>
      <c r="AA100" s="5">
        <v>0</v>
      </c>
      <c r="AB100" s="5">
        <v>1</v>
      </c>
      <c r="AC100" s="5">
        <v>0</v>
      </c>
      <c r="AD100" s="5">
        <v>0</v>
      </c>
      <c r="AE100" s="5">
        <v>0</v>
      </c>
      <c r="AF100" s="5">
        <f t="shared" si="8"/>
        <v>1</v>
      </c>
      <c r="AG100" s="5">
        <v>11</v>
      </c>
      <c r="AH100" s="14">
        <v>463</v>
      </c>
      <c r="AI100" s="8">
        <f>21675000+14911000</f>
        <v>36586000</v>
      </c>
      <c r="AJ100" s="8">
        <f>AI100+10294000+8939000</f>
        <v>55819000</v>
      </c>
      <c r="AK100" s="8">
        <v>214157000</v>
      </c>
      <c r="AL100" s="8">
        <v>100184000</v>
      </c>
      <c r="AM100" s="8">
        <v>1004233000</v>
      </c>
      <c r="AN100" s="9">
        <f t="shared" si="9"/>
        <v>0.21325429457108061</v>
      </c>
      <c r="AO100" s="10">
        <v>2</v>
      </c>
    </row>
    <row r="101" spans="1:41" ht="14.4" customHeight="1" x14ac:dyDescent="0.3">
      <c r="A101" s="33">
        <v>124</v>
      </c>
      <c r="B101" s="5">
        <v>2</v>
      </c>
      <c r="C101" s="11">
        <v>2</v>
      </c>
      <c r="D101" s="5">
        <v>5</v>
      </c>
      <c r="E101" s="4">
        <v>0</v>
      </c>
      <c r="F101" s="4">
        <v>0</v>
      </c>
      <c r="G101" s="4">
        <v>4</v>
      </c>
      <c r="H101" s="4">
        <v>1</v>
      </c>
      <c r="I101" s="4">
        <v>0</v>
      </c>
      <c r="J101" s="5">
        <v>0</v>
      </c>
      <c r="K101" s="5">
        <v>0</v>
      </c>
      <c r="L101" s="5">
        <v>1</v>
      </c>
      <c r="M101" s="5">
        <v>0</v>
      </c>
      <c r="N101" s="5">
        <v>0</v>
      </c>
      <c r="O101" s="5">
        <v>5</v>
      </c>
      <c r="P101" s="5">
        <v>0</v>
      </c>
      <c r="Q101" s="5">
        <v>0</v>
      </c>
      <c r="R101" s="5">
        <v>1</v>
      </c>
      <c r="S101" s="5">
        <v>0</v>
      </c>
      <c r="T101" s="5">
        <v>0</v>
      </c>
      <c r="U101" s="5">
        <f t="shared" si="5"/>
        <v>1</v>
      </c>
      <c r="V101" s="5">
        <v>1</v>
      </c>
      <c r="W101" s="5">
        <v>2</v>
      </c>
      <c r="X101" s="5">
        <v>0</v>
      </c>
      <c r="Y101" s="5">
        <f t="shared" si="6"/>
        <v>3</v>
      </c>
      <c r="Z101" s="5">
        <f t="shared" si="7"/>
        <v>4</v>
      </c>
      <c r="AA101" s="5">
        <v>0</v>
      </c>
      <c r="AB101" s="5">
        <v>0</v>
      </c>
      <c r="AC101" s="5">
        <v>0</v>
      </c>
      <c r="AD101" s="5">
        <v>1</v>
      </c>
      <c r="AE101" s="5">
        <v>0</v>
      </c>
      <c r="AF101" s="5">
        <f t="shared" si="8"/>
        <v>1</v>
      </c>
      <c r="AG101" s="5">
        <v>0</v>
      </c>
      <c r="AH101" s="14"/>
      <c r="AI101" s="8">
        <v>62049</v>
      </c>
      <c r="AJ101" s="8">
        <f>AI101</f>
        <v>62049</v>
      </c>
      <c r="AK101" s="8">
        <v>224164</v>
      </c>
      <c r="AL101" s="8">
        <v>53605</v>
      </c>
      <c r="AM101" s="8">
        <v>2719889</v>
      </c>
      <c r="AN101" s="9">
        <f t="shared" si="9"/>
        <v>8.2416598618546569E-2</v>
      </c>
      <c r="AO101" s="10">
        <v>2</v>
      </c>
    </row>
    <row r="102" spans="1:41" ht="14.4" customHeight="1" x14ac:dyDescent="0.3">
      <c r="A102" s="34">
        <v>125</v>
      </c>
      <c r="B102" s="5">
        <v>2</v>
      </c>
      <c r="C102" s="6">
        <v>3</v>
      </c>
      <c r="D102" s="5">
        <v>11</v>
      </c>
      <c r="E102" s="4">
        <v>1</v>
      </c>
      <c r="F102" s="4">
        <v>3</v>
      </c>
      <c r="G102" s="4">
        <v>7</v>
      </c>
      <c r="H102" s="4">
        <v>0</v>
      </c>
      <c r="I102" s="4">
        <v>0</v>
      </c>
      <c r="J102" s="5">
        <v>0</v>
      </c>
      <c r="K102" s="5">
        <v>0</v>
      </c>
      <c r="L102" s="5">
        <v>1</v>
      </c>
      <c r="M102" s="5">
        <v>0</v>
      </c>
      <c r="N102" s="5">
        <v>1</v>
      </c>
      <c r="O102" s="5">
        <v>10</v>
      </c>
      <c r="P102" s="5">
        <v>0</v>
      </c>
      <c r="Q102" s="5">
        <v>1</v>
      </c>
      <c r="R102" s="5">
        <v>1</v>
      </c>
      <c r="S102" s="5">
        <v>0</v>
      </c>
      <c r="T102" s="5">
        <v>0</v>
      </c>
      <c r="U102" s="5">
        <f t="shared" si="5"/>
        <v>2</v>
      </c>
      <c r="V102" s="5">
        <v>3</v>
      </c>
      <c r="W102" s="5">
        <v>4</v>
      </c>
      <c r="X102" s="5">
        <v>1</v>
      </c>
      <c r="Y102" s="5">
        <f t="shared" si="6"/>
        <v>8</v>
      </c>
      <c r="Z102" s="5">
        <f t="shared" si="7"/>
        <v>10</v>
      </c>
      <c r="AA102" s="5">
        <v>0</v>
      </c>
      <c r="AB102" s="5">
        <v>0</v>
      </c>
      <c r="AC102" s="5">
        <v>1</v>
      </c>
      <c r="AD102" s="5">
        <v>0</v>
      </c>
      <c r="AE102" s="5">
        <v>0</v>
      </c>
      <c r="AF102" s="5">
        <f t="shared" si="8"/>
        <v>1</v>
      </c>
      <c r="AG102" s="5">
        <v>11</v>
      </c>
      <c r="AH102" s="14">
        <v>1537</v>
      </c>
      <c r="AI102" s="8">
        <f>2580114</f>
        <v>2580114</v>
      </c>
      <c r="AJ102" s="8">
        <f>AI102+259438+98987</f>
        <v>2938539</v>
      </c>
      <c r="AK102" s="8">
        <v>7665990</v>
      </c>
      <c r="AL102" s="8">
        <v>1591829</v>
      </c>
      <c r="AM102" s="8">
        <v>23199569</v>
      </c>
      <c r="AN102" s="9">
        <f t="shared" si="9"/>
        <v>0.33043674216533936</v>
      </c>
      <c r="AO102" s="10">
        <v>2</v>
      </c>
    </row>
    <row r="103" spans="1:41" ht="14.4" customHeight="1" x14ac:dyDescent="0.3">
      <c r="A103" s="33">
        <v>127</v>
      </c>
      <c r="B103" s="5">
        <v>2</v>
      </c>
      <c r="C103" s="6">
        <v>3</v>
      </c>
      <c r="D103" s="5">
        <v>10</v>
      </c>
      <c r="E103" s="4">
        <v>1</v>
      </c>
      <c r="F103" s="4">
        <v>4</v>
      </c>
      <c r="G103" s="4">
        <v>3</v>
      </c>
      <c r="H103" s="4">
        <v>2</v>
      </c>
      <c r="I103" s="4">
        <v>0</v>
      </c>
      <c r="J103" s="5">
        <v>0</v>
      </c>
      <c r="K103" s="5">
        <v>1</v>
      </c>
      <c r="L103" s="5">
        <v>0</v>
      </c>
      <c r="M103" s="5">
        <v>0</v>
      </c>
      <c r="N103" s="5">
        <v>3</v>
      </c>
      <c r="O103" s="5">
        <v>7</v>
      </c>
      <c r="P103" s="5">
        <v>0</v>
      </c>
      <c r="Q103" s="5">
        <v>0</v>
      </c>
      <c r="R103" s="5">
        <v>1</v>
      </c>
      <c r="S103" s="5">
        <v>0</v>
      </c>
      <c r="T103" s="5">
        <v>0</v>
      </c>
      <c r="U103" s="5">
        <f t="shared" si="5"/>
        <v>1</v>
      </c>
      <c r="V103" s="5">
        <v>2</v>
      </c>
      <c r="W103" s="5">
        <v>5</v>
      </c>
      <c r="X103" s="5">
        <v>1</v>
      </c>
      <c r="Y103" s="5">
        <f t="shared" si="6"/>
        <v>8</v>
      </c>
      <c r="Z103" s="5">
        <f t="shared" si="7"/>
        <v>9</v>
      </c>
      <c r="AA103" s="5">
        <v>0</v>
      </c>
      <c r="AB103" s="5">
        <v>0</v>
      </c>
      <c r="AC103" s="5">
        <v>1</v>
      </c>
      <c r="AD103" s="5">
        <v>0</v>
      </c>
      <c r="AE103" s="5">
        <v>0</v>
      </c>
      <c r="AF103" s="5">
        <f t="shared" si="8"/>
        <v>1</v>
      </c>
      <c r="AG103" s="5">
        <v>40</v>
      </c>
      <c r="AH103" s="14">
        <v>176</v>
      </c>
      <c r="AI103" s="8">
        <f>2209130+2608723+12480+1867755</f>
        <v>6698088</v>
      </c>
      <c r="AJ103" s="8">
        <f>AI103+164810</f>
        <v>6862898</v>
      </c>
      <c r="AK103" s="8">
        <v>10879656</v>
      </c>
      <c r="AL103" s="8">
        <v>7151430</v>
      </c>
      <c r="AM103" s="8">
        <v>13418426</v>
      </c>
      <c r="AN103" s="9">
        <f t="shared" si="9"/>
        <v>0.81079971674770202</v>
      </c>
      <c r="AO103" s="10">
        <v>2</v>
      </c>
    </row>
    <row r="104" spans="1:41" ht="14.4" customHeight="1" x14ac:dyDescent="0.3">
      <c r="A104" s="33">
        <v>129</v>
      </c>
      <c r="B104" s="5">
        <v>2</v>
      </c>
      <c r="C104" s="6">
        <v>3</v>
      </c>
      <c r="D104" s="5">
        <v>10</v>
      </c>
      <c r="E104" s="4">
        <v>0</v>
      </c>
      <c r="F104" s="4">
        <v>4</v>
      </c>
      <c r="G104" s="4">
        <v>4</v>
      </c>
      <c r="H104" s="4">
        <v>0</v>
      </c>
      <c r="I104" s="4">
        <v>2</v>
      </c>
      <c r="J104" s="5">
        <v>0</v>
      </c>
      <c r="K104" s="5">
        <v>0</v>
      </c>
      <c r="L104" s="5">
        <v>0</v>
      </c>
      <c r="M104" s="5">
        <v>1</v>
      </c>
      <c r="N104" s="5">
        <v>4</v>
      </c>
      <c r="O104" s="5">
        <v>6</v>
      </c>
      <c r="P104" s="5">
        <v>0</v>
      </c>
      <c r="Q104" s="5">
        <v>0</v>
      </c>
      <c r="R104" s="5">
        <v>1</v>
      </c>
      <c r="S104" s="5">
        <v>0</v>
      </c>
      <c r="T104" s="5">
        <v>0</v>
      </c>
      <c r="U104" s="5">
        <f t="shared" si="5"/>
        <v>1</v>
      </c>
      <c r="V104" s="5">
        <v>1</v>
      </c>
      <c r="W104" s="5">
        <v>5</v>
      </c>
      <c r="X104" s="5">
        <v>2</v>
      </c>
      <c r="Y104" s="5">
        <f t="shared" si="6"/>
        <v>8</v>
      </c>
      <c r="Z104" s="5">
        <f t="shared" si="7"/>
        <v>9</v>
      </c>
      <c r="AA104" s="5">
        <v>0</v>
      </c>
      <c r="AB104" s="5">
        <v>0</v>
      </c>
      <c r="AC104" s="5">
        <v>1</v>
      </c>
      <c r="AD104" s="5">
        <v>0</v>
      </c>
      <c r="AE104" s="5">
        <v>0</v>
      </c>
      <c r="AF104" s="5">
        <f t="shared" si="8"/>
        <v>1</v>
      </c>
      <c r="AG104" s="5">
        <v>8</v>
      </c>
      <c r="AH104" s="14">
        <v>2936</v>
      </c>
      <c r="AI104" s="8">
        <f>4409000+1056000+3353000</f>
        <v>8818000</v>
      </c>
      <c r="AJ104" s="8">
        <f>AI104</f>
        <v>8818000</v>
      </c>
      <c r="AK104" s="8">
        <v>37882000</v>
      </c>
      <c r="AL104" s="8">
        <v>36240000</v>
      </c>
      <c r="AM104" s="8">
        <v>126886000</v>
      </c>
      <c r="AN104" s="9">
        <f t="shared" si="9"/>
        <v>0.29855145563734375</v>
      </c>
      <c r="AO104" s="10">
        <v>1</v>
      </c>
    </row>
    <row r="105" spans="1:41" ht="14.4" customHeight="1" x14ac:dyDescent="0.3">
      <c r="A105" s="33">
        <v>131</v>
      </c>
      <c r="B105" s="5">
        <v>2</v>
      </c>
      <c r="C105" s="6">
        <v>3</v>
      </c>
      <c r="D105" s="5">
        <v>14</v>
      </c>
      <c r="E105" s="4">
        <v>1</v>
      </c>
      <c r="F105" s="4">
        <v>1</v>
      </c>
      <c r="G105" s="4">
        <v>7</v>
      </c>
      <c r="H105" s="4">
        <v>3</v>
      </c>
      <c r="I105" s="4">
        <v>2</v>
      </c>
      <c r="J105" s="5">
        <v>0</v>
      </c>
      <c r="K105" s="5">
        <v>0</v>
      </c>
      <c r="L105" s="5">
        <v>1</v>
      </c>
      <c r="M105" s="5">
        <v>0</v>
      </c>
      <c r="N105" s="5">
        <v>3</v>
      </c>
      <c r="O105" s="5">
        <v>11</v>
      </c>
      <c r="P105" s="5">
        <v>0</v>
      </c>
      <c r="Q105" s="5">
        <v>0</v>
      </c>
      <c r="R105" s="5">
        <v>0</v>
      </c>
      <c r="S105" s="5">
        <v>1</v>
      </c>
      <c r="T105" s="5">
        <v>0</v>
      </c>
      <c r="U105" s="5">
        <f t="shared" si="5"/>
        <v>1</v>
      </c>
      <c r="V105" s="5">
        <v>5</v>
      </c>
      <c r="W105" s="5">
        <v>6</v>
      </c>
      <c r="X105" s="5">
        <v>1</v>
      </c>
      <c r="Y105" s="5">
        <f t="shared" si="6"/>
        <v>12</v>
      </c>
      <c r="Z105" s="5">
        <f t="shared" si="7"/>
        <v>13</v>
      </c>
      <c r="AA105" s="5">
        <v>1</v>
      </c>
      <c r="AB105" s="5">
        <v>0</v>
      </c>
      <c r="AC105" s="5">
        <v>0</v>
      </c>
      <c r="AD105" s="5">
        <v>0</v>
      </c>
      <c r="AE105" s="5">
        <v>0</v>
      </c>
      <c r="AF105" s="5">
        <f t="shared" si="8"/>
        <v>1</v>
      </c>
      <c r="AG105" s="5">
        <v>60</v>
      </c>
      <c r="AH105" s="14">
        <v>2401</v>
      </c>
      <c r="AI105" s="8">
        <f>71080000</f>
        <v>71080000</v>
      </c>
      <c r="AJ105" s="8">
        <f>AI105+70000</f>
        <v>71150000</v>
      </c>
      <c r="AK105" s="8">
        <v>124535000</v>
      </c>
      <c r="AL105" s="8">
        <v>103294000</v>
      </c>
      <c r="AM105" s="8">
        <v>1165509000</v>
      </c>
      <c r="AN105" s="9">
        <f t="shared" si="9"/>
        <v>0.1068503117522044</v>
      </c>
      <c r="AO105" s="10">
        <v>1</v>
      </c>
    </row>
    <row r="106" spans="1:41" ht="14.4" customHeight="1" x14ac:dyDescent="0.3">
      <c r="A106" s="34">
        <v>132</v>
      </c>
      <c r="B106" s="5">
        <v>2</v>
      </c>
      <c r="C106" s="11">
        <v>3</v>
      </c>
      <c r="D106" s="5">
        <v>9</v>
      </c>
      <c r="E106" s="4">
        <v>2</v>
      </c>
      <c r="F106" s="4">
        <v>1</v>
      </c>
      <c r="G106" s="4">
        <v>4</v>
      </c>
      <c r="H106" s="4">
        <v>0</v>
      </c>
      <c r="I106" s="4">
        <v>2</v>
      </c>
      <c r="J106" s="5">
        <v>0</v>
      </c>
      <c r="K106" s="5">
        <v>0</v>
      </c>
      <c r="L106" s="5">
        <v>1</v>
      </c>
      <c r="M106" s="5">
        <v>0</v>
      </c>
      <c r="N106" s="5">
        <v>1</v>
      </c>
      <c r="O106" s="5">
        <v>8</v>
      </c>
      <c r="P106" s="5">
        <v>1</v>
      </c>
      <c r="Q106" s="5">
        <v>0</v>
      </c>
      <c r="R106" s="5">
        <v>0</v>
      </c>
      <c r="S106" s="5">
        <v>0</v>
      </c>
      <c r="T106" s="5">
        <v>0</v>
      </c>
      <c r="U106" s="5">
        <f t="shared" si="5"/>
        <v>1</v>
      </c>
      <c r="V106" s="5">
        <v>1</v>
      </c>
      <c r="W106" s="5">
        <v>6</v>
      </c>
      <c r="X106" s="5">
        <v>0</v>
      </c>
      <c r="Y106" s="5">
        <f t="shared" si="6"/>
        <v>7</v>
      </c>
      <c r="Z106" s="5">
        <f t="shared" si="7"/>
        <v>8</v>
      </c>
      <c r="AA106" s="5">
        <v>0</v>
      </c>
      <c r="AB106" s="5">
        <v>1</v>
      </c>
      <c r="AC106" s="5">
        <v>0</v>
      </c>
      <c r="AD106" s="5">
        <v>0</v>
      </c>
      <c r="AE106" s="5">
        <v>0</v>
      </c>
      <c r="AF106" s="5">
        <f t="shared" si="8"/>
        <v>1</v>
      </c>
      <c r="AG106" s="5">
        <v>36</v>
      </c>
      <c r="AH106" s="14">
        <v>100</v>
      </c>
      <c r="AI106" s="8">
        <f>15811+29219+7135+352692+28414+1108619</f>
        <v>1541890</v>
      </c>
      <c r="AJ106" s="8">
        <f>AI106+273321+11204</f>
        <v>1826415</v>
      </c>
      <c r="AK106" s="8">
        <v>2240854</v>
      </c>
      <c r="AL106" s="8">
        <v>2315338</v>
      </c>
      <c r="AM106" s="8">
        <v>10147535</v>
      </c>
      <c r="AN106" s="9">
        <f t="shared" si="9"/>
        <v>0.22082742262037036</v>
      </c>
      <c r="AO106" s="10">
        <v>1</v>
      </c>
    </row>
    <row r="107" spans="1:41" ht="14.4" customHeight="1" x14ac:dyDescent="0.3">
      <c r="A107" s="33">
        <v>133</v>
      </c>
      <c r="B107" s="5">
        <v>2</v>
      </c>
      <c r="C107" s="6">
        <v>3</v>
      </c>
      <c r="D107" s="5">
        <v>7</v>
      </c>
      <c r="E107" s="4">
        <v>0</v>
      </c>
      <c r="F107" s="4">
        <v>0</v>
      </c>
      <c r="G107" s="4">
        <v>7</v>
      </c>
      <c r="H107" s="4">
        <v>0</v>
      </c>
      <c r="I107" s="4">
        <v>0</v>
      </c>
      <c r="J107" s="5">
        <v>0</v>
      </c>
      <c r="K107" s="5">
        <v>0</v>
      </c>
      <c r="L107" s="5">
        <v>1</v>
      </c>
      <c r="M107" s="5">
        <v>0</v>
      </c>
      <c r="N107" s="5">
        <v>1</v>
      </c>
      <c r="O107" s="5">
        <v>6</v>
      </c>
      <c r="P107" s="5">
        <v>0</v>
      </c>
      <c r="Q107" s="5">
        <v>0</v>
      </c>
      <c r="R107" s="5">
        <v>2</v>
      </c>
      <c r="S107" s="5">
        <v>0</v>
      </c>
      <c r="T107" s="5">
        <v>0</v>
      </c>
      <c r="U107" s="5">
        <f t="shared" si="5"/>
        <v>2</v>
      </c>
      <c r="V107" s="5">
        <v>2</v>
      </c>
      <c r="W107" s="5">
        <v>2</v>
      </c>
      <c r="X107" s="5">
        <v>0</v>
      </c>
      <c r="Y107" s="5">
        <f t="shared" si="6"/>
        <v>4</v>
      </c>
      <c r="Z107" s="5">
        <f t="shared" si="7"/>
        <v>6</v>
      </c>
      <c r="AA107" s="5">
        <v>0</v>
      </c>
      <c r="AB107" s="5">
        <v>0</v>
      </c>
      <c r="AC107" s="5">
        <v>1</v>
      </c>
      <c r="AD107" s="5">
        <v>0</v>
      </c>
      <c r="AE107" s="5">
        <v>0</v>
      </c>
      <c r="AF107" s="5">
        <f t="shared" si="8"/>
        <v>1</v>
      </c>
      <c r="AG107" s="5">
        <v>23</v>
      </c>
      <c r="AH107" s="14">
        <v>352</v>
      </c>
      <c r="AI107" s="8">
        <f>20790.962+940901.651</f>
        <v>961692.6129999999</v>
      </c>
      <c r="AJ107" s="8">
        <f>AI107+94391.499+11259.771</f>
        <v>1067343.8829999999</v>
      </c>
      <c r="AK107" s="8">
        <v>1264625.3259999999</v>
      </c>
      <c r="AL107" s="8">
        <v>27623.462</v>
      </c>
      <c r="AM107" s="8">
        <f>2318693.463+1016427.8</f>
        <v>3335121.2630000003</v>
      </c>
      <c r="AN107" s="9">
        <f t="shared" si="9"/>
        <v>0.3791842113897973</v>
      </c>
      <c r="AO107" s="10">
        <v>2</v>
      </c>
    </row>
    <row r="108" spans="1:41" ht="14.4" customHeight="1" x14ac:dyDescent="0.3">
      <c r="A108" s="34">
        <v>134</v>
      </c>
      <c r="B108" s="5">
        <v>3</v>
      </c>
      <c r="C108" s="11">
        <v>3</v>
      </c>
      <c r="D108" s="5">
        <v>5</v>
      </c>
      <c r="E108" s="4">
        <v>0</v>
      </c>
      <c r="F108" s="4">
        <v>2</v>
      </c>
      <c r="G108" s="4">
        <v>0</v>
      </c>
      <c r="H108" s="4">
        <v>3</v>
      </c>
      <c r="I108" s="4">
        <v>0</v>
      </c>
      <c r="J108" s="5">
        <v>0</v>
      </c>
      <c r="K108" s="5">
        <v>0</v>
      </c>
      <c r="L108" s="5">
        <v>0</v>
      </c>
      <c r="M108" s="5">
        <v>1</v>
      </c>
      <c r="N108" s="5">
        <v>0</v>
      </c>
      <c r="O108" s="5">
        <v>5</v>
      </c>
      <c r="P108" s="5">
        <v>0</v>
      </c>
      <c r="Q108" s="5">
        <v>1</v>
      </c>
      <c r="R108" s="5">
        <v>0</v>
      </c>
      <c r="S108" s="5">
        <v>0</v>
      </c>
      <c r="T108" s="5">
        <v>0</v>
      </c>
      <c r="U108" s="5">
        <f t="shared" si="5"/>
        <v>1</v>
      </c>
      <c r="V108" s="5">
        <v>0</v>
      </c>
      <c r="W108" s="5">
        <v>3</v>
      </c>
      <c r="X108" s="5">
        <v>0</v>
      </c>
      <c r="Y108" s="5">
        <f t="shared" si="6"/>
        <v>3</v>
      </c>
      <c r="Z108" s="5">
        <f t="shared" si="7"/>
        <v>4</v>
      </c>
      <c r="AA108" s="5">
        <v>0</v>
      </c>
      <c r="AB108" s="5">
        <v>0</v>
      </c>
      <c r="AC108" s="5">
        <v>0</v>
      </c>
      <c r="AD108" s="5">
        <v>1</v>
      </c>
      <c r="AE108" s="5">
        <v>0</v>
      </c>
      <c r="AF108" s="5">
        <f t="shared" si="8"/>
        <v>1</v>
      </c>
      <c r="AG108" s="5">
        <v>25</v>
      </c>
      <c r="AH108" s="14">
        <v>51</v>
      </c>
      <c r="AI108" s="8">
        <f>72773.148+7526.599+88538.219</f>
        <v>168837.96600000001</v>
      </c>
      <c r="AJ108" s="8">
        <f>AI108+30153.731+53551.712</f>
        <v>252543.40900000001</v>
      </c>
      <c r="AK108" s="8">
        <v>550218.77899999998</v>
      </c>
      <c r="AL108" s="8">
        <v>13421.682000000001</v>
      </c>
      <c r="AM108" s="8">
        <v>1149300.129</v>
      </c>
      <c r="AN108" s="9">
        <f t="shared" si="9"/>
        <v>0.47874246692962824</v>
      </c>
      <c r="AO108" s="10">
        <v>2</v>
      </c>
    </row>
    <row r="109" spans="1:41" s="22" customFormat="1" ht="14.4" customHeight="1" x14ac:dyDescent="0.3">
      <c r="A109" s="33">
        <v>135</v>
      </c>
      <c r="B109" s="4">
        <v>2</v>
      </c>
      <c r="C109" s="21">
        <v>1</v>
      </c>
      <c r="D109" s="4">
        <v>4</v>
      </c>
      <c r="E109" s="4">
        <v>1</v>
      </c>
      <c r="F109" s="4">
        <v>1</v>
      </c>
      <c r="G109" s="4">
        <v>1</v>
      </c>
      <c r="H109" s="4">
        <v>1</v>
      </c>
      <c r="I109" s="4">
        <v>0</v>
      </c>
      <c r="J109" s="5">
        <v>0</v>
      </c>
      <c r="K109" s="5">
        <v>0</v>
      </c>
      <c r="L109" s="5">
        <v>0</v>
      </c>
      <c r="M109" s="4">
        <v>1</v>
      </c>
      <c r="N109" s="4">
        <v>0</v>
      </c>
      <c r="O109" s="4">
        <v>4</v>
      </c>
      <c r="P109" s="4">
        <v>0</v>
      </c>
      <c r="Q109" s="4">
        <v>0</v>
      </c>
      <c r="R109" s="4">
        <v>0</v>
      </c>
      <c r="S109" s="4">
        <v>1</v>
      </c>
      <c r="T109" s="4">
        <v>0</v>
      </c>
      <c r="U109" s="5">
        <f t="shared" si="5"/>
        <v>1</v>
      </c>
      <c r="V109" s="4">
        <v>0</v>
      </c>
      <c r="W109" s="4">
        <v>2</v>
      </c>
      <c r="X109" s="4">
        <v>0</v>
      </c>
      <c r="Y109" s="5">
        <f t="shared" si="6"/>
        <v>2</v>
      </c>
      <c r="Z109" s="5">
        <f t="shared" si="7"/>
        <v>3</v>
      </c>
      <c r="AA109" s="4">
        <v>0</v>
      </c>
      <c r="AB109" s="4">
        <v>0</v>
      </c>
      <c r="AC109" s="4">
        <v>1</v>
      </c>
      <c r="AD109" s="4">
        <v>0</v>
      </c>
      <c r="AE109" s="4">
        <v>0</v>
      </c>
      <c r="AF109" s="5">
        <f t="shared" si="8"/>
        <v>1</v>
      </c>
      <c r="AG109" s="4">
        <v>72</v>
      </c>
      <c r="AH109" s="16">
        <v>34</v>
      </c>
      <c r="AI109" s="13">
        <f>39295.474+3574.487</f>
        <v>42869.961000000003</v>
      </c>
      <c r="AJ109" s="13">
        <f>AI109+18500+347.078</f>
        <v>61717.039000000004</v>
      </c>
      <c r="AK109" s="13">
        <v>58162.582999999999</v>
      </c>
      <c r="AL109" s="13">
        <v>-6072869</v>
      </c>
      <c r="AM109" s="13">
        <v>422332.81699999998</v>
      </c>
      <c r="AN109" s="9">
        <f t="shared" si="9"/>
        <v>0.1377174130420464</v>
      </c>
      <c r="AO109" s="10">
        <v>2</v>
      </c>
    </row>
    <row r="110" spans="1:41" ht="14.4" customHeight="1" x14ac:dyDescent="0.3">
      <c r="A110" s="33">
        <v>136</v>
      </c>
      <c r="B110" s="5">
        <v>2</v>
      </c>
      <c r="C110" s="11">
        <v>1</v>
      </c>
      <c r="D110" s="5">
        <v>9</v>
      </c>
      <c r="E110" s="4">
        <v>1</v>
      </c>
      <c r="F110" s="4">
        <v>1</v>
      </c>
      <c r="G110" s="4">
        <v>1</v>
      </c>
      <c r="H110" s="4">
        <v>1</v>
      </c>
      <c r="I110" s="4">
        <v>5</v>
      </c>
      <c r="J110" s="5">
        <v>0</v>
      </c>
      <c r="K110" s="5">
        <v>0</v>
      </c>
      <c r="L110" s="5">
        <v>0</v>
      </c>
      <c r="M110" s="5">
        <v>1</v>
      </c>
      <c r="N110" s="5">
        <v>3</v>
      </c>
      <c r="O110" s="5">
        <v>6</v>
      </c>
      <c r="P110" s="5">
        <v>0</v>
      </c>
      <c r="Q110" s="5">
        <v>0</v>
      </c>
      <c r="R110" s="5">
        <v>0</v>
      </c>
      <c r="S110" s="5">
        <v>0</v>
      </c>
      <c r="T110" s="5">
        <v>1</v>
      </c>
      <c r="U110" s="5">
        <f t="shared" si="5"/>
        <v>1</v>
      </c>
      <c r="V110" s="5">
        <v>1</v>
      </c>
      <c r="W110" s="5">
        <v>6</v>
      </c>
      <c r="X110" s="5">
        <v>0</v>
      </c>
      <c r="Y110" s="5">
        <f t="shared" si="6"/>
        <v>7</v>
      </c>
      <c r="Z110" s="5">
        <f t="shared" si="7"/>
        <v>8</v>
      </c>
      <c r="AA110" s="5">
        <v>0</v>
      </c>
      <c r="AB110" s="5">
        <v>0</v>
      </c>
      <c r="AC110" s="5">
        <v>0</v>
      </c>
      <c r="AD110" s="5">
        <v>0</v>
      </c>
      <c r="AE110" s="5">
        <v>1</v>
      </c>
      <c r="AF110" s="5">
        <f t="shared" si="8"/>
        <v>1</v>
      </c>
      <c r="AG110" s="5">
        <v>64</v>
      </c>
      <c r="AH110" s="14">
        <v>451</v>
      </c>
      <c r="AI110" s="8">
        <f>3838780+24502389+226251</f>
        <v>28567420</v>
      </c>
      <c r="AJ110" s="8">
        <f>AI110+7901006+319512+472019</f>
        <v>37259957</v>
      </c>
      <c r="AK110" s="8">
        <v>292177202</v>
      </c>
      <c r="AL110" s="8">
        <v>-18010135</v>
      </c>
      <c r="AM110" s="8">
        <v>133787731</v>
      </c>
      <c r="AN110" s="9">
        <f t="shared" si="9"/>
        <v>2.1838863684742513</v>
      </c>
      <c r="AO110" s="10">
        <v>2</v>
      </c>
    </row>
    <row r="111" spans="1:41" ht="14.4" customHeight="1" x14ac:dyDescent="0.3">
      <c r="A111" s="33">
        <v>137</v>
      </c>
      <c r="B111" s="5">
        <v>2</v>
      </c>
      <c r="C111" s="6">
        <v>3</v>
      </c>
      <c r="D111" s="5">
        <v>10</v>
      </c>
      <c r="E111" s="4">
        <v>1</v>
      </c>
      <c r="F111" s="4">
        <v>0</v>
      </c>
      <c r="G111" s="4">
        <v>0</v>
      </c>
      <c r="H111" s="4">
        <v>2</v>
      </c>
      <c r="I111" s="4">
        <v>7</v>
      </c>
      <c r="J111" s="5">
        <v>0</v>
      </c>
      <c r="K111" s="5">
        <v>0</v>
      </c>
      <c r="L111" s="5">
        <v>0</v>
      </c>
      <c r="M111" s="5">
        <v>1</v>
      </c>
      <c r="N111" s="5">
        <v>0</v>
      </c>
      <c r="O111" s="5">
        <v>10</v>
      </c>
      <c r="P111" s="5">
        <v>0</v>
      </c>
      <c r="Q111" s="5">
        <v>0</v>
      </c>
      <c r="R111" s="5">
        <v>0</v>
      </c>
      <c r="S111" s="5">
        <v>1</v>
      </c>
      <c r="T111" s="5">
        <v>0</v>
      </c>
      <c r="U111" s="5">
        <f t="shared" si="5"/>
        <v>1</v>
      </c>
      <c r="V111" s="5">
        <v>0</v>
      </c>
      <c r="W111" s="5">
        <v>8</v>
      </c>
      <c r="X111" s="5">
        <v>0</v>
      </c>
      <c r="Y111" s="5">
        <f t="shared" si="6"/>
        <v>8</v>
      </c>
      <c r="Z111" s="5">
        <f t="shared" si="7"/>
        <v>9</v>
      </c>
      <c r="AA111" s="5">
        <v>1</v>
      </c>
      <c r="AB111" s="5">
        <v>0</v>
      </c>
      <c r="AC111" s="5">
        <v>0</v>
      </c>
      <c r="AD111" s="5">
        <v>0</v>
      </c>
      <c r="AE111" s="5">
        <v>0</v>
      </c>
      <c r="AF111" s="5">
        <f t="shared" si="8"/>
        <v>1</v>
      </c>
      <c r="AG111" s="5">
        <v>56</v>
      </c>
      <c r="AH111" s="14">
        <v>376</v>
      </c>
      <c r="AI111" s="8">
        <f>4111616</f>
        <v>4111616</v>
      </c>
      <c r="AJ111" s="8">
        <f>AI111+1060289+18542</f>
        <v>5190447</v>
      </c>
      <c r="AK111" s="8">
        <v>3666082</v>
      </c>
      <c r="AL111" s="8">
        <v>498029</v>
      </c>
      <c r="AM111" s="8">
        <v>33347783</v>
      </c>
      <c r="AN111" s="9">
        <f t="shared" si="9"/>
        <v>0.10993480436165727</v>
      </c>
      <c r="AO111" s="10">
        <v>2</v>
      </c>
    </row>
    <row r="112" spans="1:41" ht="14.4" customHeight="1" x14ac:dyDescent="0.3">
      <c r="A112" s="33">
        <v>138</v>
      </c>
      <c r="B112" s="5">
        <v>2</v>
      </c>
      <c r="C112" s="11">
        <v>3</v>
      </c>
      <c r="D112" s="5">
        <v>6</v>
      </c>
      <c r="E112" s="4">
        <v>0</v>
      </c>
      <c r="F112" s="4">
        <v>1</v>
      </c>
      <c r="G112" s="4">
        <v>5</v>
      </c>
      <c r="H112" s="4">
        <v>0</v>
      </c>
      <c r="I112" s="4">
        <v>0</v>
      </c>
      <c r="J112" s="5">
        <v>0</v>
      </c>
      <c r="K112" s="5">
        <v>0</v>
      </c>
      <c r="L112" s="5">
        <v>1</v>
      </c>
      <c r="M112" s="5">
        <v>0</v>
      </c>
      <c r="N112" s="5">
        <v>1</v>
      </c>
      <c r="O112" s="5">
        <v>5</v>
      </c>
      <c r="P112" s="5">
        <v>0</v>
      </c>
      <c r="Q112" s="5">
        <v>0</v>
      </c>
      <c r="R112" s="5">
        <v>1</v>
      </c>
      <c r="S112" s="5">
        <v>0</v>
      </c>
      <c r="T112" s="5">
        <v>0</v>
      </c>
      <c r="U112" s="5">
        <f t="shared" si="5"/>
        <v>1</v>
      </c>
      <c r="V112" s="5">
        <v>0</v>
      </c>
      <c r="W112" s="5">
        <v>4</v>
      </c>
      <c r="X112" s="5">
        <v>0</v>
      </c>
      <c r="Y112" s="5">
        <f t="shared" si="6"/>
        <v>4</v>
      </c>
      <c r="Z112" s="5">
        <f t="shared" si="7"/>
        <v>5</v>
      </c>
      <c r="AA112" s="5">
        <v>0</v>
      </c>
      <c r="AB112" s="5">
        <v>1</v>
      </c>
      <c r="AC112" s="5">
        <v>0</v>
      </c>
      <c r="AD112" s="5">
        <v>0</v>
      </c>
      <c r="AE112" s="5">
        <v>0</v>
      </c>
      <c r="AF112" s="5">
        <f t="shared" si="8"/>
        <v>1</v>
      </c>
      <c r="AG112" s="5">
        <v>36</v>
      </c>
      <c r="AH112" s="14"/>
      <c r="AI112" s="8">
        <f>260202</f>
        <v>260202</v>
      </c>
      <c r="AJ112" s="8">
        <f>AI112+7600</f>
        <v>267802</v>
      </c>
      <c r="AK112" s="8">
        <v>790525</v>
      </c>
      <c r="AL112" s="8">
        <v>25256</v>
      </c>
      <c r="AM112" s="8">
        <v>785602</v>
      </c>
      <c r="AN112" s="9">
        <f t="shared" si="9"/>
        <v>1.0062665319080144</v>
      </c>
      <c r="AO112" s="10">
        <v>2</v>
      </c>
    </row>
    <row r="113" spans="1:41" ht="14.4" customHeight="1" x14ac:dyDescent="0.3">
      <c r="A113" s="33">
        <v>139</v>
      </c>
      <c r="B113" s="5">
        <v>2</v>
      </c>
      <c r="C113" s="6">
        <v>3</v>
      </c>
      <c r="D113" s="4">
        <v>6</v>
      </c>
      <c r="E113" s="4">
        <v>0</v>
      </c>
      <c r="F113" s="4">
        <v>5</v>
      </c>
      <c r="G113" s="4">
        <v>1</v>
      </c>
      <c r="H113" s="4">
        <v>0</v>
      </c>
      <c r="I113" s="4">
        <v>0</v>
      </c>
      <c r="J113" s="5">
        <v>0</v>
      </c>
      <c r="K113" s="5">
        <v>1</v>
      </c>
      <c r="L113" s="5">
        <v>0</v>
      </c>
      <c r="M113" s="5">
        <v>0</v>
      </c>
      <c r="N113" s="4">
        <v>2</v>
      </c>
      <c r="O113" s="4">
        <v>4</v>
      </c>
      <c r="P113" s="4">
        <v>0</v>
      </c>
      <c r="Q113" s="4">
        <v>1</v>
      </c>
      <c r="R113" s="4">
        <v>0</v>
      </c>
      <c r="S113" s="4">
        <v>0</v>
      </c>
      <c r="T113" s="4">
        <v>0</v>
      </c>
      <c r="U113" s="5">
        <f t="shared" si="5"/>
        <v>1</v>
      </c>
      <c r="V113" s="4">
        <v>0</v>
      </c>
      <c r="W113" s="4">
        <v>3</v>
      </c>
      <c r="X113" s="4">
        <v>1</v>
      </c>
      <c r="Y113" s="5">
        <f t="shared" si="6"/>
        <v>4</v>
      </c>
      <c r="Z113" s="5">
        <f t="shared" si="7"/>
        <v>5</v>
      </c>
      <c r="AA113" s="4">
        <v>0</v>
      </c>
      <c r="AB113" s="4">
        <v>1</v>
      </c>
      <c r="AC113" s="4">
        <v>0</v>
      </c>
      <c r="AD113" s="4">
        <v>0</v>
      </c>
      <c r="AE113" s="4">
        <v>0</v>
      </c>
      <c r="AF113" s="5">
        <f t="shared" si="8"/>
        <v>1</v>
      </c>
      <c r="AG113" s="4">
        <v>72</v>
      </c>
      <c r="AH113" s="16">
        <v>22</v>
      </c>
      <c r="AI113" s="13">
        <f>1697556</f>
        <v>1697556</v>
      </c>
      <c r="AJ113" s="13">
        <f>AI113+3882601+506467</f>
        <v>6086624</v>
      </c>
      <c r="AK113" s="13">
        <v>3173773</v>
      </c>
      <c r="AL113" s="13">
        <v>558597</v>
      </c>
      <c r="AM113" s="13">
        <v>60230775</v>
      </c>
      <c r="AN113" s="9">
        <f t="shared" si="9"/>
        <v>5.2693544122585173E-2</v>
      </c>
      <c r="AO113" s="10">
        <v>1</v>
      </c>
    </row>
    <row r="114" spans="1:41" ht="14.4" customHeight="1" x14ac:dyDescent="0.3">
      <c r="A114" s="34">
        <v>140</v>
      </c>
      <c r="B114" s="5">
        <v>2</v>
      </c>
      <c r="C114" s="11">
        <v>3</v>
      </c>
      <c r="D114" s="5">
        <v>6</v>
      </c>
      <c r="E114" s="4">
        <v>0</v>
      </c>
      <c r="F114" s="4">
        <v>4</v>
      </c>
      <c r="G114" s="4">
        <v>2</v>
      </c>
      <c r="H114" s="4">
        <v>0</v>
      </c>
      <c r="I114" s="4">
        <v>0</v>
      </c>
      <c r="J114" s="5">
        <v>0</v>
      </c>
      <c r="K114" s="5">
        <v>1</v>
      </c>
      <c r="L114" s="5">
        <v>0</v>
      </c>
      <c r="M114" s="5">
        <v>0</v>
      </c>
      <c r="N114" s="5">
        <v>3</v>
      </c>
      <c r="O114" s="5">
        <v>3</v>
      </c>
      <c r="P114" s="5">
        <v>0</v>
      </c>
      <c r="Q114" s="5">
        <v>0</v>
      </c>
      <c r="R114" s="5">
        <v>1</v>
      </c>
      <c r="S114" s="5">
        <v>0</v>
      </c>
      <c r="T114" s="5">
        <v>0</v>
      </c>
      <c r="U114" s="5">
        <f t="shared" si="5"/>
        <v>1</v>
      </c>
      <c r="V114" s="5">
        <v>0</v>
      </c>
      <c r="W114" s="5">
        <v>3</v>
      </c>
      <c r="X114" s="5">
        <v>1</v>
      </c>
      <c r="Y114" s="5">
        <f t="shared" si="6"/>
        <v>4</v>
      </c>
      <c r="Z114" s="5">
        <f t="shared" si="7"/>
        <v>5</v>
      </c>
      <c r="AA114" s="5">
        <v>0</v>
      </c>
      <c r="AB114" s="5">
        <v>1</v>
      </c>
      <c r="AC114" s="5">
        <v>0</v>
      </c>
      <c r="AD114" s="5">
        <v>0</v>
      </c>
      <c r="AE114" s="5">
        <v>0</v>
      </c>
      <c r="AF114" s="5">
        <f t="shared" si="8"/>
        <v>1</v>
      </c>
      <c r="AG114" s="5">
        <v>16</v>
      </c>
      <c r="AH114" s="14">
        <v>22</v>
      </c>
      <c r="AI114" s="8">
        <f>1697556</f>
        <v>1697556</v>
      </c>
      <c r="AJ114" s="8">
        <f>AI114+3882601+506467</f>
        <v>6086624</v>
      </c>
      <c r="AK114" s="8">
        <v>3173773</v>
      </c>
      <c r="AL114" s="8">
        <v>558597</v>
      </c>
      <c r="AM114" s="8">
        <v>60230775</v>
      </c>
      <c r="AN114" s="9">
        <f t="shared" si="9"/>
        <v>5.2693544122585173E-2</v>
      </c>
      <c r="AO114" s="10">
        <v>1</v>
      </c>
    </row>
    <row r="115" spans="1:41" ht="14.4" customHeight="1" x14ac:dyDescent="0.3">
      <c r="A115" s="33">
        <v>141</v>
      </c>
      <c r="B115" s="5">
        <v>2</v>
      </c>
      <c r="C115" s="6">
        <v>2</v>
      </c>
      <c r="D115" s="5">
        <v>6</v>
      </c>
      <c r="E115" s="4">
        <v>1</v>
      </c>
      <c r="F115" s="4">
        <v>1</v>
      </c>
      <c r="G115" s="4">
        <v>4</v>
      </c>
      <c r="H115" s="4">
        <v>0</v>
      </c>
      <c r="I115" s="4">
        <v>0</v>
      </c>
      <c r="J115" s="5">
        <v>0</v>
      </c>
      <c r="K115" s="5">
        <v>0</v>
      </c>
      <c r="L115" s="5">
        <v>1</v>
      </c>
      <c r="M115" s="5">
        <v>0</v>
      </c>
      <c r="N115" s="5">
        <v>2</v>
      </c>
      <c r="O115" s="5">
        <v>4</v>
      </c>
      <c r="P115" s="5">
        <v>0</v>
      </c>
      <c r="Q115" s="5">
        <v>0</v>
      </c>
      <c r="R115" s="5">
        <v>1</v>
      </c>
      <c r="S115" s="5">
        <v>0</v>
      </c>
      <c r="T115" s="5">
        <v>0</v>
      </c>
      <c r="U115" s="5">
        <f t="shared" si="5"/>
        <v>1</v>
      </c>
      <c r="V115" s="5">
        <v>0</v>
      </c>
      <c r="W115" s="5">
        <v>4</v>
      </c>
      <c r="X115" s="5">
        <v>0</v>
      </c>
      <c r="Y115" s="5">
        <f t="shared" si="6"/>
        <v>4</v>
      </c>
      <c r="Z115" s="5">
        <f t="shared" si="7"/>
        <v>5</v>
      </c>
      <c r="AA115" s="5">
        <v>0</v>
      </c>
      <c r="AB115" s="5">
        <v>0</v>
      </c>
      <c r="AC115" s="5">
        <v>1</v>
      </c>
      <c r="AD115" s="5">
        <v>0</v>
      </c>
      <c r="AE115" s="5">
        <v>0</v>
      </c>
      <c r="AF115" s="5">
        <f t="shared" si="8"/>
        <v>1</v>
      </c>
      <c r="AG115" s="5">
        <v>40</v>
      </c>
      <c r="AH115" s="14">
        <v>93</v>
      </c>
      <c r="AI115" s="8">
        <f>170039</f>
        <v>170039</v>
      </c>
      <c r="AJ115" s="8">
        <f>AI115+273+7680</f>
        <v>177992</v>
      </c>
      <c r="AK115" s="8">
        <v>784795</v>
      </c>
      <c r="AL115" s="8">
        <v>13664</v>
      </c>
      <c r="AM115" s="8">
        <v>1745958</v>
      </c>
      <c r="AN115" s="9">
        <f t="shared" si="9"/>
        <v>0.44949248492804522</v>
      </c>
      <c r="AO115" s="10">
        <v>2</v>
      </c>
    </row>
    <row r="116" spans="1:41" ht="14.4" customHeight="1" x14ac:dyDescent="0.3">
      <c r="A116" s="34">
        <v>142</v>
      </c>
      <c r="B116" s="5">
        <v>2</v>
      </c>
      <c r="C116" s="11">
        <v>2</v>
      </c>
      <c r="D116" s="5">
        <v>11</v>
      </c>
      <c r="E116" s="4">
        <v>1</v>
      </c>
      <c r="F116" s="4">
        <v>2</v>
      </c>
      <c r="G116" s="4">
        <v>6</v>
      </c>
      <c r="H116" s="4">
        <v>2</v>
      </c>
      <c r="I116" s="4">
        <v>0</v>
      </c>
      <c r="J116" s="5">
        <v>0</v>
      </c>
      <c r="K116" s="5">
        <v>0</v>
      </c>
      <c r="L116" s="5">
        <v>1</v>
      </c>
      <c r="M116" s="5">
        <v>0</v>
      </c>
      <c r="N116" s="5">
        <v>0</v>
      </c>
      <c r="O116" s="5">
        <v>11</v>
      </c>
      <c r="P116" s="5">
        <v>0</v>
      </c>
      <c r="Q116" s="5">
        <v>0</v>
      </c>
      <c r="R116" s="5">
        <v>0</v>
      </c>
      <c r="S116" s="5">
        <v>1</v>
      </c>
      <c r="T116" s="5">
        <v>0</v>
      </c>
      <c r="U116" s="5">
        <f t="shared" si="5"/>
        <v>1</v>
      </c>
      <c r="V116" s="5">
        <v>2</v>
      </c>
      <c r="W116" s="5">
        <v>5</v>
      </c>
      <c r="X116" s="5">
        <v>2</v>
      </c>
      <c r="Y116" s="5">
        <f t="shared" si="6"/>
        <v>9</v>
      </c>
      <c r="Z116" s="5">
        <f t="shared" si="7"/>
        <v>10</v>
      </c>
      <c r="AA116" s="5">
        <v>0</v>
      </c>
      <c r="AB116" s="5">
        <v>0</v>
      </c>
      <c r="AC116" s="5">
        <v>1</v>
      </c>
      <c r="AD116" s="5">
        <v>0</v>
      </c>
      <c r="AE116" s="5">
        <v>0</v>
      </c>
      <c r="AF116" s="5">
        <f t="shared" si="8"/>
        <v>1</v>
      </c>
      <c r="AG116" s="5">
        <v>89</v>
      </c>
      <c r="AH116" s="19">
        <v>1486</v>
      </c>
      <c r="AI116" s="8">
        <f>3462569+1936029</f>
        <v>5398598</v>
      </c>
      <c r="AJ116" s="8">
        <f>AI116+489599</f>
        <v>5888197</v>
      </c>
      <c r="AK116" s="8">
        <v>758761</v>
      </c>
      <c r="AL116" s="8">
        <v>8126164</v>
      </c>
      <c r="AM116" s="8">
        <v>48987189</v>
      </c>
      <c r="AN116" s="9">
        <f t="shared" si="9"/>
        <v>1.5488967942210361E-2</v>
      </c>
      <c r="AO116" s="10">
        <v>1</v>
      </c>
    </row>
    <row r="117" spans="1:41" ht="14.4" customHeight="1" x14ac:dyDescent="0.3">
      <c r="A117" s="33">
        <v>143</v>
      </c>
      <c r="B117" s="5">
        <v>2</v>
      </c>
      <c r="C117" s="6">
        <v>2</v>
      </c>
      <c r="D117" s="5">
        <v>5</v>
      </c>
      <c r="E117" s="4">
        <v>0</v>
      </c>
      <c r="F117" s="4">
        <v>0</v>
      </c>
      <c r="G117" s="4">
        <v>4</v>
      </c>
      <c r="H117" s="4">
        <v>1</v>
      </c>
      <c r="I117" s="4">
        <v>0</v>
      </c>
      <c r="J117" s="5">
        <v>0</v>
      </c>
      <c r="K117" s="5">
        <v>0</v>
      </c>
      <c r="L117" s="5">
        <v>1</v>
      </c>
      <c r="M117" s="5">
        <v>0</v>
      </c>
      <c r="N117" s="5">
        <v>0</v>
      </c>
      <c r="O117" s="5">
        <v>5</v>
      </c>
      <c r="P117" s="5">
        <v>0</v>
      </c>
      <c r="Q117" s="5">
        <v>0</v>
      </c>
      <c r="R117" s="5">
        <v>1</v>
      </c>
      <c r="S117" s="5">
        <v>0</v>
      </c>
      <c r="T117" s="5">
        <v>0</v>
      </c>
      <c r="U117" s="5">
        <f t="shared" si="5"/>
        <v>1</v>
      </c>
      <c r="V117" s="5">
        <v>1</v>
      </c>
      <c r="W117" s="5">
        <v>2</v>
      </c>
      <c r="X117" s="5">
        <v>0</v>
      </c>
      <c r="Y117" s="5">
        <f t="shared" si="6"/>
        <v>3</v>
      </c>
      <c r="Z117" s="5">
        <f t="shared" si="7"/>
        <v>4</v>
      </c>
      <c r="AA117" s="5">
        <v>0</v>
      </c>
      <c r="AB117" s="5">
        <v>0</v>
      </c>
      <c r="AC117" s="5">
        <v>0</v>
      </c>
      <c r="AD117" s="5">
        <v>1</v>
      </c>
      <c r="AE117" s="5">
        <v>0</v>
      </c>
      <c r="AF117" s="5">
        <f t="shared" si="8"/>
        <v>1</v>
      </c>
      <c r="AG117" s="5">
        <v>11</v>
      </c>
      <c r="AH117" s="14"/>
      <c r="AI117" s="8">
        <f>186807</f>
        <v>186807</v>
      </c>
      <c r="AJ117" s="8">
        <f>AI117+15516</f>
        <v>202323</v>
      </c>
      <c r="AK117" s="8">
        <v>552901</v>
      </c>
      <c r="AL117" s="8">
        <v>651566</v>
      </c>
      <c r="AM117" s="8">
        <v>11036914</v>
      </c>
      <c r="AN117" s="9">
        <f t="shared" si="9"/>
        <v>5.0095615495418376E-2</v>
      </c>
      <c r="AO117" s="10">
        <v>2</v>
      </c>
    </row>
    <row r="118" spans="1:41" ht="14.4" customHeight="1" x14ac:dyDescent="0.3">
      <c r="A118" s="33">
        <v>144</v>
      </c>
      <c r="B118" s="5">
        <v>2</v>
      </c>
      <c r="C118" s="11">
        <v>2</v>
      </c>
      <c r="D118" s="5">
        <v>10</v>
      </c>
      <c r="E118" s="4">
        <v>1</v>
      </c>
      <c r="F118" s="4">
        <v>3</v>
      </c>
      <c r="G118" s="4">
        <v>4</v>
      </c>
      <c r="H118" s="4">
        <v>0</v>
      </c>
      <c r="I118" s="4">
        <v>1</v>
      </c>
      <c r="J118" s="5">
        <v>0</v>
      </c>
      <c r="K118" s="5">
        <v>0</v>
      </c>
      <c r="L118" s="5">
        <v>1</v>
      </c>
      <c r="M118" s="5">
        <v>0</v>
      </c>
      <c r="N118" s="5">
        <v>4</v>
      </c>
      <c r="O118" s="5">
        <v>5</v>
      </c>
      <c r="P118" s="5">
        <v>0</v>
      </c>
      <c r="Q118" s="5">
        <v>1</v>
      </c>
      <c r="R118" s="5">
        <v>0</v>
      </c>
      <c r="S118" s="5">
        <v>0</v>
      </c>
      <c r="T118" s="5">
        <v>0</v>
      </c>
      <c r="U118" s="5">
        <f t="shared" si="5"/>
        <v>1</v>
      </c>
      <c r="V118" s="5">
        <v>3</v>
      </c>
      <c r="W118" s="5">
        <v>1</v>
      </c>
      <c r="X118" s="5">
        <v>3</v>
      </c>
      <c r="Y118" s="5">
        <f t="shared" si="6"/>
        <v>7</v>
      </c>
      <c r="Z118" s="5">
        <f t="shared" si="7"/>
        <v>8</v>
      </c>
      <c r="AA118" s="5">
        <v>0</v>
      </c>
      <c r="AB118" s="5">
        <v>0</v>
      </c>
      <c r="AC118" s="5">
        <v>0</v>
      </c>
      <c r="AD118" s="5">
        <v>0</v>
      </c>
      <c r="AE118" s="5">
        <v>1</v>
      </c>
      <c r="AF118" s="5">
        <f t="shared" si="8"/>
        <v>1</v>
      </c>
      <c r="AG118" s="5">
        <v>97</v>
      </c>
      <c r="AH118" s="14">
        <v>1010</v>
      </c>
      <c r="AI118" s="8">
        <f>3151738+13247563+200042</f>
        <v>16599343</v>
      </c>
      <c r="AJ118" s="8">
        <f>AI118+135869+317670</f>
        <v>17052882</v>
      </c>
      <c r="AK118" s="8">
        <v>60486835</v>
      </c>
      <c r="AL118" s="8">
        <v>35458553</v>
      </c>
      <c r="AM118" s="8">
        <v>103677519</v>
      </c>
      <c r="AN118" s="9">
        <f t="shared" si="9"/>
        <v>0.58341321805742674</v>
      </c>
      <c r="AO118" s="10">
        <v>2</v>
      </c>
    </row>
    <row r="119" spans="1:41" ht="14.4" customHeight="1" x14ac:dyDescent="0.3">
      <c r="A119" s="33">
        <v>145</v>
      </c>
      <c r="B119" s="5">
        <v>2</v>
      </c>
      <c r="C119" s="6">
        <v>3</v>
      </c>
      <c r="D119" s="5">
        <v>15</v>
      </c>
      <c r="E119" s="4">
        <v>0</v>
      </c>
      <c r="F119" s="4">
        <v>2</v>
      </c>
      <c r="G119" s="4">
        <v>3</v>
      </c>
      <c r="H119" s="4">
        <v>6</v>
      </c>
      <c r="I119" s="4">
        <v>4</v>
      </c>
      <c r="J119" s="5">
        <v>0</v>
      </c>
      <c r="K119" s="5">
        <v>0</v>
      </c>
      <c r="L119" s="5">
        <v>0</v>
      </c>
      <c r="M119" s="5">
        <v>1</v>
      </c>
      <c r="N119" s="5">
        <v>4</v>
      </c>
      <c r="O119" s="5">
        <v>11</v>
      </c>
      <c r="P119" s="5">
        <v>0</v>
      </c>
      <c r="Q119" s="5">
        <v>0</v>
      </c>
      <c r="R119" s="5">
        <v>0</v>
      </c>
      <c r="S119" s="5">
        <v>1</v>
      </c>
      <c r="T119" s="5">
        <v>0</v>
      </c>
      <c r="U119" s="5">
        <f t="shared" si="5"/>
        <v>1</v>
      </c>
      <c r="V119" s="5">
        <v>6</v>
      </c>
      <c r="W119" s="5">
        <v>5</v>
      </c>
      <c r="X119" s="5">
        <v>2</v>
      </c>
      <c r="Y119" s="5">
        <f t="shared" si="6"/>
        <v>13</v>
      </c>
      <c r="Z119" s="5">
        <f t="shared" si="7"/>
        <v>14</v>
      </c>
      <c r="AA119" s="5">
        <v>0</v>
      </c>
      <c r="AB119" s="5">
        <v>1</v>
      </c>
      <c r="AC119" s="5">
        <v>0</v>
      </c>
      <c r="AD119" s="5">
        <v>0</v>
      </c>
      <c r="AE119" s="5">
        <v>0</v>
      </c>
      <c r="AF119" s="5">
        <f t="shared" si="8"/>
        <v>1</v>
      </c>
      <c r="AG119" s="5">
        <v>51</v>
      </c>
      <c r="AH119" s="14">
        <v>2362</v>
      </c>
      <c r="AI119" s="8">
        <f>184000+3649000+33255000+5791000+1927000+29807000</f>
        <v>74613000</v>
      </c>
      <c r="AJ119" s="8">
        <f>AI119+371000+371000</f>
        <v>75355000</v>
      </c>
      <c r="AK119" s="8">
        <v>159861000</v>
      </c>
      <c r="AL119" s="8">
        <v>320789000</v>
      </c>
      <c r="AM119" s="8">
        <v>1711739000</v>
      </c>
      <c r="AN119" s="9">
        <f t="shared" si="9"/>
        <v>9.3390990098373636E-2</v>
      </c>
      <c r="AO119" s="10">
        <v>1</v>
      </c>
    </row>
    <row r="120" spans="1:41" ht="14.4" customHeight="1" x14ac:dyDescent="0.3">
      <c r="A120" s="33">
        <v>148</v>
      </c>
      <c r="B120" s="5">
        <v>1</v>
      </c>
      <c r="C120" s="11">
        <v>3</v>
      </c>
      <c r="D120" s="5">
        <v>20</v>
      </c>
      <c r="E120" s="4">
        <v>3</v>
      </c>
      <c r="F120" s="4">
        <v>9</v>
      </c>
      <c r="G120" s="4">
        <v>5</v>
      </c>
      <c r="H120" s="4">
        <v>3</v>
      </c>
      <c r="I120" s="4">
        <v>0</v>
      </c>
      <c r="J120" s="5">
        <v>0</v>
      </c>
      <c r="K120" s="5">
        <v>1</v>
      </c>
      <c r="L120" s="5">
        <v>0</v>
      </c>
      <c r="M120" s="5">
        <v>0</v>
      </c>
      <c r="N120" s="5">
        <v>6</v>
      </c>
      <c r="O120" s="5">
        <v>14</v>
      </c>
      <c r="P120" s="5">
        <v>0</v>
      </c>
      <c r="Q120" s="5">
        <v>2</v>
      </c>
      <c r="R120" s="5">
        <v>0</v>
      </c>
      <c r="S120" s="5">
        <v>0</v>
      </c>
      <c r="T120" s="5">
        <v>0</v>
      </c>
      <c r="U120" s="5">
        <f t="shared" si="5"/>
        <v>2</v>
      </c>
      <c r="V120" s="5">
        <v>8</v>
      </c>
      <c r="W120" s="5">
        <v>9</v>
      </c>
      <c r="X120" s="5">
        <v>0</v>
      </c>
      <c r="Y120" s="5">
        <f t="shared" si="6"/>
        <v>17</v>
      </c>
      <c r="Z120" s="5">
        <f t="shared" si="7"/>
        <v>19</v>
      </c>
      <c r="AA120" s="5">
        <v>0</v>
      </c>
      <c r="AB120" s="5">
        <v>1</v>
      </c>
      <c r="AC120" s="5">
        <v>0</v>
      </c>
      <c r="AD120" s="5">
        <v>0</v>
      </c>
      <c r="AE120" s="5">
        <v>0</v>
      </c>
      <c r="AF120" s="5">
        <f t="shared" si="8"/>
        <v>1</v>
      </c>
      <c r="AG120" s="5">
        <v>59</v>
      </c>
      <c r="AH120" s="14">
        <v>9787</v>
      </c>
      <c r="AI120" s="8">
        <f>16369000+2255000+43774000+11772000+91510000</f>
        <v>165680000</v>
      </c>
      <c r="AJ120" s="8">
        <f>AI120+7313000</f>
        <v>172993000</v>
      </c>
      <c r="AK120" s="8">
        <v>307433000</v>
      </c>
      <c r="AL120" s="8">
        <v>361927000</v>
      </c>
      <c r="AM120" s="8">
        <v>4136493000</v>
      </c>
      <c r="AN120" s="9">
        <f t="shared" si="9"/>
        <v>7.4322137134040844E-2</v>
      </c>
      <c r="AO120" s="10">
        <v>1</v>
      </c>
    </row>
    <row r="121" spans="1:41" ht="14.4" customHeight="1" x14ac:dyDescent="0.3">
      <c r="A121" s="33">
        <v>149</v>
      </c>
      <c r="B121" s="5">
        <v>2</v>
      </c>
      <c r="C121" s="6">
        <v>3</v>
      </c>
      <c r="D121" s="5">
        <v>8</v>
      </c>
      <c r="E121" s="4">
        <v>0</v>
      </c>
      <c r="F121" s="4">
        <v>5</v>
      </c>
      <c r="G121" s="4">
        <v>1</v>
      </c>
      <c r="H121" s="4">
        <v>2</v>
      </c>
      <c r="I121" s="4">
        <v>0</v>
      </c>
      <c r="J121" s="5">
        <v>0</v>
      </c>
      <c r="K121" s="5">
        <v>1</v>
      </c>
      <c r="L121" s="5">
        <v>0</v>
      </c>
      <c r="M121" s="5">
        <v>0</v>
      </c>
      <c r="N121" s="5">
        <v>0</v>
      </c>
      <c r="O121" s="5">
        <v>8</v>
      </c>
      <c r="P121" s="5">
        <v>0</v>
      </c>
      <c r="Q121" s="5">
        <v>1</v>
      </c>
      <c r="R121" s="5">
        <v>0</v>
      </c>
      <c r="S121" s="5">
        <v>0</v>
      </c>
      <c r="T121" s="5">
        <v>0</v>
      </c>
      <c r="U121" s="5">
        <f t="shared" si="5"/>
        <v>1</v>
      </c>
      <c r="V121" s="5">
        <v>2</v>
      </c>
      <c r="W121" s="5">
        <v>2</v>
      </c>
      <c r="X121" s="5">
        <v>2</v>
      </c>
      <c r="Y121" s="5">
        <f t="shared" si="6"/>
        <v>6</v>
      </c>
      <c r="Z121" s="5">
        <f t="shared" si="7"/>
        <v>7</v>
      </c>
      <c r="AA121" s="5">
        <v>0</v>
      </c>
      <c r="AB121" s="5">
        <v>0</v>
      </c>
      <c r="AC121" s="5">
        <v>1</v>
      </c>
      <c r="AD121" s="5">
        <v>0</v>
      </c>
      <c r="AE121" s="5">
        <v>0</v>
      </c>
      <c r="AF121" s="5">
        <f t="shared" si="8"/>
        <v>1</v>
      </c>
      <c r="AG121" s="5">
        <v>18</v>
      </c>
      <c r="AH121" s="14">
        <v>11</v>
      </c>
      <c r="AI121" s="8">
        <f>1494323</f>
        <v>1494323</v>
      </c>
      <c r="AJ121" s="8">
        <f>AI121+400275</f>
        <v>1894598</v>
      </c>
      <c r="AK121" s="8">
        <v>4930671</v>
      </c>
      <c r="AL121" s="8">
        <v>2401282</v>
      </c>
      <c r="AM121" s="8">
        <v>65760556</v>
      </c>
      <c r="AN121" s="9">
        <f t="shared" si="9"/>
        <v>7.4979156198131905E-2</v>
      </c>
      <c r="AO121" s="10">
        <v>1</v>
      </c>
    </row>
    <row r="122" spans="1:41" ht="14.4" customHeight="1" x14ac:dyDescent="0.3">
      <c r="A122" s="33">
        <v>150</v>
      </c>
      <c r="B122" s="5">
        <v>2</v>
      </c>
      <c r="C122" s="11">
        <v>3</v>
      </c>
      <c r="D122" s="5">
        <v>9</v>
      </c>
      <c r="E122" s="4">
        <v>4</v>
      </c>
      <c r="F122" s="4">
        <v>1</v>
      </c>
      <c r="G122" s="4">
        <v>3</v>
      </c>
      <c r="H122" s="4">
        <v>1</v>
      </c>
      <c r="I122" s="4">
        <v>0</v>
      </c>
      <c r="J122" s="5">
        <v>1</v>
      </c>
      <c r="K122" s="5">
        <v>0</v>
      </c>
      <c r="L122" s="5">
        <v>0</v>
      </c>
      <c r="M122" s="5">
        <v>0</v>
      </c>
      <c r="N122" s="5">
        <v>3</v>
      </c>
      <c r="O122" s="5">
        <v>6</v>
      </c>
      <c r="P122" s="5">
        <v>1</v>
      </c>
      <c r="Q122" s="5">
        <v>0</v>
      </c>
      <c r="R122" s="5">
        <v>0</v>
      </c>
      <c r="S122" s="5">
        <v>0</v>
      </c>
      <c r="T122" s="5">
        <v>0</v>
      </c>
      <c r="U122" s="5">
        <f t="shared" si="5"/>
        <v>1</v>
      </c>
      <c r="V122" s="5">
        <v>4</v>
      </c>
      <c r="W122" s="5">
        <v>3</v>
      </c>
      <c r="X122" s="5">
        <v>1</v>
      </c>
      <c r="Y122" s="5">
        <f t="shared" si="6"/>
        <v>8</v>
      </c>
      <c r="Z122" s="5">
        <f t="shared" si="7"/>
        <v>9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f t="shared" si="8"/>
        <v>0</v>
      </c>
      <c r="AG122" s="5">
        <v>33</v>
      </c>
      <c r="AH122" s="14"/>
      <c r="AI122" s="8">
        <f>19568590</f>
        <v>19568590</v>
      </c>
      <c r="AJ122" s="8">
        <f>AI122+222680+36243</f>
        <v>19827513</v>
      </c>
      <c r="AK122" s="8">
        <v>44587271</v>
      </c>
      <c r="AL122" s="8">
        <v>48444604</v>
      </c>
      <c r="AM122" s="8">
        <v>293052070</v>
      </c>
      <c r="AN122" s="9">
        <f t="shared" si="9"/>
        <v>0.15214794763265108</v>
      </c>
      <c r="AO122" s="10">
        <v>2</v>
      </c>
    </row>
    <row r="123" spans="1:41" ht="14.4" customHeight="1" x14ac:dyDescent="0.3">
      <c r="A123" s="33">
        <v>151</v>
      </c>
      <c r="B123" s="5">
        <v>2</v>
      </c>
      <c r="C123" s="6">
        <v>3</v>
      </c>
      <c r="D123" s="5">
        <v>6</v>
      </c>
      <c r="E123" s="4">
        <v>1</v>
      </c>
      <c r="F123" s="4">
        <v>5</v>
      </c>
      <c r="G123" s="4">
        <v>0</v>
      </c>
      <c r="H123" s="4">
        <v>0</v>
      </c>
      <c r="I123" s="4">
        <v>0</v>
      </c>
      <c r="J123" s="5">
        <v>0</v>
      </c>
      <c r="K123" s="5">
        <v>1</v>
      </c>
      <c r="L123" s="5">
        <v>0</v>
      </c>
      <c r="M123" s="5">
        <v>0</v>
      </c>
      <c r="N123" s="5">
        <v>0</v>
      </c>
      <c r="O123" s="5">
        <v>6</v>
      </c>
      <c r="P123" s="5">
        <v>1</v>
      </c>
      <c r="Q123" s="5">
        <v>0</v>
      </c>
      <c r="R123" s="5">
        <v>0</v>
      </c>
      <c r="S123" s="5">
        <v>0</v>
      </c>
      <c r="T123" s="5">
        <v>0</v>
      </c>
      <c r="U123" s="5">
        <f t="shared" si="5"/>
        <v>1</v>
      </c>
      <c r="V123" s="5">
        <v>2</v>
      </c>
      <c r="W123" s="5">
        <v>2</v>
      </c>
      <c r="X123" s="5">
        <v>0</v>
      </c>
      <c r="Y123" s="5">
        <f t="shared" si="6"/>
        <v>4</v>
      </c>
      <c r="Z123" s="5">
        <f t="shared" si="7"/>
        <v>5</v>
      </c>
      <c r="AA123" s="5">
        <v>0</v>
      </c>
      <c r="AB123" s="5">
        <v>1</v>
      </c>
      <c r="AC123" s="5">
        <v>0</v>
      </c>
      <c r="AD123" s="5">
        <v>0</v>
      </c>
      <c r="AE123" s="5">
        <v>0</v>
      </c>
      <c r="AF123" s="5">
        <f t="shared" si="8"/>
        <v>1</v>
      </c>
      <c r="AG123" s="5">
        <v>59</v>
      </c>
      <c r="AH123" s="14">
        <v>82</v>
      </c>
      <c r="AI123" s="8">
        <f>405950+297382+377217+674599+368940+1106441</f>
        <v>3230529</v>
      </c>
      <c r="AJ123" s="8">
        <f>AI123+328112</f>
        <v>3558641</v>
      </c>
      <c r="AK123" s="8">
        <v>1870255</v>
      </c>
      <c r="AL123" s="8">
        <f>111729</f>
        <v>111729</v>
      </c>
      <c r="AM123" s="8">
        <v>10027183</v>
      </c>
      <c r="AN123" s="9">
        <f t="shared" si="9"/>
        <v>0.18651848679733879</v>
      </c>
      <c r="AO123" s="10">
        <v>1</v>
      </c>
    </row>
    <row r="124" spans="1:41" ht="14.4" customHeight="1" x14ac:dyDescent="0.3">
      <c r="A124" s="33">
        <v>152</v>
      </c>
      <c r="B124" s="5">
        <v>2</v>
      </c>
      <c r="C124" s="11">
        <v>3</v>
      </c>
      <c r="D124" s="5">
        <v>11</v>
      </c>
      <c r="E124" s="4">
        <v>1</v>
      </c>
      <c r="F124" s="4">
        <v>2</v>
      </c>
      <c r="G124" s="4">
        <v>7</v>
      </c>
      <c r="H124" s="4">
        <v>1</v>
      </c>
      <c r="I124" s="4">
        <v>0</v>
      </c>
      <c r="J124" s="5">
        <v>0</v>
      </c>
      <c r="K124" s="5">
        <v>0</v>
      </c>
      <c r="L124" s="5">
        <v>1</v>
      </c>
      <c r="M124" s="5">
        <v>0</v>
      </c>
      <c r="N124" s="5">
        <v>2</v>
      </c>
      <c r="O124" s="5">
        <v>9</v>
      </c>
      <c r="P124" s="5">
        <v>0</v>
      </c>
      <c r="Q124" s="5">
        <v>0</v>
      </c>
      <c r="R124" s="5">
        <v>1</v>
      </c>
      <c r="S124" s="5">
        <v>0</v>
      </c>
      <c r="T124" s="5">
        <v>0</v>
      </c>
      <c r="U124" s="5">
        <f t="shared" si="5"/>
        <v>1</v>
      </c>
      <c r="V124" s="5">
        <v>3</v>
      </c>
      <c r="W124" s="5">
        <v>6</v>
      </c>
      <c r="X124" s="5">
        <v>0</v>
      </c>
      <c r="Y124" s="5">
        <f t="shared" si="6"/>
        <v>9</v>
      </c>
      <c r="Z124" s="5">
        <f t="shared" si="7"/>
        <v>10</v>
      </c>
      <c r="AA124" s="5">
        <v>0</v>
      </c>
      <c r="AB124" s="5">
        <v>0</v>
      </c>
      <c r="AC124" s="5">
        <v>1</v>
      </c>
      <c r="AD124" s="5">
        <v>0</v>
      </c>
      <c r="AE124" s="5">
        <v>0</v>
      </c>
      <c r="AF124" s="5">
        <f t="shared" si="8"/>
        <v>1</v>
      </c>
      <c r="AG124" s="5">
        <v>42</v>
      </c>
      <c r="AH124" s="14">
        <v>272</v>
      </c>
      <c r="AI124" s="8">
        <f>513465+647885+9041</f>
        <v>1170391</v>
      </c>
      <c r="AJ124" s="8">
        <f>AI124+56531</f>
        <v>1226922</v>
      </c>
      <c r="AK124" s="8">
        <v>2315705</v>
      </c>
      <c r="AL124" s="8">
        <v>531701</v>
      </c>
      <c r="AM124" s="8">
        <v>3484700</v>
      </c>
      <c r="AN124" s="9">
        <f t="shared" si="9"/>
        <v>0.66453496714207827</v>
      </c>
      <c r="AO124" s="10">
        <v>2</v>
      </c>
    </row>
    <row r="125" spans="1:41" ht="14.4" customHeight="1" x14ac:dyDescent="0.3">
      <c r="A125" s="33">
        <v>153</v>
      </c>
      <c r="B125" s="5">
        <v>2</v>
      </c>
      <c r="C125" s="6">
        <v>2</v>
      </c>
      <c r="D125" s="5">
        <v>10</v>
      </c>
      <c r="E125" s="4">
        <v>0</v>
      </c>
      <c r="F125" s="4">
        <v>1</v>
      </c>
      <c r="G125" s="4">
        <v>6</v>
      </c>
      <c r="H125" s="4">
        <v>2</v>
      </c>
      <c r="I125" s="4">
        <v>1</v>
      </c>
      <c r="J125" s="5">
        <v>0</v>
      </c>
      <c r="K125" s="5">
        <v>0</v>
      </c>
      <c r="L125" s="5">
        <v>1</v>
      </c>
      <c r="M125" s="5">
        <v>0</v>
      </c>
      <c r="N125" s="5">
        <v>5</v>
      </c>
      <c r="O125" s="5">
        <v>5</v>
      </c>
      <c r="P125" s="5">
        <v>0</v>
      </c>
      <c r="Q125" s="5">
        <v>0</v>
      </c>
      <c r="R125" s="5">
        <v>1</v>
      </c>
      <c r="S125" s="5">
        <v>0</v>
      </c>
      <c r="T125" s="5">
        <v>0</v>
      </c>
      <c r="U125" s="5">
        <f t="shared" si="5"/>
        <v>1</v>
      </c>
      <c r="V125" s="5">
        <v>1</v>
      </c>
      <c r="W125" s="5">
        <v>6</v>
      </c>
      <c r="X125" s="5">
        <v>0</v>
      </c>
      <c r="Y125" s="5">
        <f t="shared" si="6"/>
        <v>7</v>
      </c>
      <c r="Z125" s="5">
        <f t="shared" si="7"/>
        <v>8</v>
      </c>
      <c r="AA125" s="5">
        <v>0</v>
      </c>
      <c r="AB125" s="5">
        <v>0</v>
      </c>
      <c r="AC125" s="5">
        <v>1</v>
      </c>
      <c r="AD125" s="5">
        <v>1</v>
      </c>
      <c r="AE125" s="5">
        <v>0</v>
      </c>
      <c r="AF125" s="5">
        <f t="shared" si="8"/>
        <v>2</v>
      </c>
      <c r="AG125" s="5">
        <v>23</v>
      </c>
      <c r="AH125" s="14">
        <v>43</v>
      </c>
      <c r="AI125" s="8">
        <f>96481+104860+520791+22161</f>
        <v>744293</v>
      </c>
      <c r="AJ125" s="8">
        <f>AI125+2616205+2585829+261466+9481263+454722</f>
        <v>16143778</v>
      </c>
      <c r="AK125" s="8">
        <v>2157614</v>
      </c>
      <c r="AL125" s="8">
        <v>1261228</v>
      </c>
      <c r="AM125" s="8">
        <v>27858031</v>
      </c>
      <c r="AN125" s="9">
        <f t="shared" si="9"/>
        <v>7.7450340980667304E-2</v>
      </c>
      <c r="AO125" s="10">
        <v>1</v>
      </c>
    </row>
    <row r="126" spans="1:41" ht="14.4" customHeight="1" x14ac:dyDescent="0.3">
      <c r="A126" s="33">
        <v>155</v>
      </c>
      <c r="B126" s="15">
        <v>0</v>
      </c>
      <c r="C126" s="31">
        <v>3</v>
      </c>
      <c r="D126" s="5">
        <v>4</v>
      </c>
      <c r="E126" s="4">
        <v>0</v>
      </c>
      <c r="F126" s="4">
        <v>1</v>
      </c>
      <c r="G126" s="4">
        <v>0</v>
      </c>
      <c r="H126" s="4">
        <v>2</v>
      </c>
      <c r="I126" s="4">
        <v>1</v>
      </c>
      <c r="J126" s="5">
        <v>0</v>
      </c>
      <c r="K126" s="5">
        <v>0</v>
      </c>
      <c r="L126" s="5">
        <v>0</v>
      </c>
      <c r="M126" s="5">
        <v>1</v>
      </c>
      <c r="N126" s="5">
        <v>1</v>
      </c>
      <c r="O126" s="5">
        <v>3</v>
      </c>
      <c r="P126" s="5">
        <v>0</v>
      </c>
      <c r="Q126" s="5">
        <v>0</v>
      </c>
      <c r="R126" s="5">
        <v>0</v>
      </c>
      <c r="S126" s="5">
        <v>0</v>
      </c>
      <c r="T126" s="5">
        <v>1</v>
      </c>
      <c r="U126" s="5">
        <f t="shared" si="5"/>
        <v>1</v>
      </c>
      <c r="V126" s="5">
        <v>0</v>
      </c>
      <c r="W126" s="5">
        <v>2</v>
      </c>
      <c r="X126" s="5">
        <v>0</v>
      </c>
      <c r="Y126" s="5">
        <f t="shared" si="6"/>
        <v>2</v>
      </c>
      <c r="Z126" s="5">
        <f t="shared" si="7"/>
        <v>3</v>
      </c>
      <c r="AA126" s="5">
        <v>0</v>
      </c>
      <c r="AB126" s="5">
        <v>1</v>
      </c>
      <c r="AC126" s="5">
        <v>0</v>
      </c>
      <c r="AD126" s="5">
        <v>0</v>
      </c>
      <c r="AE126" s="5">
        <v>0</v>
      </c>
      <c r="AF126" s="5">
        <f t="shared" si="8"/>
        <v>1</v>
      </c>
      <c r="AG126" s="18">
        <v>0</v>
      </c>
      <c r="AH126" s="14"/>
      <c r="AI126" s="8">
        <f>77872</f>
        <v>77872</v>
      </c>
      <c r="AJ126" s="8">
        <f>AI126+16495</f>
        <v>94367</v>
      </c>
      <c r="AK126" s="8">
        <f>294433+173825</f>
        <v>468258</v>
      </c>
      <c r="AL126" s="8">
        <v>289819</v>
      </c>
      <c r="AM126" s="8">
        <v>4905498</v>
      </c>
      <c r="AN126" s="9">
        <f t="shared" si="9"/>
        <v>9.5455751893079963E-2</v>
      </c>
      <c r="AO126" s="10">
        <v>2</v>
      </c>
    </row>
    <row r="127" spans="1:41" ht="14.4" customHeight="1" x14ac:dyDescent="0.3">
      <c r="A127" s="33">
        <v>156</v>
      </c>
      <c r="B127" s="5">
        <v>2</v>
      </c>
      <c r="C127" s="6">
        <v>3</v>
      </c>
      <c r="D127" s="5">
        <v>12</v>
      </c>
      <c r="E127" s="4">
        <v>5</v>
      </c>
      <c r="F127" s="4">
        <v>0</v>
      </c>
      <c r="G127" s="4">
        <v>3</v>
      </c>
      <c r="H127" s="4">
        <v>3</v>
      </c>
      <c r="I127" s="4">
        <v>1</v>
      </c>
      <c r="J127" s="5">
        <v>1</v>
      </c>
      <c r="K127" s="5">
        <v>0</v>
      </c>
      <c r="L127" s="5">
        <v>0</v>
      </c>
      <c r="M127" s="5">
        <v>0</v>
      </c>
      <c r="N127" s="5">
        <v>2</v>
      </c>
      <c r="O127" s="5">
        <v>10</v>
      </c>
      <c r="P127" s="5">
        <v>0</v>
      </c>
      <c r="Q127" s="5">
        <v>0</v>
      </c>
      <c r="R127" s="5">
        <v>0</v>
      </c>
      <c r="S127" s="5">
        <v>1</v>
      </c>
      <c r="T127" s="5">
        <v>0</v>
      </c>
      <c r="U127" s="5">
        <f t="shared" si="5"/>
        <v>1</v>
      </c>
      <c r="V127" s="5">
        <v>3</v>
      </c>
      <c r="W127" s="5">
        <v>6</v>
      </c>
      <c r="X127" s="5">
        <v>1</v>
      </c>
      <c r="Y127" s="5">
        <f t="shared" si="6"/>
        <v>10</v>
      </c>
      <c r="Z127" s="5">
        <f t="shared" si="7"/>
        <v>11</v>
      </c>
      <c r="AA127" s="5">
        <v>0</v>
      </c>
      <c r="AB127" s="5">
        <v>0</v>
      </c>
      <c r="AC127" s="5">
        <v>0</v>
      </c>
      <c r="AD127" s="5">
        <v>1</v>
      </c>
      <c r="AE127" s="5">
        <v>0</v>
      </c>
      <c r="AF127" s="5">
        <f t="shared" si="8"/>
        <v>1</v>
      </c>
      <c r="AG127" s="5">
        <v>47</v>
      </c>
      <c r="AH127" s="14">
        <v>101</v>
      </c>
      <c r="AI127" s="8">
        <f>482826+473124+1462283</f>
        <v>2418233</v>
      </c>
      <c r="AJ127" s="8">
        <f>AI127+130527</f>
        <v>2548760</v>
      </c>
      <c r="AK127" s="8">
        <v>2953792</v>
      </c>
      <c r="AL127" s="8">
        <v>3659345</v>
      </c>
      <c r="AM127" s="8">
        <v>11146383</v>
      </c>
      <c r="AN127" s="9">
        <f t="shared" si="9"/>
        <v>0.26500004530617688</v>
      </c>
      <c r="AO127" s="10">
        <v>1</v>
      </c>
    </row>
    <row r="128" spans="1:41" ht="13.8" customHeight="1" x14ac:dyDescent="0.3">
      <c r="A128" s="33">
        <v>157</v>
      </c>
      <c r="B128" s="5">
        <v>2</v>
      </c>
      <c r="C128" s="11">
        <v>2</v>
      </c>
      <c r="D128" s="5">
        <v>11</v>
      </c>
      <c r="E128" s="4">
        <v>1</v>
      </c>
      <c r="F128" s="4">
        <v>3</v>
      </c>
      <c r="G128" s="4">
        <v>4</v>
      </c>
      <c r="H128" s="4">
        <v>1</v>
      </c>
      <c r="I128" s="4">
        <v>2</v>
      </c>
      <c r="J128" s="5">
        <v>0</v>
      </c>
      <c r="K128" s="5">
        <v>0</v>
      </c>
      <c r="L128" s="5">
        <v>1</v>
      </c>
      <c r="M128" s="5">
        <v>0</v>
      </c>
      <c r="N128" s="5">
        <v>2</v>
      </c>
      <c r="O128" s="5">
        <v>9</v>
      </c>
      <c r="P128" s="5">
        <v>0</v>
      </c>
      <c r="Q128" s="5">
        <v>0</v>
      </c>
      <c r="R128" s="5">
        <v>1</v>
      </c>
      <c r="S128" s="5">
        <v>0</v>
      </c>
      <c r="T128" s="5">
        <v>0</v>
      </c>
      <c r="U128" s="5">
        <f t="shared" si="5"/>
        <v>1</v>
      </c>
      <c r="V128" s="5">
        <v>3</v>
      </c>
      <c r="W128" s="5">
        <v>4</v>
      </c>
      <c r="X128" s="5">
        <v>2</v>
      </c>
      <c r="Y128" s="5">
        <f t="shared" si="6"/>
        <v>9</v>
      </c>
      <c r="Z128" s="5">
        <f t="shared" si="7"/>
        <v>10</v>
      </c>
      <c r="AA128" s="5">
        <v>0</v>
      </c>
      <c r="AB128" s="5">
        <v>0</v>
      </c>
      <c r="AC128" s="5">
        <v>1</v>
      </c>
      <c r="AD128" s="5">
        <v>0</v>
      </c>
      <c r="AE128" s="5">
        <v>0</v>
      </c>
      <c r="AF128" s="5">
        <f t="shared" si="8"/>
        <v>1</v>
      </c>
      <c r="AG128" s="5">
        <v>58</v>
      </c>
      <c r="AH128" s="14">
        <v>473</v>
      </c>
      <c r="AI128" s="8">
        <f>3603725+919180</f>
        <v>4522905</v>
      </c>
      <c r="AJ128" s="8">
        <f>AI128+856633+921099</f>
        <v>6300637</v>
      </c>
      <c r="AK128" s="8">
        <v>20330040</v>
      </c>
      <c r="AL128" s="8">
        <v>710010</v>
      </c>
      <c r="AM128" s="8">
        <v>12358342</v>
      </c>
      <c r="AN128" s="9">
        <f t="shared" si="9"/>
        <v>1.6450459131168242</v>
      </c>
      <c r="AO128" s="10">
        <v>1</v>
      </c>
    </row>
    <row r="129" spans="1:41" ht="13.8" customHeight="1" x14ac:dyDescent="0.3">
      <c r="A129" s="33">
        <v>158</v>
      </c>
      <c r="B129" s="5">
        <v>2</v>
      </c>
      <c r="C129" s="6">
        <v>3</v>
      </c>
      <c r="D129" s="5">
        <v>11</v>
      </c>
      <c r="E129" s="4">
        <v>1</v>
      </c>
      <c r="F129" s="4">
        <v>0</v>
      </c>
      <c r="G129" s="4">
        <v>9</v>
      </c>
      <c r="H129" s="4">
        <v>0</v>
      </c>
      <c r="I129" s="4">
        <v>1</v>
      </c>
      <c r="J129" s="5">
        <v>0</v>
      </c>
      <c r="K129" s="5">
        <v>0</v>
      </c>
      <c r="L129" s="5">
        <v>1</v>
      </c>
      <c r="M129" s="5">
        <v>0</v>
      </c>
      <c r="N129" s="5">
        <v>4</v>
      </c>
      <c r="O129" s="5">
        <v>7</v>
      </c>
      <c r="P129" s="5">
        <v>0</v>
      </c>
      <c r="Q129" s="5">
        <v>0</v>
      </c>
      <c r="R129" s="5">
        <v>1</v>
      </c>
      <c r="S129" s="5">
        <v>0</v>
      </c>
      <c r="T129" s="5">
        <v>0</v>
      </c>
      <c r="U129" s="5">
        <f t="shared" si="5"/>
        <v>1</v>
      </c>
      <c r="V129" s="5">
        <v>2</v>
      </c>
      <c r="W129" s="5">
        <v>4</v>
      </c>
      <c r="X129" s="5">
        <v>2</v>
      </c>
      <c r="Y129" s="5">
        <f t="shared" si="6"/>
        <v>8</v>
      </c>
      <c r="Z129" s="5">
        <f t="shared" si="7"/>
        <v>9</v>
      </c>
      <c r="AA129" s="5">
        <v>0</v>
      </c>
      <c r="AB129" s="5">
        <v>0</v>
      </c>
      <c r="AC129" s="5">
        <v>2</v>
      </c>
      <c r="AD129" s="5">
        <v>0</v>
      </c>
      <c r="AE129" s="5">
        <v>0</v>
      </c>
      <c r="AF129" s="5">
        <f t="shared" si="8"/>
        <v>2</v>
      </c>
      <c r="AG129" s="5">
        <v>75</v>
      </c>
      <c r="AH129" s="14">
        <v>1161</v>
      </c>
      <c r="AI129" s="8">
        <f>14870989+3316846+19102890+6130600</f>
        <v>43421325</v>
      </c>
      <c r="AJ129" s="8">
        <f>AI129+1560080</f>
        <v>44981405</v>
      </c>
      <c r="AK129" s="8">
        <v>93389811</v>
      </c>
      <c r="AL129" s="8">
        <v>65967028</v>
      </c>
      <c r="AM129" s="8">
        <v>704955604</v>
      </c>
      <c r="AN129" s="9">
        <f t="shared" si="9"/>
        <v>0.13247615944904242</v>
      </c>
      <c r="AO129" s="10">
        <v>1</v>
      </c>
    </row>
    <row r="130" spans="1:41" ht="14.4" customHeight="1" thickBot="1" x14ac:dyDescent="0.35">
      <c r="A130" s="35">
        <v>159</v>
      </c>
      <c r="B130" s="23">
        <v>1</v>
      </c>
      <c r="C130" s="24">
        <v>3</v>
      </c>
      <c r="D130" s="23">
        <v>13</v>
      </c>
      <c r="E130" s="38">
        <v>3</v>
      </c>
      <c r="F130" s="38">
        <v>5</v>
      </c>
      <c r="G130" s="38">
        <v>2</v>
      </c>
      <c r="H130" s="38">
        <v>3</v>
      </c>
      <c r="I130" s="38">
        <v>0</v>
      </c>
      <c r="J130" s="23">
        <v>0</v>
      </c>
      <c r="K130" s="23">
        <v>1</v>
      </c>
      <c r="L130" s="23">
        <v>0</v>
      </c>
      <c r="M130" s="23">
        <v>0</v>
      </c>
      <c r="N130" s="23">
        <v>1</v>
      </c>
      <c r="O130" s="23">
        <v>12</v>
      </c>
      <c r="P130" s="23">
        <v>0</v>
      </c>
      <c r="Q130" s="23">
        <v>0</v>
      </c>
      <c r="R130" s="23">
        <v>0</v>
      </c>
      <c r="S130" s="23">
        <v>1</v>
      </c>
      <c r="T130" s="23">
        <v>0</v>
      </c>
      <c r="U130" s="23">
        <f t="shared" si="5"/>
        <v>1</v>
      </c>
      <c r="V130" s="23">
        <v>4</v>
      </c>
      <c r="W130" s="23">
        <v>6</v>
      </c>
      <c r="X130" s="23">
        <v>0</v>
      </c>
      <c r="Y130" s="23">
        <f t="shared" si="6"/>
        <v>10</v>
      </c>
      <c r="Z130" s="23">
        <f t="shared" si="7"/>
        <v>11</v>
      </c>
      <c r="AA130" s="23">
        <v>0</v>
      </c>
      <c r="AB130" s="23">
        <v>2</v>
      </c>
      <c r="AC130" s="23">
        <v>0</v>
      </c>
      <c r="AD130" s="23">
        <v>0</v>
      </c>
      <c r="AE130" s="23">
        <v>0</v>
      </c>
      <c r="AF130" s="23">
        <f t="shared" si="8"/>
        <v>2</v>
      </c>
      <c r="AG130" s="23">
        <v>30</v>
      </c>
      <c r="AH130" s="25">
        <v>5982</v>
      </c>
      <c r="AI130" s="26">
        <f>23393+18887000+2795000+62038000+118191000</f>
        <v>201934393</v>
      </c>
      <c r="AJ130" s="26">
        <f>AI130+22017</f>
        <v>201956410</v>
      </c>
      <c r="AK130" s="26">
        <v>564687000</v>
      </c>
      <c r="AL130" s="26">
        <v>388853000</v>
      </c>
      <c r="AM130" s="26">
        <v>5435073000</v>
      </c>
      <c r="AN130" s="27">
        <f t="shared" si="9"/>
        <v>0.10389685658315904</v>
      </c>
      <c r="AO130" s="40">
        <v>1</v>
      </c>
    </row>
    <row r="131" spans="1:41" ht="13.8" customHeight="1" x14ac:dyDescent="0.3">
      <c r="E131" s="30"/>
      <c r="F131" s="30"/>
      <c r="G131" s="30"/>
      <c r="H131" s="30"/>
      <c r="I131" s="30"/>
      <c r="J131" s="3">
        <f>SUM(J2:J130)</f>
        <v>9</v>
      </c>
      <c r="K131" s="3">
        <f>SUM(K2:K130)</f>
        <v>20</v>
      </c>
      <c r="L131" s="3">
        <f>SUM(L2:L130)</f>
        <v>59</v>
      </c>
      <c r="M131" s="3">
        <f>SUM(M2:M130)</f>
        <v>41</v>
      </c>
      <c r="AH131" s="37"/>
      <c r="AI131" s="28"/>
      <c r="AJ131" s="28"/>
      <c r="AK131" s="28"/>
      <c r="AL131" s="28"/>
      <c r="AM131" s="28"/>
      <c r="AN131" s="28"/>
    </row>
    <row r="132" spans="1:41" s="28" customFormat="1" ht="13.8" customHeight="1" x14ac:dyDescent="0.25"/>
    <row r="133" spans="1:41" ht="13.8" customHeight="1" x14ac:dyDescent="0.3"/>
    <row r="134" spans="1:41" ht="13.8" customHeight="1" x14ac:dyDescent="0.3">
      <c r="A134"/>
      <c r="B134"/>
      <c r="C134"/>
    </row>
    <row r="135" spans="1:41" ht="13.8" customHeight="1" x14ac:dyDescent="0.3">
      <c r="A135" s="36"/>
      <c r="B135"/>
      <c r="C135"/>
    </row>
    <row r="136" spans="1:41" ht="13.8" customHeight="1" x14ac:dyDescent="0.3">
      <c r="A136" s="36"/>
      <c r="B136"/>
      <c r="C136"/>
    </row>
    <row r="137" spans="1:41" ht="13.8" customHeight="1" x14ac:dyDescent="0.3">
      <c r="A137" s="36"/>
      <c r="B137"/>
      <c r="C137"/>
    </row>
    <row r="138" spans="1:41" ht="13.8" customHeight="1" x14ac:dyDescent="0.3">
      <c r="A138"/>
      <c r="B138"/>
      <c r="C138"/>
    </row>
    <row r="139" spans="1:41" ht="13.8" customHeight="1" x14ac:dyDescent="0.3">
      <c r="A139"/>
      <c r="B139"/>
      <c r="C139"/>
    </row>
    <row r="140" spans="1:41" ht="13.8" customHeight="1" x14ac:dyDescent="0.3">
      <c r="A140"/>
      <c r="B140"/>
      <c r="C140"/>
    </row>
    <row r="141" spans="1:41" ht="13.8" customHeight="1" x14ac:dyDescent="0.3">
      <c r="A141"/>
      <c r="B141"/>
      <c r="C141"/>
    </row>
    <row r="142" spans="1:41" ht="13.8" customHeight="1" x14ac:dyDescent="0.3"/>
    <row r="143" spans="1:41" ht="13.8" customHeight="1" x14ac:dyDescent="0.3"/>
    <row r="144" spans="1:41" ht="13.8" customHeight="1" x14ac:dyDescent="0.3"/>
    <row r="145" ht="13.8" customHeight="1" x14ac:dyDescent="0.3"/>
    <row r="146" ht="13.8" customHeight="1" x14ac:dyDescent="0.3"/>
    <row r="147" ht="13.8" customHeight="1" x14ac:dyDescent="0.3"/>
    <row r="148" ht="13.8" customHeight="1" x14ac:dyDescent="0.3"/>
    <row r="149" ht="13.8" customHeight="1" x14ac:dyDescent="0.3"/>
    <row r="150" ht="13.8" customHeight="1" x14ac:dyDescent="0.3"/>
    <row r="151" ht="13.8" customHeight="1" x14ac:dyDescent="0.3"/>
    <row r="152" ht="13.8" customHeight="1" x14ac:dyDescent="0.3"/>
    <row r="153" ht="13.8" customHeight="1" x14ac:dyDescent="0.3"/>
    <row r="154" ht="13.8" customHeight="1" x14ac:dyDescent="0.3"/>
    <row r="155" ht="13.8" customHeight="1" x14ac:dyDescent="0.3"/>
    <row r="156" ht="13.8" customHeight="1" x14ac:dyDescent="0.3"/>
    <row r="157" ht="13.8" customHeight="1" x14ac:dyDescent="0.3"/>
    <row r="158" ht="13.8" customHeight="1" x14ac:dyDescent="0.3"/>
    <row r="159" ht="13.8" customHeight="1" x14ac:dyDescent="0.3"/>
    <row r="160" ht="13.8" customHeight="1" x14ac:dyDescent="0.3"/>
    <row r="161" ht="13.8" customHeight="1" x14ac:dyDescent="0.3"/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d8fac42-d844-4e6d-bce4-272aa9d7944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7B581AD7A59A46A2DA4306595827DF" ma:contentTypeVersion="12" ma:contentTypeDescription="Create a new document." ma:contentTypeScope="" ma:versionID="a874b974208e7f27b6b049b14a710ba5">
  <xsd:schema xmlns:xsd="http://www.w3.org/2001/XMLSchema" xmlns:xs="http://www.w3.org/2001/XMLSchema" xmlns:p="http://schemas.microsoft.com/office/2006/metadata/properties" xmlns:ns3="3d8fac42-d844-4e6d-bce4-272aa9d7944e" xmlns:ns4="97084ddc-b00f-469c-9c5e-4422c03ae23b" targetNamespace="http://schemas.microsoft.com/office/2006/metadata/properties" ma:root="true" ma:fieldsID="e74edebe56f36b70d358d54e13adc10f" ns3:_="" ns4:_="">
    <xsd:import namespace="3d8fac42-d844-4e6d-bce4-272aa9d7944e"/>
    <xsd:import namespace="97084ddc-b00f-469c-9c5e-4422c03ae2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8fac42-d844-4e6d-bce4-272aa9d794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84ddc-b00f-469c-9c5e-4422c03ae23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F4A95A-523D-460B-81F4-2B80F21EC164}">
  <ds:schemaRefs>
    <ds:schemaRef ds:uri="http://schemas.microsoft.com/office/infopath/2007/PartnerControls"/>
    <ds:schemaRef ds:uri="http://purl.org/dc/dcmitype/"/>
    <ds:schemaRef ds:uri="97084ddc-b00f-469c-9c5e-4422c03ae23b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3d8fac42-d844-4e6d-bce4-272aa9d7944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935D324-423C-4452-8DBD-B04CEADFC3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8fac42-d844-4e6d-bce4-272aa9d7944e"/>
    <ds:schemaRef ds:uri="97084ddc-b00f-469c-9c5e-4422c03ae2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5310FB-45CE-4F8A-B15B-BF50B707AF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Adeola Oluwabukola Olawoyin (PGR)</dc:creator>
  <cp:lastModifiedBy>Adeola Oluwabukola Olawoyin (PGR)</cp:lastModifiedBy>
  <dcterms:created xsi:type="dcterms:W3CDTF">2023-04-02T23:18:10Z</dcterms:created>
  <dcterms:modified xsi:type="dcterms:W3CDTF">2023-06-22T13:20:14Z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0x010100447B581AD7A59A46A2DA4306595827DF</vt:lpwstr>
  </property>
</Properties>
</file>